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13_ncr:1_{2781940F-3BC3-42D8-8F13-010AD03449DB}" xr6:coauthVersionLast="47" xr6:coauthVersionMax="47" xr10:uidLastSave="{00000000-0000-0000-0000-000000000000}"/>
  <bookViews>
    <workbookView xWindow="-120" yWindow="-120" windowWidth="21840" windowHeight="13140" tabRatio="944" firstSheet="2" activeTab="2" xr2:uid="{00000000-000D-0000-FFFF-FFFF00000000}"/>
  </bookViews>
  <sheets>
    <sheet name="Population selection" sheetId="32" state="hidden" r:id="rId1"/>
    <sheet name="Uptake phasing" sheetId="58" state="hidden" r:id="rId2"/>
    <sheet name="Cover" sheetId="38" r:id="rId3"/>
    <sheet name="Contents" sheetId="54" r:id="rId4"/>
    <sheet name="Inputs and eligible population" sheetId="50" r:id="rId5"/>
    <sheet name="Unit costs" sheetId="21" r:id="rId6"/>
    <sheet name="Summary" sheetId="47" r:id="rId7"/>
    <sheet name="Financial impact (cash)" sheetId="42" r:id="rId8"/>
    <sheet name="Capacity (local prices)" sheetId="46" r:id="rId9"/>
    <sheet name="Capacity (national prices)" sheetId="56" r:id="rId10"/>
    <sheet name="payscales" sheetId="57" r:id="rId11"/>
  </sheets>
  <externalReferences>
    <externalReference r:id="rId12"/>
    <externalReference r:id="rId13"/>
  </externalReferences>
  <definedNames>
    <definedName name="_xlnm._FilterDatabase" localSheetId="0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9">'[1]Population selection'!$L$12:$L$19</definedName>
    <definedName name="ORGTYPE" localSheetId="2">'[2]Population selection'!$L$12:$L$18</definedName>
    <definedName name="ORGTYPE" localSheetId="7">'[1]Population selection'!$L$12:$L$19</definedName>
    <definedName name="ORGTYPE" localSheetId="6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prices)'!$B$1:$S$107</definedName>
    <definedName name="_xlnm.Print_Area" localSheetId="9">'Capacity (national prices)'!$B$1:$S$105</definedName>
    <definedName name="_xlnm.Print_Area" localSheetId="3">Contents!$A$1:$P$29</definedName>
    <definedName name="_xlnm.Print_Area" localSheetId="2">Cover!$A$1:$P$29</definedName>
    <definedName name="_xlnm.Print_Area" localSheetId="7">'Financial impact (cash)'!$B$1:$J$26</definedName>
    <definedName name="_xlnm.Print_Area" localSheetId="4">'Inputs and eligible population'!$A$2:$S$105</definedName>
    <definedName name="_xlnm.Print_Area" localSheetId="0">'Population selection'!$B$11:$J$17</definedName>
    <definedName name="_xlnm.Print_Area" localSheetId="6">Summary!$B$1:$K$60</definedName>
    <definedName name="_xlnm.Print_Area" localSheetId="5">'Unit costs'!$B$1:$T$52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6" l="1"/>
  <c r="N12" i="46"/>
  <c r="O12" i="46"/>
  <c r="P12" i="46"/>
  <c r="Q12" i="46"/>
  <c r="M13" i="46"/>
  <c r="N13" i="46"/>
  <c r="O13" i="46"/>
  <c r="P13" i="46"/>
  <c r="Q13" i="46"/>
  <c r="E43" i="46" l="1"/>
  <c r="F43" i="46"/>
  <c r="G43" i="46"/>
  <c r="H43" i="46"/>
  <c r="I43" i="46"/>
  <c r="D43" i="46"/>
  <c r="E49" i="46"/>
  <c r="F49" i="46"/>
  <c r="G49" i="46"/>
  <c r="H49" i="46"/>
  <c r="I49" i="46"/>
  <c r="D49" i="46"/>
  <c r="K24" i="21"/>
  <c r="K23" i="21"/>
  <c r="K16" i="21"/>
  <c r="K9" i="21"/>
  <c r="G63" i="50"/>
  <c r="F63" i="50"/>
  <c r="E63" i="50"/>
  <c r="K98" i="56" l="1"/>
  <c r="K99" i="56"/>
  <c r="K100" i="56"/>
  <c r="K101" i="56"/>
  <c r="K102" i="56"/>
  <c r="K97" i="56"/>
  <c r="K48" i="56"/>
  <c r="K47" i="56"/>
  <c r="B14" i="42"/>
  <c r="B15" i="42"/>
  <c r="B13" i="42"/>
  <c r="P24" i="21"/>
  <c r="O24" i="21"/>
  <c r="O23" i="21"/>
  <c r="L24" i="21"/>
  <c r="J24" i="21"/>
  <c r="H24" i="21"/>
  <c r="M24" i="21" l="1"/>
  <c r="N24" i="21" s="1"/>
  <c r="Q24" i="21" s="1"/>
  <c r="E48" i="21"/>
  <c r="D48" i="21"/>
  <c r="C48" i="21"/>
  <c r="L47" i="21"/>
  <c r="O47" i="21" s="1"/>
  <c r="J47" i="21"/>
  <c r="I47" i="21"/>
  <c r="H47" i="21"/>
  <c r="L46" i="21"/>
  <c r="J46" i="21"/>
  <c r="I46" i="21"/>
  <c r="H46" i="21"/>
  <c r="L45" i="21"/>
  <c r="O45" i="21" s="1"/>
  <c r="J45" i="21"/>
  <c r="I45" i="21"/>
  <c r="H45" i="21"/>
  <c r="L44" i="21"/>
  <c r="J44" i="21"/>
  <c r="I44" i="21"/>
  <c r="H44" i="21"/>
  <c r="L43" i="21"/>
  <c r="O43" i="21" s="1"/>
  <c r="J43" i="21"/>
  <c r="I43" i="21"/>
  <c r="H43" i="21"/>
  <c r="L42" i="21"/>
  <c r="J42" i="21"/>
  <c r="I42" i="21"/>
  <c r="H42" i="21"/>
  <c r="P16" i="21"/>
  <c r="O17" i="21"/>
  <c r="O16" i="21"/>
  <c r="L17" i="21"/>
  <c r="J17" i="21"/>
  <c r="H17" i="21"/>
  <c r="P10" i="21"/>
  <c r="O10" i="21"/>
  <c r="L10" i="21"/>
  <c r="J10" i="21"/>
  <c r="H10" i="21"/>
  <c r="C24" i="21"/>
  <c r="C23" i="21"/>
  <c r="C17" i="21"/>
  <c r="C16" i="21"/>
  <c r="C10" i="21"/>
  <c r="C9" i="21"/>
  <c r="B23" i="21"/>
  <c r="B35" i="21" s="1"/>
  <c r="B16" i="21"/>
  <c r="B34" i="21" s="1"/>
  <c r="B9" i="21"/>
  <c r="B33" i="21" s="1"/>
  <c r="O46" i="21" l="1"/>
  <c r="K103" i="46"/>
  <c r="M10" i="21"/>
  <c r="N10" i="21" s="1"/>
  <c r="Q10" i="21" s="1"/>
  <c r="I48" i="21"/>
  <c r="O44" i="21"/>
  <c r="K101" i="46"/>
  <c r="O42" i="21"/>
  <c r="K99" i="46"/>
  <c r="N47" i="21"/>
  <c r="K104" i="46"/>
  <c r="M47" i="21"/>
  <c r="N45" i="21"/>
  <c r="K102" i="46"/>
  <c r="J48" i="21"/>
  <c r="M45" i="21"/>
  <c r="N43" i="21"/>
  <c r="K100" i="46"/>
  <c r="M17" i="21"/>
  <c r="N17" i="21" s="1"/>
  <c r="Q17" i="21" s="1"/>
  <c r="M43" i="21"/>
  <c r="H48" i="21"/>
  <c r="N42" i="21"/>
  <c r="N44" i="21"/>
  <c r="N46" i="21"/>
  <c r="M42" i="21"/>
  <c r="M44" i="21"/>
  <c r="M46" i="21"/>
  <c r="O48" i="21" l="1"/>
  <c r="M48" i="21"/>
  <c r="N48" i="21"/>
  <c r="N24" i="58" l="1"/>
  <c r="M24" i="58"/>
  <c r="L24" i="58"/>
  <c r="K24" i="58"/>
  <c r="F24" i="58"/>
  <c r="E24" i="58"/>
  <c r="D24" i="58"/>
  <c r="C24" i="58"/>
  <c r="N23" i="58"/>
  <c r="M23" i="58"/>
  <c r="L23" i="58"/>
  <c r="K23" i="58"/>
  <c r="J23" i="58"/>
  <c r="J24" i="58" s="1"/>
  <c r="I23" i="58"/>
  <c r="I24" i="58" s="1"/>
  <c r="H23" i="58"/>
  <c r="H24" i="58" s="1"/>
  <c r="G23" i="58"/>
  <c r="G24" i="58" s="1"/>
  <c r="F23" i="58"/>
  <c r="E23" i="58"/>
  <c r="D23" i="58"/>
  <c r="C23" i="58"/>
  <c r="N27" i="58" s="1"/>
  <c r="N21" i="58"/>
  <c r="M21" i="58"/>
  <c r="L21" i="58"/>
  <c r="K21" i="58"/>
  <c r="J21" i="58"/>
  <c r="I21" i="58"/>
  <c r="H21" i="58"/>
  <c r="G21" i="58"/>
  <c r="F21" i="58"/>
  <c r="E21" i="58"/>
  <c r="D21" i="58"/>
  <c r="C21" i="58"/>
  <c r="Y19" i="58"/>
  <c r="Y18" i="58"/>
  <c r="Y20" i="58" s="1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J16" i="21"/>
  <c r="L16" i="21"/>
  <c r="D34" i="21" s="1"/>
  <c r="J9" i="21"/>
  <c r="L9" i="21"/>
  <c r="D33" i="21" s="1"/>
  <c r="O9" i="21"/>
  <c r="P9" i="21"/>
  <c r="L23" i="21"/>
  <c r="D35" i="21" s="1"/>
  <c r="H25" i="57" l="1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G22" i="57"/>
  <c r="F22" i="57"/>
  <c r="I22" i="57" s="1"/>
  <c r="K22" i="57" s="1"/>
  <c r="K84" i="50" s="1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H30" i="57"/>
  <c r="G30" i="57"/>
  <c r="F30" i="57"/>
  <c r="I30" i="57" s="1"/>
  <c r="K30" i="57" s="1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H26" i="57"/>
  <c r="G26" i="57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I19" i="57" s="1"/>
  <c r="K19" i="57" s="1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M16" i="21"/>
  <c r="M9" i="21"/>
  <c r="K76" i="50" l="1"/>
  <c r="K74" i="50"/>
  <c r="I26" i="57"/>
  <c r="K26" i="57" s="1"/>
  <c r="K82" i="50"/>
  <c r="K79" i="50"/>
  <c r="K78" i="50"/>
  <c r="K77" i="50"/>
  <c r="H27" i="57"/>
  <c r="F27" i="57"/>
  <c r="I27" i="57" s="1"/>
  <c r="K27" i="57" s="1"/>
  <c r="K80" i="50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K86" i="50" s="1"/>
  <c r="P23" i="21"/>
  <c r="J23" i="21"/>
  <c r="H23" i="21"/>
  <c r="H16" i="21"/>
  <c r="N16" i="21" s="1"/>
  <c r="Q16" i="21" s="1"/>
  <c r="Q19" i="21" s="1"/>
  <c r="H9" i="21"/>
  <c r="N9" i="21" s="1"/>
  <c r="Q9" i="21" s="1"/>
  <c r="F19" i="50"/>
  <c r="B13" i="46"/>
  <c r="G13" i="50"/>
  <c r="G38" i="50"/>
  <c r="M23" i="21" l="1"/>
  <c r="N23" i="21" s="1"/>
  <c r="Q23" i="21" s="1"/>
  <c r="G35" i="50"/>
  <c r="L41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C55" i="56"/>
  <c r="C56" i="56"/>
  <c r="C58" i="46"/>
  <c r="C57" i="46"/>
  <c r="K34" i="56"/>
  <c r="K33" i="56"/>
  <c r="K32" i="56"/>
  <c r="K26" i="56"/>
  <c r="K25" i="56"/>
  <c r="K24" i="56"/>
  <c r="B1" i="56"/>
  <c r="B1" i="46"/>
  <c r="B1" i="42"/>
  <c r="B1" i="47"/>
  <c r="B1" i="21"/>
  <c r="C41" i="50" l="1"/>
  <c r="C6" i="47" l="1"/>
  <c r="F16" i="50"/>
  <c r="F18" i="50"/>
  <c r="C26" i="56"/>
  <c r="C25" i="56"/>
  <c r="C24" i="56"/>
  <c r="C28" i="46"/>
  <c r="C27" i="46"/>
  <c r="C26" i="46"/>
  <c r="C36" i="46"/>
  <c r="C35" i="46"/>
  <c r="C32" i="56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33" i="56" l="1"/>
  <c r="C34" i="46"/>
  <c r="C34" i="56"/>
  <c r="B12" i="56"/>
  <c r="B14" i="46"/>
  <c r="C90" i="56" l="1"/>
  <c r="C89" i="56"/>
  <c r="C88" i="56"/>
  <c r="C81" i="56"/>
  <c r="C73" i="56"/>
  <c r="C72" i="56"/>
  <c r="C71" i="56"/>
  <c r="C65" i="56"/>
  <c r="C64" i="56"/>
  <c r="C63" i="56"/>
  <c r="C92" i="46"/>
  <c r="C91" i="46"/>
  <c r="C90" i="46"/>
  <c r="C83" i="46"/>
  <c r="C82" i="46"/>
  <c r="C81" i="46"/>
  <c r="C75" i="46"/>
  <c r="C74" i="46"/>
  <c r="C73" i="46"/>
  <c r="C67" i="46"/>
  <c r="C66" i="46"/>
  <c r="C65" i="46"/>
  <c r="C80" i="56" l="1"/>
  <c r="C79" i="56"/>
  <c r="C54" i="56"/>
  <c r="B17" i="56"/>
  <c r="B16" i="56"/>
  <c r="B15" i="56"/>
  <c r="B14" i="56"/>
  <c r="B13" i="56"/>
  <c r="B10" i="56"/>
  <c r="B10" i="46" s="1"/>
  <c r="B19" i="46"/>
  <c r="B18" i="46"/>
  <c r="B17" i="46"/>
  <c r="B16" i="46"/>
  <c r="B15" i="46"/>
  <c r="K91" i="46" l="1"/>
  <c r="K92" i="46"/>
  <c r="K90" i="46"/>
  <c r="K35" i="46"/>
  <c r="K34" i="46"/>
  <c r="K36" i="46"/>
  <c r="K81" i="46"/>
  <c r="K83" i="46"/>
  <c r="K82" i="46"/>
  <c r="K67" i="46"/>
  <c r="K65" i="46"/>
  <c r="K66" i="46"/>
  <c r="K74" i="46"/>
  <c r="K75" i="46"/>
  <c r="K73" i="46"/>
  <c r="K28" i="46"/>
  <c r="K27" i="46"/>
  <c r="K26" i="46"/>
  <c r="C56" i="46"/>
  <c r="C40" i="50"/>
  <c r="G36" i="50"/>
  <c r="C35" i="50" l="1"/>
  <c r="F17" i="50"/>
  <c r="C17" i="50"/>
  <c r="F15" i="50"/>
  <c r="E6" i="47"/>
  <c r="F6" i="47"/>
  <c r="G6" i="47"/>
  <c r="H6" i="47"/>
  <c r="D6" i="47"/>
  <c r="F20" i="50" l="1"/>
  <c r="H38" i="50" l="1"/>
  <c r="I38" i="50" s="1"/>
  <c r="J38" i="50" s="1"/>
  <c r="K38" i="50" s="1"/>
  <c r="G39" i="50" l="1"/>
  <c r="H39" i="50" l="1"/>
  <c r="I39" i="50" s="1"/>
  <c r="J39" i="50" s="1"/>
  <c r="K39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63" i="50"/>
  <c r="I63" i="50"/>
  <c r="H63" i="50"/>
  <c r="K48" i="50"/>
  <c r="K49" i="50"/>
  <c r="K47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Q12" i="21" l="1"/>
  <c r="C19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0" i="42"/>
  <c r="F23" i="32" l="1"/>
  <c r="C16" i="32"/>
  <c r="Q26" i="21" l="1"/>
  <c r="C21" i="42" s="1"/>
  <c r="E16" i="32"/>
  <c r="D16" i="32"/>
  <c r="F14" i="32" l="1"/>
  <c r="G12" i="50" s="1"/>
  <c r="G14" i="50" s="1"/>
  <c r="F25" i="50" l="1"/>
  <c r="F27" i="50" s="1"/>
  <c r="F28" i="50" s="1"/>
  <c r="F29" i="50" s="1"/>
  <c r="F30" i="50" s="1"/>
  <c r="F31" i="50" s="1"/>
  <c r="F40" i="50"/>
  <c r="F15" i="32"/>
  <c r="F16" i="32" s="1"/>
  <c r="G40" i="50" l="1"/>
  <c r="K40" i="50" l="1"/>
  <c r="G26" i="50" s="1"/>
  <c r="G27" i="50" s="1"/>
  <c r="G28" i="50" s="1"/>
  <c r="G29" i="50" s="1"/>
  <c r="G30" i="50" s="1"/>
  <c r="G31" i="50" s="1"/>
  <c r="J40" i="50"/>
  <c r="I40" i="50"/>
  <c r="H40" i="50"/>
  <c r="F41" i="50" l="1"/>
  <c r="C5" i="47" l="1"/>
  <c r="C12" i="47" s="1"/>
  <c r="D8" i="42"/>
  <c r="L60" i="50"/>
  <c r="D13" i="42" s="1"/>
  <c r="G41" i="50"/>
  <c r="D5" i="47" s="1"/>
  <c r="D7" i="46"/>
  <c r="L62" i="50"/>
  <c r="D15" i="42" s="1"/>
  <c r="L61" i="50"/>
  <c r="D57" i="46" s="1"/>
  <c r="I41" i="50"/>
  <c r="O60" i="50" s="1"/>
  <c r="D7" i="56"/>
  <c r="H41" i="50"/>
  <c r="K41" i="50"/>
  <c r="J41" i="50"/>
  <c r="C10" i="47" l="1"/>
  <c r="C11" i="47"/>
  <c r="D11" i="47"/>
  <c r="D10" i="47"/>
  <c r="D12" i="47"/>
  <c r="M61" i="50"/>
  <c r="E57" i="46" s="1"/>
  <c r="M60" i="50"/>
  <c r="E13" i="42" s="1"/>
  <c r="M62" i="50"/>
  <c r="E58" i="46" s="1"/>
  <c r="D54" i="56"/>
  <c r="D56" i="46"/>
  <c r="D65" i="46" s="1"/>
  <c r="L65" i="46" s="1"/>
  <c r="L63" i="50"/>
  <c r="D58" i="46"/>
  <c r="D50" i="46" s="1"/>
  <c r="F5" i="47"/>
  <c r="F10" i="47" s="1"/>
  <c r="D55" i="56"/>
  <c r="D64" i="56" s="1"/>
  <c r="O62" i="50"/>
  <c r="G58" i="46" s="1"/>
  <c r="D14" i="42"/>
  <c r="D35" i="46" s="1"/>
  <c r="L35" i="46" s="1"/>
  <c r="O61" i="50"/>
  <c r="G14" i="42" s="1"/>
  <c r="D56" i="56"/>
  <c r="D48" i="56" s="1"/>
  <c r="L48" i="56" s="1"/>
  <c r="D36" i="46"/>
  <c r="L36" i="46" s="1"/>
  <c r="D28" i="46"/>
  <c r="L28" i="46" s="1"/>
  <c r="D26" i="46"/>
  <c r="L26" i="46" s="1"/>
  <c r="D34" i="46"/>
  <c r="L34" i="46" s="1"/>
  <c r="G13" i="42"/>
  <c r="G56" i="46"/>
  <c r="G5" i="47"/>
  <c r="G11" i="47" s="1"/>
  <c r="P60" i="50"/>
  <c r="P61" i="50"/>
  <c r="P62" i="50"/>
  <c r="E5" i="47"/>
  <c r="E12" i="47" s="1"/>
  <c r="N60" i="50"/>
  <c r="N62" i="50"/>
  <c r="N61" i="50"/>
  <c r="H5" i="47"/>
  <c r="H10" i="47" s="1"/>
  <c r="Q61" i="50"/>
  <c r="Q60" i="50"/>
  <c r="Q62" i="50"/>
  <c r="D90" i="46"/>
  <c r="L90" i="46" s="1"/>
  <c r="H7" i="56"/>
  <c r="H7" i="46"/>
  <c r="H8" i="42"/>
  <c r="G7" i="56"/>
  <c r="G8" i="42"/>
  <c r="G7" i="46"/>
  <c r="I7" i="56"/>
  <c r="I8" i="42"/>
  <c r="I7" i="46"/>
  <c r="E8" i="42"/>
  <c r="E7" i="56"/>
  <c r="E7" i="46"/>
  <c r="C7" i="47"/>
  <c r="D24" i="56"/>
  <c r="L24" i="56" s="1"/>
  <c r="D32" i="56"/>
  <c r="L32" i="56" s="1"/>
  <c r="F8" i="42"/>
  <c r="F7" i="46"/>
  <c r="F7" i="56"/>
  <c r="D34" i="56"/>
  <c r="L34" i="56" s="1"/>
  <c r="D26" i="56"/>
  <c r="L26" i="56" s="1"/>
  <c r="D66" i="46"/>
  <c r="L66" i="46" s="1"/>
  <c r="D73" i="46"/>
  <c r="L73" i="46" s="1"/>
  <c r="D102" i="46" l="1"/>
  <c r="L102" i="46" s="1"/>
  <c r="D101" i="56"/>
  <c r="L101" i="56" s="1"/>
  <c r="D100" i="56"/>
  <c r="L100" i="56" s="1"/>
  <c r="D103" i="46"/>
  <c r="D104" i="46"/>
  <c r="L104" i="46" s="1"/>
  <c r="D97" i="56"/>
  <c r="L97" i="56" s="1"/>
  <c r="D99" i="56"/>
  <c r="L99" i="56" s="1"/>
  <c r="D101" i="46"/>
  <c r="L101" i="46" s="1"/>
  <c r="D100" i="46"/>
  <c r="L100" i="46" s="1"/>
  <c r="D99" i="46"/>
  <c r="L99" i="46" s="1"/>
  <c r="D102" i="56"/>
  <c r="L102" i="56" s="1"/>
  <c r="G101" i="46"/>
  <c r="D98" i="56"/>
  <c r="L98" i="56" s="1"/>
  <c r="D63" i="56"/>
  <c r="D47" i="56"/>
  <c r="L47" i="56" s="1"/>
  <c r="D41" i="56"/>
  <c r="E56" i="46"/>
  <c r="E65" i="46" s="1"/>
  <c r="M65" i="46" s="1"/>
  <c r="D65" i="56"/>
  <c r="D66" i="56" s="1"/>
  <c r="D13" i="56" s="1"/>
  <c r="E15" i="42"/>
  <c r="M63" i="50"/>
  <c r="C13" i="47"/>
  <c r="E14" i="42"/>
  <c r="E35" i="46" s="1"/>
  <c r="M35" i="46" s="1"/>
  <c r="D25" i="56"/>
  <c r="L25" i="56" s="1"/>
  <c r="L27" i="56" s="1"/>
  <c r="L10" i="56" s="1"/>
  <c r="D33" i="56"/>
  <c r="L33" i="56" s="1"/>
  <c r="L35" i="56" s="1"/>
  <c r="L11" i="56" s="1"/>
  <c r="D27" i="46"/>
  <c r="L27" i="46" s="1"/>
  <c r="L29" i="46" s="1"/>
  <c r="L12" i="46" s="1"/>
  <c r="G57" i="46"/>
  <c r="G66" i="46" s="1"/>
  <c r="O66" i="46" s="1"/>
  <c r="F12" i="47"/>
  <c r="F11" i="47"/>
  <c r="D57" i="56"/>
  <c r="G15" i="42"/>
  <c r="G36" i="46" s="1"/>
  <c r="O36" i="46" s="1"/>
  <c r="O63" i="50"/>
  <c r="D49" i="56"/>
  <c r="D12" i="56" s="1"/>
  <c r="G10" i="47"/>
  <c r="L37" i="46"/>
  <c r="L13" i="46" s="1"/>
  <c r="G12" i="47"/>
  <c r="G27" i="46"/>
  <c r="O27" i="46" s="1"/>
  <c r="G35" i="46"/>
  <c r="O35" i="46" s="1"/>
  <c r="G26" i="46"/>
  <c r="O26" i="46" s="1"/>
  <c r="G34" i="46"/>
  <c r="O34" i="46" s="1"/>
  <c r="E26" i="46"/>
  <c r="M26" i="46" s="1"/>
  <c r="E34" i="46"/>
  <c r="M34" i="46" s="1"/>
  <c r="H14" i="42"/>
  <c r="H57" i="46"/>
  <c r="H66" i="46" s="1"/>
  <c r="P66" i="46" s="1"/>
  <c r="H13" i="42"/>
  <c r="H56" i="46"/>
  <c r="H65" i="46" s="1"/>
  <c r="P65" i="46" s="1"/>
  <c r="H58" i="46"/>
  <c r="H15" i="42"/>
  <c r="H81" i="56" s="1"/>
  <c r="F14" i="42"/>
  <c r="F57" i="46"/>
  <c r="F66" i="46" s="1"/>
  <c r="N66" i="46" s="1"/>
  <c r="I15" i="42"/>
  <c r="I81" i="56" s="1"/>
  <c r="I58" i="46"/>
  <c r="I14" i="42"/>
  <c r="I57" i="46"/>
  <c r="I66" i="46" s="1"/>
  <c r="Q66" i="46" s="1"/>
  <c r="H12" i="47"/>
  <c r="F15" i="42"/>
  <c r="F58" i="46"/>
  <c r="I13" i="42"/>
  <c r="I56" i="46"/>
  <c r="I65" i="46" s="1"/>
  <c r="Q65" i="46" s="1"/>
  <c r="H11" i="47"/>
  <c r="F13" i="42"/>
  <c r="F56" i="46"/>
  <c r="F65" i="46" s="1"/>
  <c r="N65" i="46" s="1"/>
  <c r="N63" i="50"/>
  <c r="Q63" i="50"/>
  <c r="E11" i="47"/>
  <c r="E10" i="47"/>
  <c r="P63" i="50"/>
  <c r="D37" i="46"/>
  <c r="D13" i="46" s="1"/>
  <c r="E56" i="56"/>
  <c r="E48" i="56" s="1"/>
  <c r="M48" i="56" s="1"/>
  <c r="E54" i="56"/>
  <c r="E55" i="56"/>
  <c r="H55" i="56"/>
  <c r="H64" i="56" s="1"/>
  <c r="H54" i="56"/>
  <c r="F55" i="56"/>
  <c r="F56" i="56"/>
  <c r="F48" i="56" s="1"/>
  <c r="N48" i="56" s="1"/>
  <c r="H56" i="56"/>
  <c r="H48" i="56" s="1"/>
  <c r="P48" i="56" s="1"/>
  <c r="F54" i="56"/>
  <c r="I55" i="56"/>
  <c r="I64" i="56" s="1"/>
  <c r="I54" i="56"/>
  <c r="I56" i="56"/>
  <c r="I48" i="56" s="1"/>
  <c r="Q48" i="56" s="1"/>
  <c r="G55" i="56"/>
  <c r="G64" i="56" s="1"/>
  <c r="G54" i="56"/>
  <c r="G56" i="56"/>
  <c r="G48" i="56" s="1"/>
  <c r="O48" i="56" s="1"/>
  <c r="D89" i="56"/>
  <c r="D80" i="56"/>
  <c r="D72" i="56"/>
  <c r="D73" i="56"/>
  <c r="D90" i="56"/>
  <c r="D81" i="56"/>
  <c r="D71" i="56"/>
  <c r="D88" i="56"/>
  <c r="D79" i="56"/>
  <c r="D67" i="46"/>
  <c r="L67" i="46" s="1"/>
  <c r="L103" i="46"/>
  <c r="D91" i="46"/>
  <c r="L91" i="46" s="1"/>
  <c r="D92" i="46"/>
  <c r="L92" i="46" s="1"/>
  <c r="D81" i="46"/>
  <c r="L81" i="46" s="1"/>
  <c r="D51" i="46"/>
  <c r="D59" i="46"/>
  <c r="E66" i="46"/>
  <c r="M66" i="46" s="1"/>
  <c r="E50" i="46"/>
  <c r="G65" i="46"/>
  <c r="O65" i="46" s="1"/>
  <c r="G50" i="46"/>
  <c r="D83" i="46"/>
  <c r="L83" i="46" s="1"/>
  <c r="D13" i="47"/>
  <c r="D21" i="42"/>
  <c r="D75" i="46"/>
  <c r="L75" i="46" s="1"/>
  <c r="D16" i="42"/>
  <c r="D19" i="42"/>
  <c r="D82" i="46"/>
  <c r="L82" i="46" s="1"/>
  <c r="D74" i="46"/>
  <c r="L74" i="46" s="1"/>
  <c r="D20" i="42"/>
  <c r="E98" i="56" l="1"/>
  <c r="M98" i="56" s="1"/>
  <c r="G102" i="56"/>
  <c r="O102" i="56" s="1"/>
  <c r="G98" i="56"/>
  <c r="O98" i="56" s="1"/>
  <c r="E99" i="46"/>
  <c r="F79" i="56"/>
  <c r="F103" i="46"/>
  <c r="N103" i="46" s="1"/>
  <c r="F98" i="56"/>
  <c r="N98" i="56" s="1"/>
  <c r="F102" i="56"/>
  <c r="N102" i="56" s="1"/>
  <c r="F100" i="46"/>
  <c r="N100" i="46" s="1"/>
  <c r="F99" i="46"/>
  <c r="N99" i="46" s="1"/>
  <c r="F101" i="46"/>
  <c r="N101" i="46" s="1"/>
  <c r="F100" i="56"/>
  <c r="N100" i="56" s="1"/>
  <c r="F97" i="56"/>
  <c r="N97" i="56" s="1"/>
  <c r="F104" i="46"/>
  <c r="N104" i="46" s="1"/>
  <c r="F99" i="56"/>
  <c r="N99" i="56" s="1"/>
  <c r="F101" i="56"/>
  <c r="N101" i="56" s="1"/>
  <c r="F102" i="46"/>
  <c r="N102" i="46" s="1"/>
  <c r="E36" i="46"/>
  <c r="M36" i="46" s="1"/>
  <c r="G104" i="46"/>
  <c r="O104" i="46" s="1"/>
  <c r="E99" i="56"/>
  <c r="M99" i="56" s="1"/>
  <c r="E100" i="46"/>
  <c r="M100" i="46" s="1"/>
  <c r="G99" i="46"/>
  <c r="O99" i="46" s="1"/>
  <c r="E28" i="46"/>
  <c r="M28" i="46" s="1"/>
  <c r="G99" i="56"/>
  <c r="O99" i="56" s="1"/>
  <c r="G102" i="46"/>
  <c r="E102" i="46"/>
  <c r="M102" i="46" s="1"/>
  <c r="G101" i="56"/>
  <c r="O101" i="56" s="1"/>
  <c r="E101" i="46"/>
  <c r="M101" i="46" s="1"/>
  <c r="G100" i="46"/>
  <c r="O100" i="46" s="1"/>
  <c r="E97" i="56"/>
  <c r="M97" i="56" s="1"/>
  <c r="E104" i="46"/>
  <c r="M104" i="46" s="1"/>
  <c r="E101" i="56"/>
  <c r="M101" i="56" s="1"/>
  <c r="E102" i="56"/>
  <c r="M102" i="56" s="1"/>
  <c r="I100" i="46"/>
  <c r="Q100" i="46" s="1"/>
  <c r="I99" i="56"/>
  <c r="Q99" i="56" s="1"/>
  <c r="I103" i="46"/>
  <c r="Q103" i="46" s="1"/>
  <c r="I100" i="56"/>
  <c r="Q100" i="56" s="1"/>
  <c r="I97" i="56"/>
  <c r="Q97" i="56" s="1"/>
  <c r="I102" i="46"/>
  <c r="Q102" i="46" s="1"/>
  <c r="I104" i="46"/>
  <c r="Q104" i="46" s="1"/>
  <c r="I101" i="56"/>
  <c r="Q101" i="56" s="1"/>
  <c r="I101" i="46"/>
  <c r="Q101" i="46" s="1"/>
  <c r="I98" i="56"/>
  <c r="Q98" i="56" s="1"/>
  <c r="I99" i="46"/>
  <c r="Q99" i="46" s="1"/>
  <c r="I102" i="56"/>
  <c r="Q102" i="56" s="1"/>
  <c r="G97" i="56"/>
  <c r="O97" i="56" s="1"/>
  <c r="E100" i="56"/>
  <c r="M100" i="56" s="1"/>
  <c r="H97" i="56"/>
  <c r="P97" i="56" s="1"/>
  <c r="H99" i="46"/>
  <c r="P99" i="46" s="1"/>
  <c r="H100" i="56"/>
  <c r="P100" i="56" s="1"/>
  <c r="H100" i="46"/>
  <c r="P100" i="46" s="1"/>
  <c r="H102" i="46"/>
  <c r="P102" i="46" s="1"/>
  <c r="H104" i="46"/>
  <c r="P104" i="46" s="1"/>
  <c r="H99" i="56"/>
  <c r="P99" i="56" s="1"/>
  <c r="H101" i="56"/>
  <c r="P101" i="56" s="1"/>
  <c r="H102" i="56"/>
  <c r="P102" i="56" s="1"/>
  <c r="H101" i="46"/>
  <c r="P101" i="46" s="1"/>
  <c r="H103" i="46"/>
  <c r="P103" i="46" s="1"/>
  <c r="H98" i="56"/>
  <c r="P98" i="56" s="1"/>
  <c r="G100" i="56"/>
  <c r="O100" i="56" s="1"/>
  <c r="G103" i="46"/>
  <c r="O103" i="46" s="1"/>
  <c r="E103" i="46"/>
  <c r="M103" i="46" s="1"/>
  <c r="G63" i="56"/>
  <c r="G47" i="56"/>
  <c r="O47" i="56" s="1"/>
  <c r="O49" i="56" s="1"/>
  <c r="G41" i="56"/>
  <c r="E63" i="56"/>
  <c r="E47" i="56"/>
  <c r="M47" i="56" s="1"/>
  <c r="M49" i="56" s="1"/>
  <c r="E41" i="56"/>
  <c r="I63" i="56"/>
  <c r="I47" i="56"/>
  <c r="Q47" i="56" s="1"/>
  <c r="Q49" i="56" s="1"/>
  <c r="I41" i="56"/>
  <c r="F63" i="56"/>
  <c r="F47" i="56"/>
  <c r="N47" i="56" s="1"/>
  <c r="N49" i="56" s="1"/>
  <c r="F41" i="56"/>
  <c r="H47" i="56"/>
  <c r="P47" i="56" s="1"/>
  <c r="P49" i="56" s="1"/>
  <c r="H41" i="56"/>
  <c r="D29" i="46"/>
  <c r="D27" i="56"/>
  <c r="D10" i="56" s="1"/>
  <c r="D10" i="46" s="1"/>
  <c r="E27" i="46"/>
  <c r="M27" i="46" s="1"/>
  <c r="D35" i="56"/>
  <c r="D11" i="56" s="1"/>
  <c r="D11" i="46" s="1"/>
  <c r="F13" i="47"/>
  <c r="L49" i="56"/>
  <c r="L12" i="56" s="1"/>
  <c r="G28" i="46"/>
  <c r="O28" i="46" s="1"/>
  <c r="O29" i="46" s="1"/>
  <c r="O30" i="46" s="1"/>
  <c r="G13" i="47"/>
  <c r="H21" i="42"/>
  <c r="H75" i="46"/>
  <c r="P75" i="46" s="1"/>
  <c r="H34" i="56"/>
  <c r="P34" i="56" s="1"/>
  <c r="H83" i="46"/>
  <c r="P83" i="46" s="1"/>
  <c r="H26" i="56"/>
  <c r="P26" i="56" s="1"/>
  <c r="H92" i="46"/>
  <c r="P92" i="46" s="1"/>
  <c r="H73" i="56"/>
  <c r="H90" i="56"/>
  <c r="I34" i="56"/>
  <c r="Q34" i="56" s="1"/>
  <c r="I26" i="56"/>
  <c r="Q26" i="56" s="1"/>
  <c r="I21" i="42"/>
  <c r="H13" i="47"/>
  <c r="I90" i="56"/>
  <c r="E7" i="47"/>
  <c r="F32" i="56"/>
  <c r="N32" i="56" s="1"/>
  <c r="F88" i="56"/>
  <c r="F24" i="56"/>
  <c r="N24" i="56" s="1"/>
  <c r="F19" i="42"/>
  <c r="F71" i="56"/>
  <c r="F90" i="46"/>
  <c r="N90" i="46" s="1"/>
  <c r="F73" i="46"/>
  <c r="N73" i="46" s="1"/>
  <c r="F81" i="46"/>
  <c r="N81" i="46" s="1"/>
  <c r="E13" i="47"/>
  <c r="F26" i="46"/>
  <c r="N26" i="46" s="1"/>
  <c r="F34" i="46"/>
  <c r="N34" i="46" s="1"/>
  <c r="I27" i="46"/>
  <c r="Q27" i="46" s="1"/>
  <c r="I35" i="46"/>
  <c r="Q35" i="46" s="1"/>
  <c r="H26" i="46"/>
  <c r="P26" i="46" s="1"/>
  <c r="H34" i="46"/>
  <c r="P34" i="46" s="1"/>
  <c r="I28" i="46"/>
  <c r="Q28" i="46" s="1"/>
  <c r="I36" i="46"/>
  <c r="Q36" i="46" s="1"/>
  <c r="H27" i="46"/>
  <c r="P27" i="46" s="1"/>
  <c r="H35" i="46"/>
  <c r="P35" i="46" s="1"/>
  <c r="I26" i="46"/>
  <c r="Q26" i="46" s="1"/>
  <c r="I34" i="46"/>
  <c r="Q34" i="46" s="1"/>
  <c r="M37" i="46"/>
  <c r="M38" i="46" s="1"/>
  <c r="F35" i="46"/>
  <c r="N35" i="46" s="1"/>
  <c r="F27" i="46"/>
  <c r="N27" i="46" s="1"/>
  <c r="F36" i="46"/>
  <c r="N36" i="46" s="1"/>
  <c r="F28" i="46"/>
  <c r="N28" i="46" s="1"/>
  <c r="H28" i="46"/>
  <c r="P28" i="46" s="1"/>
  <c r="H36" i="46"/>
  <c r="P36" i="46" s="1"/>
  <c r="O37" i="46"/>
  <c r="O38" i="46" s="1"/>
  <c r="I75" i="46"/>
  <c r="Q75" i="46" s="1"/>
  <c r="I92" i="46"/>
  <c r="Q92" i="46" s="1"/>
  <c r="I73" i="56"/>
  <c r="I83" i="46"/>
  <c r="Q83" i="46" s="1"/>
  <c r="D42" i="56"/>
  <c r="E65" i="56"/>
  <c r="E57" i="56"/>
  <c r="E58" i="56" s="1"/>
  <c r="E64" i="56"/>
  <c r="H65" i="56"/>
  <c r="I65" i="56"/>
  <c r="F57" i="56"/>
  <c r="F58" i="56" s="1"/>
  <c r="F64" i="56"/>
  <c r="F65" i="56"/>
  <c r="H57" i="56"/>
  <c r="H58" i="56" s="1"/>
  <c r="H63" i="56"/>
  <c r="I57" i="56"/>
  <c r="I58" i="56" s="1"/>
  <c r="G57" i="56"/>
  <c r="G58" i="56" s="1"/>
  <c r="G65" i="56"/>
  <c r="E32" i="56"/>
  <c r="M32" i="56" s="1"/>
  <c r="E24" i="56"/>
  <c r="M24" i="56" s="1"/>
  <c r="F25" i="56"/>
  <c r="N25" i="56" s="1"/>
  <c r="F33" i="56"/>
  <c r="N33" i="56" s="1"/>
  <c r="G24" i="56"/>
  <c r="O24" i="56" s="1"/>
  <c r="G32" i="56"/>
  <c r="O32" i="56" s="1"/>
  <c r="E25" i="56"/>
  <c r="M25" i="56" s="1"/>
  <c r="E33" i="56"/>
  <c r="M33" i="56" s="1"/>
  <c r="F34" i="56"/>
  <c r="N34" i="56" s="1"/>
  <c r="F26" i="56"/>
  <c r="N26" i="56" s="1"/>
  <c r="G25" i="56"/>
  <c r="O25" i="56" s="1"/>
  <c r="G33" i="56"/>
  <c r="O33" i="56" s="1"/>
  <c r="I24" i="56"/>
  <c r="Q24" i="56" s="1"/>
  <c r="I32" i="56"/>
  <c r="Q32" i="56" s="1"/>
  <c r="H33" i="56"/>
  <c r="P33" i="56" s="1"/>
  <c r="H25" i="56"/>
  <c r="P25" i="56" s="1"/>
  <c r="E26" i="56"/>
  <c r="M26" i="56" s="1"/>
  <c r="E34" i="56"/>
  <c r="M34" i="56" s="1"/>
  <c r="G26" i="56"/>
  <c r="O26" i="56" s="1"/>
  <c r="G34" i="56"/>
  <c r="O34" i="56" s="1"/>
  <c r="I33" i="56"/>
  <c r="Q33" i="56" s="1"/>
  <c r="I25" i="56"/>
  <c r="Q25" i="56" s="1"/>
  <c r="H32" i="56"/>
  <c r="P32" i="56" s="1"/>
  <c r="H24" i="56"/>
  <c r="P24" i="56" s="1"/>
  <c r="H67" i="46"/>
  <c r="H50" i="46"/>
  <c r="D14" i="46"/>
  <c r="D44" i="46"/>
  <c r="F67" i="46"/>
  <c r="N67" i="46" s="1"/>
  <c r="F50" i="46"/>
  <c r="I67" i="46"/>
  <c r="I50" i="46"/>
  <c r="D91" i="56"/>
  <c r="D16" i="56" s="1"/>
  <c r="E71" i="56"/>
  <c r="E88" i="56"/>
  <c r="E79" i="56"/>
  <c r="E89" i="56"/>
  <c r="E72" i="56"/>
  <c r="E80" i="56"/>
  <c r="F73" i="56"/>
  <c r="F81" i="56"/>
  <c r="F90" i="56"/>
  <c r="G89" i="56"/>
  <c r="G72" i="56"/>
  <c r="G80" i="56"/>
  <c r="I79" i="56"/>
  <c r="I88" i="56"/>
  <c r="I71" i="56"/>
  <c r="L103" i="56"/>
  <c r="L17" i="56" s="1"/>
  <c r="D103" i="56"/>
  <c r="D17" i="56" s="1"/>
  <c r="G79" i="56"/>
  <c r="G88" i="56"/>
  <c r="G71" i="56"/>
  <c r="E73" i="56"/>
  <c r="E90" i="56"/>
  <c r="E81" i="56"/>
  <c r="G81" i="56"/>
  <c r="G90" i="56"/>
  <c r="G73" i="56"/>
  <c r="I89" i="56"/>
  <c r="I72" i="56"/>
  <c r="I80" i="56"/>
  <c r="H88" i="56"/>
  <c r="H71" i="56"/>
  <c r="H79" i="56"/>
  <c r="D74" i="56"/>
  <c r="D14" i="56" s="1"/>
  <c r="H89" i="56"/>
  <c r="H72" i="56"/>
  <c r="H80" i="56"/>
  <c r="F89" i="56"/>
  <c r="F72" i="56"/>
  <c r="F80" i="56"/>
  <c r="D82" i="56"/>
  <c r="D15" i="56" s="1"/>
  <c r="L105" i="46"/>
  <c r="L19" i="46" s="1"/>
  <c r="L93" i="46"/>
  <c r="L18" i="46" s="1"/>
  <c r="L76" i="46"/>
  <c r="L84" i="46"/>
  <c r="L17" i="46" s="1"/>
  <c r="D68" i="46"/>
  <c r="D15" i="46" s="1"/>
  <c r="L68" i="46"/>
  <c r="L15" i="46" s="1"/>
  <c r="E67" i="46"/>
  <c r="M67" i="46" s="1"/>
  <c r="G67" i="46"/>
  <c r="O67" i="46" s="1"/>
  <c r="M99" i="46"/>
  <c r="O101" i="46"/>
  <c r="O102" i="46"/>
  <c r="G91" i="46"/>
  <c r="O91" i="46" s="1"/>
  <c r="E92" i="46"/>
  <c r="M92" i="46" s="1"/>
  <c r="G92" i="46"/>
  <c r="O92" i="46" s="1"/>
  <c r="I90" i="46"/>
  <c r="Q90" i="46" s="1"/>
  <c r="E90" i="46"/>
  <c r="M90" i="46" s="1"/>
  <c r="I91" i="46"/>
  <c r="Q91" i="46" s="1"/>
  <c r="F91" i="46"/>
  <c r="N91" i="46" s="1"/>
  <c r="H90" i="46"/>
  <c r="P90" i="46" s="1"/>
  <c r="G90" i="46"/>
  <c r="O90" i="46" s="1"/>
  <c r="H91" i="46"/>
  <c r="P91" i="46" s="1"/>
  <c r="E91" i="46"/>
  <c r="M91" i="46" s="1"/>
  <c r="F92" i="46"/>
  <c r="N92" i="46" s="1"/>
  <c r="D7" i="47"/>
  <c r="G7" i="47"/>
  <c r="H7" i="47"/>
  <c r="F7" i="47"/>
  <c r="G51" i="46"/>
  <c r="E51" i="46"/>
  <c r="E73" i="46"/>
  <c r="M73" i="46" s="1"/>
  <c r="E59" i="46"/>
  <c r="F59" i="46"/>
  <c r="G59" i="46"/>
  <c r="I59" i="46"/>
  <c r="H59" i="46"/>
  <c r="H82" i="46"/>
  <c r="P82" i="46" s="1"/>
  <c r="E19" i="42"/>
  <c r="F82" i="46"/>
  <c r="N82" i="46" s="1"/>
  <c r="E20" i="42"/>
  <c r="G82" i="46"/>
  <c r="O82" i="46" s="1"/>
  <c r="E83" i="46"/>
  <c r="M83" i="46" s="1"/>
  <c r="F83" i="46"/>
  <c r="N83" i="46" s="1"/>
  <c r="H73" i="46"/>
  <c r="P73" i="46" s="1"/>
  <c r="H19" i="42"/>
  <c r="H81" i="46"/>
  <c r="P81" i="46" s="1"/>
  <c r="H16" i="42"/>
  <c r="H74" i="46"/>
  <c r="P74" i="46" s="1"/>
  <c r="H20" i="42"/>
  <c r="I81" i="46"/>
  <c r="Q81" i="46" s="1"/>
  <c r="I82" i="46"/>
  <c r="Q82" i="46" s="1"/>
  <c r="I20" i="42"/>
  <c r="I16" i="42"/>
  <c r="I73" i="46"/>
  <c r="Q73" i="46" s="1"/>
  <c r="I19" i="42"/>
  <c r="I74" i="46"/>
  <c r="Q74" i="46" s="1"/>
  <c r="F20" i="42"/>
  <c r="F74" i="46"/>
  <c r="N74" i="46" s="1"/>
  <c r="F75" i="46"/>
  <c r="N75" i="46" s="1"/>
  <c r="E21" i="42"/>
  <c r="F16" i="42"/>
  <c r="F21" i="42"/>
  <c r="G83" i="46"/>
  <c r="O83" i="46" s="1"/>
  <c r="G19" i="42"/>
  <c r="G81" i="46"/>
  <c r="O81" i="46" s="1"/>
  <c r="G73" i="46"/>
  <c r="O73" i="46" s="1"/>
  <c r="E75" i="46"/>
  <c r="M75" i="46" s="1"/>
  <c r="E74" i="46"/>
  <c r="M74" i="46" s="1"/>
  <c r="E82" i="46"/>
  <c r="M82" i="46" s="1"/>
  <c r="G74" i="46"/>
  <c r="O74" i="46" s="1"/>
  <c r="G20" i="42"/>
  <c r="E16" i="42"/>
  <c r="G21" i="42"/>
  <c r="E81" i="46"/>
  <c r="M81" i="46" s="1"/>
  <c r="G75" i="46"/>
  <c r="O75" i="46" s="1"/>
  <c r="G16" i="42"/>
  <c r="D22" i="42"/>
  <c r="C18" i="47" s="1"/>
  <c r="D105" i="46"/>
  <c r="D19" i="46" s="1"/>
  <c r="D76" i="46"/>
  <c r="D16" i="46" s="1"/>
  <c r="D84" i="46"/>
  <c r="D93" i="46"/>
  <c r="I66" i="56" l="1"/>
  <c r="I13" i="56" s="1"/>
  <c r="M29" i="46"/>
  <c r="M30" i="46" s="1"/>
  <c r="G66" i="56"/>
  <c r="G67" i="56" s="1"/>
  <c r="Q37" i="46"/>
  <c r="Q38" i="46" s="1"/>
  <c r="N37" i="46"/>
  <c r="N38" i="46" s="1"/>
  <c r="N29" i="46"/>
  <c r="N30" i="46" s="1"/>
  <c r="Q29" i="46"/>
  <c r="Q30" i="46" s="1"/>
  <c r="P67" i="46"/>
  <c r="P68" i="46" s="1"/>
  <c r="P37" i="46"/>
  <c r="P38" i="46" s="1"/>
  <c r="P29" i="46"/>
  <c r="P30" i="46" s="1"/>
  <c r="Q67" i="46"/>
  <c r="Q68" i="46" s="1"/>
  <c r="N27" i="56"/>
  <c r="H66" i="56"/>
  <c r="H67" i="56" s="1"/>
  <c r="O27" i="56"/>
  <c r="P35" i="56"/>
  <c r="M35" i="56"/>
  <c r="N35" i="56"/>
  <c r="Q35" i="56"/>
  <c r="P27" i="56"/>
  <c r="O35" i="56"/>
  <c r="M27" i="56"/>
  <c r="Q27" i="56"/>
  <c r="E66" i="56"/>
  <c r="E13" i="56" s="1"/>
  <c r="E49" i="56"/>
  <c r="E12" i="56" s="1"/>
  <c r="F66" i="56"/>
  <c r="F67" i="56" s="1"/>
  <c r="H49" i="56"/>
  <c r="H42" i="56" s="1"/>
  <c r="H43" i="56" s="1"/>
  <c r="F49" i="56"/>
  <c r="F50" i="56" s="1"/>
  <c r="G49" i="56"/>
  <c r="G42" i="56" s="1"/>
  <c r="G43" i="56" s="1"/>
  <c r="I49" i="56"/>
  <c r="I42" i="56" s="1"/>
  <c r="I43" i="56" s="1"/>
  <c r="F35" i="56"/>
  <c r="F36" i="56" s="1"/>
  <c r="F37" i="46"/>
  <c r="F13" i="46" s="1"/>
  <c r="H37" i="46"/>
  <c r="H38" i="46" s="1"/>
  <c r="G44" i="47" s="1"/>
  <c r="F27" i="56"/>
  <c r="F28" i="56" s="1"/>
  <c r="I29" i="46"/>
  <c r="I37" i="46"/>
  <c r="I38" i="46" s="1"/>
  <c r="H44" i="47" s="1"/>
  <c r="E27" i="56"/>
  <c r="E28" i="56" s="1"/>
  <c r="H35" i="56"/>
  <c r="H11" i="56" s="1"/>
  <c r="H11" i="46" s="1"/>
  <c r="G42" i="47" s="1"/>
  <c r="E37" i="46"/>
  <c r="E38" i="46" s="1"/>
  <c r="D44" i="47" s="1"/>
  <c r="H27" i="56"/>
  <c r="H28" i="56" s="1"/>
  <c r="F29" i="46"/>
  <c r="G29" i="46"/>
  <c r="G37" i="46"/>
  <c r="I35" i="56"/>
  <c r="G35" i="56"/>
  <c r="I27" i="56"/>
  <c r="I28" i="56" s="1"/>
  <c r="G27" i="56"/>
  <c r="G28" i="56" s="1"/>
  <c r="E29" i="46"/>
  <c r="E35" i="56"/>
  <c r="H29" i="46"/>
  <c r="H68" i="46"/>
  <c r="H15" i="46" s="1"/>
  <c r="H51" i="46"/>
  <c r="H44" i="46" s="1"/>
  <c r="I51" i="46"/>
  <c r="I52" i="46" s="1"/>
  <c r="I68" i="46"/>
  <c r="I15" i="46" s="1"/>
  <c r="N68" i="46"/>
  <c r="F51" i="46"/>
  <c r="F14" i="46" s="1"/>
  <c r="F68" i="46"/>
  <c r="F15" i="46" s="1"/>
  <c r="E44" i="46"/>
  <c r="E14" i="46"/>
  <c r="G52" i="46"/>
  <c r="G14" i="46"/>
  <c r="G44" i="46"/>
  <c r="G45" i="46" s="1"/>
  <c r="I67" i="56"/>
  <c r="F91" i="56"/>
  <c r="F16" i="56" s="1"/>
  <c r="F74" i="56"/>
  <c r="F14" i="56" s="1"/>
  <c r="F82" i="56"/>
  <c r="F15" i="56" s="1"/>
  <c r="H91" i="56"/>
  <c r="H92" i="56" s="1"/>
  <c r="L18" i="56"/>
  <c r="C27" i="47" s="1"/>
  <c r="G74" i="56"/>
  <c r="G75" i="56" s="1"/>
  <c r="E82" i="56"/>
  <c r="E83" i="56" s="1"/>
  <c r="H82" i="56"/>
  <c r="H83" i="56" s="1"/>
  <c r="H74" i="56"/>
  <c r="H75" i="56" s="1"/>
  <c r="P103" i="56"/>
  <c r="H103" i="56"/>
  <c r="M12" i="56"/>
  <c r="M50" i="56"/>
  <c r="O12" i="56"/>
  <c r="O50" i="56"/>
  <c r="I74" i="56"/>
  <c r="E91" i="56"/>
  <c r="P12" i="56"/>
  <c r="P50" i="56"/>
  <c r="G91" i="56"/>
  <c r="O103" i="56"/>
  <c r="G103" i="56"/>
  <c r="E74" i="56"/>
  <c r="G82" i="56"/>
  <c r="I91" i="56"/>
  <c r="E103" i="56"/>
  <c r="M103" i="56"/>
  <c r="Q103" i="56"/>
  <c r="I103" i="56"/>
  <c r="N12" i="56"/>
  <c r="N50" i="56"/>
  <c r="N103" i="56"/>
  <c r="F103" i="56"/>
  <c r="I82" i="56"/>
  <c r="Q12" i="56"/>
  <c r="Q50" i="56"/>
  <c r="P105" i="46"/>
  <c r="P106" i="46" s="1"/>
  <c r="Q105" i="46"/>
  <c r="O105" i="46"/>
  <c r="N105" i="46"/>
  <c r="M105" i="46"/>
  <c r="O93" i="46"/>
  <c r="P84" i="46"/>
  <c r="P85" i="46" s="1"/>
  <c r="M93" i="46"/>
  <c r="N84" i="46"/>
  <c r="N85" i="46" s="1"/>
  <c r="O84" i="46"/>
  <c r="O85" i="46" s="1"/>
  <c r="Q84" i="46"/>
  <c r="N93" i="46"/>
  <c r="Q93" i="46"/>
  <c r="P93" i="46"/>
  <c r="N76" i="46"/>
  <c r="N77" i="46" s="1"/>
  <c r="O76" i="46"/>
  <c r="O77" i="46" s="1"/>
  <c r="P76" i="46"/>
  <c r="Q76" i="46"/>
  <c r="M76" i="46"/>
  <c r="M84" i="46"/>
  <c r="M85" i="46" s="1"/>
  <c r="L16" i="46"/>
  <c r="L20" i="46" s="1"/>
  <c r="G68" i="46"/>
  <c r="G15" i="46" s="1"/>
  <c r="O68" i="46"/>
  <c r="E68" i="46"/>
  <c r="E15" i="46" s="1"/>
  <c r="M68" i="46"/>
  <c r="D18" i="46"/>
  <c r="D17" i="46"/>
  <c r="H60" i="46"/>
  <c r="G47" i="47" s="1"/>
  <c r="F60" i="46"/>
  <c r="E47" i="47" s="1"/>
  <c r="E60" i="46"/>
  <c r="D47" i="47" s="1"/>
  <c r="I60" i="46"/>
  <c r="H47" i="47" s="1"/>
  <c r="G60" i="46"/>
  <c r="F47" i="47" s="1"/>
  <c r="E22" i="42"/>
  <c r="E24" i="42" s="1"/>
  <c r="F84" i="46"/>
  <c r="F17" i="46" s="1"/>
  <c r="H84" i="46"/>
  <c r="H17" i="46" s="1"/>
  <c r="H93" i="46"/>
  <c r="H22" i="42"/>
  <c r="H24" i="42" s="1"/>
  <c r="H105" i="46"/>
  <c r="H76" i="46"/>
  <c r="H16" i="46" s="1"/>
  <c r="I84" i="46"/>
  <c r="I17" i="46" s="1"/>
  <c r="I105" i="46"/>
  <c r="F93" i="46"/>
  <c r="I93" i="46"/>
  <c r="F76" i="46"/>
  <c r="F16" i="46" s="1"/>
  <c r="I76" i="46"/>
  <c r="I16" i="46" s="1"/>
  <c r="G93" i="46"/>
  <c r="I22" i="42"/>
  <c r="I24" i="42" s="1"/>
  <c r="F105" i="46"/>
  <c r="E105" i="46"/>
  <c r="G84" i="46"/>
  <c r="G17" i="46" s="1"/>
  <c r="F22" i="42"/>
  <c r="F24" i="42" s="1"/>
  <c r="E93" i="46"/>
  <c r="E76" i="46"/>
  <c r="E16" i="46" s="1"/>
  <c r="G105" i="46"/>
  <c r="E52" i="46"/>
  <c r="D46" i="47" s="1"/>
  <c r="E84" i="46"/>
  <c r="E17" i="46" s="1"/>
  <c r="G76" i="46"/>
  <c r="G16" i="46" s="1"/>
  <c r="G22" i="42"/>
  <c r="G24" i="42" s="1"/>
  <c r="G13" i="56" l="1"/>
  <c r="O36" i="56"/>
  <c r="O11" i="56"/>
  <c r="P28" i="56"/>
  <c r="P10" i="56"/>
  <c r="N28" i="56"/>
  <c r="N10" i="56"/>
  <c r="Q36" i="56"/>
  <c r="Q11" i="56"/>
  <c r="N36" i="56"/>
  <c r="N11" i="56"/>
  <c r="M36" i="56"/>
  <c r="M11" i="56"/>
  <c r="P36" i="56"/>
  <c r="P11" i="56"/>
  <c r="Q28" i="56"/>
  <c r="Q10" i="56"/>
  <c r="O28" i="56"/>
  <c r="O10" i="56"/>
  <c r="M28" i="56"/>
  <c r="M10" i="56"/>
  <c r="H13" i="56"/>
  <c r="P15" i="46"/>
  <c r="P69" i="46"/>
  <c r="Q15" i="46"/>
  <c r="Q69" i="46"/>
  <c r="E67" i="56"/>
  <c r="F10" i="56"/>
  <c r="F10" i="46" s="1"/>
  <c r="E41" i="47" s="1"/>
  <c r="E42" i="56"/>
  <c r="E43" i="56" s="1"/>
  <c r="F42" i="56"/>
  <c r="F43" i="56" s="1"/>
  <c r="E50" i="56"/>
  <c r="I12" i="56"/>
  <c r="H50" i="56"/>
  <c r="F13" i="56"/>
  <c r="F12" i="56"/>
  <c r="I50" i="56"/>
  <c r="H12" i="56"/>
  <c r="G50" i="56"/>
  <c r="G12" i="56"/>
  <c r="F38" i="46"/>
  <c r="E44" i="47" s="1"/>
  <c r="I13" i="46"/>
  <c r="F11" i="56"/>
  <c r="F11" i="46" s="1"/>
  <c r="E42" i="47" s="1"/>
  <c r="H13" i="46"/>
  <c r="H36" i="56"/>
  <c r="E10" i="56"/>
  <c r="E10" i="46" s="1"/>
  <c r="D41" i="47" s="1"/>
  <c r="H10" i="56"/>
  <c r="H10" i="46" s="1"/>
  <c r="G41" i="47" s="1"/>
  <c r="E13" i="46"/>
  <c r="G10" i="56"/>
  <c r="G10" i="46" s="1"/>
  <c r="F41" i="47" s="1"/>
  <c r="I10" i="56"/>
  <c r="I10" i="46" s="1"/>
  <c r="H41" i="47" s="1"/>
  <c r="I11" i="56"/>
  <c r="I11" i="46" s="1"/>
  <c r="H42" i="47" s="1"/>
  <c r="I36" i="56"/>
  <c r="G38" i="46"/>
  <c r="F44" i="47" s="1"/>
  <c r="G13" i="46"/>
  <c r="E11" i="56"/>
  <c r="E11" i="46" s="1"/>
  <c r="D42" i="47" s="1"/>
  <c r="E36" i="56"/>
  <c r="H69" i="46"/>
  <c r="G50" i="47" s="1"/>
  <c r="G36" i="56"/>
  <c r="G11" i="56"/>
  <c r="G11" i="46" s="1"/>
  <c r="F42" i="47" s="1"/>
  <c r="H14" i="46"/>
  <c r="F69" i="46"/>
  <c r="E50" i="47" s="1"/>
  <c r="I14" i="46"/>
  <c r="H52" i="46"/>
  <c r="G46" i="47" s="1"/>
  <c r="I44" i="46"/>
  <c r="I45" i="46" s="1"/>
  <c r="H45" i="47" s="1"/>
  <c r="I69" i="46"/>
  <c r="H50" i="47" s="1"/>
  <c r="F44" i="46"/>
  <c r="F45" i="46" s="1"/>
  <c r="E45" i="47" s="1"/>
  <c r="N15" i="46"/>
  <c r="N69" i="46"/>
  <c r="F52" i="46"/>
  <c r="E46" i="47" s="1"/>
  <c r="C33" i="47"/>
  <c r="F92" i="56"/>
  <c r="H16" i="56"/>
  <c r="G14" i="56"/>
  <c r="F75" i="56"/>
  <c r="F83" i="56"/>
  <c r="E15" i="56"/>
  <c r="I25" i="42"/>
  <c r="H14" i="56"/>
  <c r="H25" i="42"/>
  <c r="G25" i="42"/>
  <c r="F25" i="42"/>
  <c r="H15" i="56"/>
  <c r="N17" i="46"/>
  <c r="E14" i="56"/>
  <c r="E75" i="56"/>
  <c r="P18" i="46"/>
  <c r="P94" i="46"/>
  <c r="O18" i="46"/>
  <c r="O94" i="46"/>
  <c r="I83" i="56"/>
  <c r="I15" i="56"/>
  <c r="E92" i="56"/>
  <c r="E16" i="56"/>
  <c r="M18" i="46"/>
  <c r="M94" i="46"/>
  <c r="N104" i="56"/>
  <c r="N17" i="56"/>
  <c r="Q17" i="56"/>
  <c r="Q104" i="56"/>
  <c r="Q18" i="46"/>
  <c r="Q94" i="46"/>
  <c r="I16" i="56"/>
  <c r="I92" i="56"/>
  <c r="I75" i="56"/>
  <c r="I14" i="56"/>
  <c r="N18" i="46"/>
  <c r="N94" i="46"/>
  <c r="O104" i="56"/>
  <c r="O17" i="56"/>
  <c r="G17" i="56"/>
  <c r="G104" i="56"/>
  <c r="Q17" i="46"/>
  <c r="Q85" i="46"/>
  <c r="G15" i="56"/>
  <c r="G83" i="56"/>
  <c r="M17" i="56"/>
  <c r="M104" i="56"/>
  <c r="G16" i="56"/>
  <c r="G92" i="56"/>
  <c r="H17" i="56"/>
  <c r="H104" i="56"/>
  <c r="F17" i="56"/>
  <c r="F104" i="56"/>
  <c r="P17" i="56"/>
  <c r="P104" i="56"/>
  <c r="I104" i="56"/>
  <c r="I17" i="56"/>
  <c r="E104" i="56"/>
  <c r="E17" i="56"/>
  <c r="P19" i="46"/>
  <c r="M19" i="46"/>
  <c r="M106" i="46"/>
  <c r="N106" i="46"/>
  <c r="N19" i="46"/>
  <c r="O106" i="46"/>
  <c r="O19" i="46"/>
  <c r="Q19" i="46"/>
  <c r="Q106" i="46"/>
  <c r="O17" i="46"/>
  <c r="P17" i="46"/>
  <c r="N16" i="46"/>
  <c r="E69" i="46"/>
  <c r="D50" i="47" s="1"/>
  <c r="O16" i="46"/>
  <c r="M17" i="46"/>
  <c r="M16" i="46"/>
  <c r="M77" i="46"/>
  <c r="G69" i="46"/>
  <c r="F50" i="47" s="1"/>
  <c r="Q77" i="46"/>
  <c r="Q16" i="46"/>
  <c r="P16" i="46"/>
  <c r="P77" i="46"/>
  <c r="M15" i="46"/>
  <c r="M69" i="46"/>
  <c r="O15" i="46"/>
  <c r="O69" i="46"/>
  <c r="H106" i="46"/>
  <c r="G59" i="47" s="1"/>
  <c r="H19" i="46"/>
  <c r="E106" i="46"/>
  <c r="D59" i="47" s="1"/>
  <c r="E19" i="46"/>
  <c r="G106" i="46"/>
  <c r="F59" i="47" s="1"/>
  <c r="G19" i="46"/>
  <c r="F106" i="46"/>
  <c r="F19" i="46"/>
  <c r="I106" i="46"/>
  <c r="H59" i="47" s="1"/>
  <c r="I19" i="46"/>
  <c r="H18" i="46"/>
  <c r="I18" i="46"/>
  <c r="E18" i="46"/>
  <c r="G18" i="46"/>
  <c r="F18" i="46"/>
  <c r="I85" i="46"/>
  <c r="H52" i="47" s="1"/>
  <c r="H85" i="46"/>
  <c r="G52" i="47" s="1"/>
  <c r="F85" i="46"/>
  <c r="E85" i="46"/>
  <c r="D52" i="47" s="1"/>
  <c r="G85" i="46"/>
  <c r="H77" i="46"/>
  <c r="G51" i="47" s="1"/>
  <c r="F77" i="46"/>
  <c r="E51" i="47" s="1"/>
  <c r="I77" i="46"/>
  <c r="H51" i="47" s="1"/>
  <c r="G77" i="46"/>
  <c r="F51" i="47" s="1"/>
  <c r="E94" i="46"/>
  <c r="D55" i="47" s="1"/>
  <c r="H45" i="46"/>
  <c r="G45" i="47" s="1"/>
  <c r="H18" i="47"/>
  <c r="E45" i="46"/>
  <c r="D45" i="47" s="1"/>
  <c r="I94" i="46"/>
  <c r="G94" i="46"/>
  <c r="F55" i="47" s="1"/>
  <c r="F18" i="47"/>
  <c r="F45" i="47"/>
  <c r="H94" i="46"/>
  <c r="G55" i="47" s="1"/>
  <c r="E18" i="47"/>
  <c r="F94" i="46"/>
  <c r="E55" i="47" s="1"/>
  <c r="E77" i="46"/>
  <c r="D51" i="47" s="1"/>
  <c r="G18" i="47"/>
  <c r="E25" i="42"/>
  <c r="D18" i="47"/>
  <c r="H46" i="47"/>
  <c r="F46" i="47"/>
  <c r="Q20" i="46" l="1"/>
  <c r="O20" i="46"/>
  <c r="N20" i="46"/>
  <c r="P20" i="46"/>
  <c r="M20" i="46"/>
  <c r="M18" i="56"/>
  <c r="D27" i="47" s="1"/>
  <c r="N18" i="56"/>
  <c r="E27" i="47" s="1"/>
  <c r="P18" i="56"/>
  <c r="G27" i="47" s="1"/>
  <c r="Q18" i="56"/>
  <c r="H27" i="47" s="1"/>
  <c r="O18" i="56"/>
  <c r="F27" i="47" s="1"/>
  <c r="F20" i="47"/>
  <c r="F19" i="47"/>
  <c r="D19" i="47"/>
  <c r="D20" i="47"/>
  <c r="G19" i="47"/>
  <c r="G20" i="47"/>
  <c r="H19" i="47"/>
  <c r="H20" i="47"/>
  <c r="E20" i="47"/>
  <c r="E19" i="47"/>
  <c r="H55" i="47"/>
  <c r="E52" i="47"/>
  <c r="F52" i="47"/>
  <c r="E59" i="47"/>
  <c r="H33" i="47" l="1"/>
  <c r="H34" i="47" s="1"/>
  <c r="F33" i="47"/>
  <c r="G33" i="47"/>
  <c r="G34" i="47" s="1"/>
  <c r="D33" i="47"/>
  <c r="D35" i="47" s="1"/>
  <c r="E33" i="47"/>
  <c r="E34" i="47" s="1"/>
  <c r="H28" i="47" l="1"/>
  <c r="H29" i="47"/>
  <c r="G35" i="47"/>
  <c r="H35" i="47"/>
  <c r="F34" i="47"/>
  <c r="F28" i="47"/>
  <c r="D28" i="47"/>
  <c r="D29" i="47"/>
  <c r="G29" i="47"/>
  <c r="G28" i="47"/>
  <c r="E35" i="47"/>
  <c r="F35" i="47"/>
  <c r="F29" i="47"/>
  <c r="E28" i="47"/>
  <c r="D34" i="47"/>
  <c r="E29" i="47"/>
  <c r="D12" i="46" l="1"/>
  <c r="F30" i="46"/>
  <c r="E43" i="47" s="1"/>
  <c r="I12" i="46"/>
  <c r="I30" i="46"/>
  <c r="H43" i="47" s="1"/>
  <c r="H12" i="46"/>
  <c r="E12" i="46"/>
  <c r="E30" i="46"/>
  <c r="D43" i="47" s="1"/>
  <c r="H30" i="46"/>
  <c r="G43" i="47" s="1"/>
  <c r="G12" i="46"/>
  <c r="G30" i="46"/>
  <c r="F43" i="47" s="1"/>
  <c r="F1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<sst xmlns="http://schemas.openxmlformats.org/spreadsheetml/2006/main" count="2299" uniqueCount="1063">
  <si>
    <t>Analyst please hide sheet once complete.</t>
  </si>
  <si>
    <t>Notes for analysts: how to complete this sheet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</si>
  <si>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</si>
  <si>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</si>
  <si>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</si>
  <si>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</si>
  <si>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</si>
  <si>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</si>
  <si>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</si>
  <si>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</si>
  <si>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</si>
  <si>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</si>
  <si>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</si>
  <si>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</si>
  <si>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</si>
  <si>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</si>
  <si>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</si>
  <si>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</si>
  <si>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</si>
  <si>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</si>
  <si>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</si>
  <si>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</si>
  <si>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</si>
  <si>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</si>
  <si>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</si>
  <si>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</si>
  <si>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</si>
  <si>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</si>
  <si>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</si>
  <si>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</si>
  <si>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</si>
  <si>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</si>
  <si>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</si>
  <si>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</si>
  <si>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</si>
  <si>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</si>
  <si>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</si>
  <si>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</si>
  <si>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</si>
  <si>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</si>
  <si>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</si>
  <si>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</si>
  <si>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</si>
  <si>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</si>
  <si>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</si>
  <si>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</si>
  <si>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</si>
  <si>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</si>
  <si>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</si>
  <si>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</si>
  <si>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</si>
  <si>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</si>
  <si>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</si>
  <si>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</si>
  <si>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</si>
  <si>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</si>
  <si>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</si>
  <si>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</si>
  <si>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</si>
  <si>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</si>
  <si>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</si>
  <si>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</si>
  <si>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</si>
  <si>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</si>
  <si>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</si>
  <si>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</si>
  <si>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</si>
  <si>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</si>
  <si>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</si>
  <si>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</si>
  <si>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</si>
  <si>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</si>
  <si>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</si>
  <si>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</si>
  <si>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</si>
  <si>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</si>
  <si>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</si>
  <si>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</si>
  <si>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</si>
  <si>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</si>
  <si>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</si>
  <si>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</si>
  <si>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</si>
  <si>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</si>
  <si>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</si>
  <si>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</si>
  <si>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</si>
  <si>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</si>
  <si>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</si>
  <si>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</si>
  <si>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</si>
  <si>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</si>
  <si>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</si>
  <si>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</si>
  <si>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</si>
  <si>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</si>
  <si>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</si>
  <si>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</si>
  <si>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</si>
  <si>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</si>
  <si>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</si>
  <si>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</si>
  <si>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</si>
  <si>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</si>
  <si>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</si>
  <si>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</si>
  <si>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</si>
  <si>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</si>
  <si>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</si>
  <si>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</si>
  <si>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</si>
  <si>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</si>
  <si>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</si>
  <si>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</si>
  <si>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</si>
  <si>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</si>
  <si>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</si>
  <si>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</si>
  <si>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</si>
  <si>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</si>
  <si>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</si>
  <si>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</si>
  <si>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</si>
  <si>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</si>
  <si>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</si>
  <si>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</si>
  <si>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</si>
  <si>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</si>
  <si>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</si>
  <si>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</si>
  <si>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</si>
  <si>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</si>
  <si>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</si>
  <si>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</si>
  <si>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</si>
  <si>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</si>
  <si>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</si>
  <si>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</si>
  <si>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</si>
  <si>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</si>
  <si>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</si>
  <si>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</si>
  <si>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</si>
  <si>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</si>
  <si>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</si>
  <si>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</si>
  <si>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</si>
  <si>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</si>
  <si>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</si>
  <si>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</si>
  <si>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</si>
  <si>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</si>
  <si>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</si>
  <si>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</si>
  <si>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</si>
  <si>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</si>
  <si>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</si>
  <si>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</si>
  <si>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</si>
  <si>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</si>
  <si>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</si>
  <si>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</si>
  <si>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</si>
  <si>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</si>
  <si>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</si>
  <si>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</si>
  <si>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</si>
  <si>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</si>
  <si>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</si>
  <si>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</si>
  <si>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</si>
  <si>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</si>
  <si>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</si>
  <si>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</si>
  <si>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</si>
  <si>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</si>
  <si>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</si>
  <si>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</si>
  <si>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</si>
  <si>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</si>
  <si>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</si>
  <si>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</si>
  <si>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</si>
  <si>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</si>
  <si>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</si>
  <si>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</si>
  <si>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</si>
  <si>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</si>
  <si>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</si>
  <si>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</si>
  <si>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</si>
  <si>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</si>
  <si>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</si>
  <si>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</si>
  <si>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</si>
  <si>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</si>
  <si>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</si>
  <si>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</si>
  <si>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</si>
  <si>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</si>
  <si>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</si>
  <si>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</si>
  <si>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</si>
  <si>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</si>
  <si>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</si>
  <si>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</si>
  <si>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</si>
  <si>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</si>
  <si>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</si>
  <si>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</si>
  <si>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</si>
  <si>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</si>
  <si>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</si>
  <si>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</si>
  <si>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</si>
  <si>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</si>
  <si>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</si>
  <si>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</si>
  <si>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</si>
  <si>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</si>
  <si>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</si>
  <si>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</si>
  <si>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</si>
  <si>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</si>
  <si>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</si>
  <si>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</si>
  <si>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</si>
  <si>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</si>
  <si>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</si>
  <si>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</si>
  <si>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</si>
  <si>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</si>
  <si>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</si>
  <si>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</si>
  <si>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</si>
  <si>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</si>
  <si>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</si>
  <si>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</si>
  <si>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</si>
  <si>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</si>
  <si>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</si>
  <si>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</si>
  <si>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</si>
  <si>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</si>
  <si>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</si>
  <si>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</si>
  <si>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</si>
  <si>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</si>
  <si>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</si>
  <si>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</si>
  <si>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</si>
  <si>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</si>
  <si>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</si>
  <si>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</si>
  <si>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</si>
  <si>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</si>
  <si>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</si>
  <si>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</si>
  <si>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</si>
  <si>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</si>
  <si>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</si>
  <si>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</si>
  <si>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</si>
  <si>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</si>
  <si>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</si>
  <si>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</si>
  <si>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</si>
  <si>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</si>
  <si>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</si>
  <si>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</si>
  <si>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</si>
  <si>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</si>
  <si>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</si>
  <si>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</si>
  <si>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</si>
  <si>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</si>
  <si>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</si>
  <si>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</si>
  <si>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</si>
  <si>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</si>
  <si>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</si>
  <si>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</si>
  <si>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</si>
  <si>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</si>
  <si>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</si>
  <si>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</si>
  <si>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</si>
  <si>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</si>
  <si>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</si>
  <si>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</si>
  <si>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</si>
  <si>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</si>
  <si>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</si>
  <si>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</si>
  <si>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</si>
  <si>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</si>
  <si>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</si>
  <si>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</si>
  <si>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</si>
  <si>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</si>
  <si>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</si>
  <si>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</si>
  <si>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</si>
  <si>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</si>
  <si>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</si>
  <si>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</si>
  <si>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</si>
  <si>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</si>
  <si>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</si>
  <si>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</si>
  <si>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</si>
  <si>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</si>
  <si>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</si>
  <si>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</si>
  <si>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</si>
  <si>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</si>
  <si>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</si>
  <si>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</si>
  <si>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</si>
  <si>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</si>
  <si>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</si>
  <si>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</si>
  <si>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</si>
  <si>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</si>
  <si>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</si>
  <si>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</si>
  <si>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</si>
  <si>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</si>
  <si>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</si>
  <si>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</si>
  <si>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</si>
  <si>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</si>
  <si>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</si>
  <si>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</si>
  <si>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</si>
  <si>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</si>
  <si>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</si>
  <si>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</si>
  <si>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</si>
  <si>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</si>
  <si>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</si>
  <si>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</si>
  <si>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</si>
  <si>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</si>
  <si>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</si>
  <si>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</si>
  <si>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</si>
  <si>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</si>
  <si>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</si>
  <si>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</si>
  <si>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</si>
  <si>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</si>
  <si>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</si>
  <si>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</si>
  <si>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</si>
  <si>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</si>
  <si>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</si>
  <si>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</si>
  <si>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</si>
  <si>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</si>
  <si>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</si>
  <si>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</si>
  <si>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</si>
  <si>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</si>
  <si>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</si>
  <si>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</si>
  <si>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</si>
  <si>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</si>
  <si>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</si>
  <si>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</si>
  <si>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</si>
  <si>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</si>
  <si>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</si>
  <si>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</si>
  <si>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</si>
  <si>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</si>
  <si>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</si>
  <si>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</si>
  <si>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</si>
  <si>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</si>
  <si>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</si>
  <si>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</si>
  <si>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</si>
  <si>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</si>
  <si>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</si>
  <si>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</si>
  <si>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</si>
  <si>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</si>
  <si>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</si>
  <si>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</si>
  <si>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</si>
  <si>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</si>
  <si>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</si>
  <si>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</si>
  <si>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</si>
  <si>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</si>
  <si>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</si>
  <si>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</si>
  <si>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</si>
  <si>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</si>
  <si>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</si>
  <si>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</si>
  <si>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</si>
  <si>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</si>
  <si>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</si>
  <si>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</si>
  <si>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</si>
  <si>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</si>
  <si>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</si>
  <si>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</si>
  <si>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</si>
  <si>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</si>
  <si>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</si>
  <si>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</si>
  <si>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</si>
  <si>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</si>
  <si>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</si>
  <si>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</si>
  <si>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</si>
  <si>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</si>
  <si>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</si>
  <si>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</si>
  <si>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</si>
  <si>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</si>
  <si>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</si>
  <si>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</si>
  <si>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</si>
  <si>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</si>
  <si>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</si>
  <si>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</si>
  <si>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</si>
  <si>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</si>
  <si>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</si>
  <si>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</si>
  <si>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</si>
  <si>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</si>
  <si>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</si>
  <si>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</si>
  <si>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</si>
  <si>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</si>
  <si>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</si>
  <si>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</si>
  <si>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</si>
  <si>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</si>
  <si>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</si>
  <si>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</si>
  <si>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</si>
  <si>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</si>
  <si>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</si>
  <si>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</si>
  <si>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</si>
  <si>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</si>
  <si>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</si>
  <si>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</si>
  <si>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</si>
  <si>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</si>
  <si>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</si>
  <si>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</si>
  <si>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</si>
  <si>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</si>
  <si>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</si>
  <si>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</si>
  <si>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</si>
  <si>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</si>
  <si>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</si>
  <si>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</si>
  <si>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</si>
  <si>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</si>
  <si>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</si>
  <si>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</si>
  <si>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</si>
  <si>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</si>
  <si>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</si>
  <si>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</si>
  <si>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</si>
  <si>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</si>
  <si>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</si>
  <si>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</si>
  <si>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</si>
  <si>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</si>
  <si>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</si>
  <si>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</si>
  <si>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</si>
  <si>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</si>
  <si>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</si>
  <si>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</si>
  <si>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</si>
  <si>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</si>
  <si>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</si>
  <si>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</si>
  <si>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</si>
  <si>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</si>
  <si>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</si>
  <si>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</si>
  <si>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</si>
  <si>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</si>
  <si>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</si>
  <si>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</si>
  <si>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</si>
  <si>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</si>
  <si>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</si>
  <si>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</si>
  <si>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</si>
  <si>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</si>
  <si>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</si>
  <si>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</si>
  <si>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</si>
  <si>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</si>
  <si>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</si>
  <si>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</si>
  <si>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</si>
  <si>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</si>
  <si>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</si>
  <si>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</si>
  <si>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</si>
  <si>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</si>
  <si>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</si>
  <si>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</si>
  <si>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</si>
  <si>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</si>
  <si>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</si>
  <si>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</si>
  <si>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</si>
  <si>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</si>
  <si>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</si>
  <si>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</si>
  <si>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</si>
  <si>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</si>
  <si>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</si>
  <si>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</si>
  <si>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</si>
  <si>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</si>
  <si>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</si>
  <si>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</si>
  <si>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</si>
  <si>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</si>
  <si>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</si>
  <si>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</si>
  <si>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</si>
  <si>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</si>
  <si>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</si>
  <si>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</si>
  <si>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</si>
  <si>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</si>
  <si>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</si>
  <si>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</si>
  <si>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</si>
  <si>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</si>
  <si>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</si>
  <si>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</si>
  <si>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</si>
  <si>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</si>
  <si>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</si>
  <si>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</si>
  <si>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</si>
  <si>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</si>
  <si>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</si>
  <si>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</si>
  <si>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</si>
  <si>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</si>
  <si>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</si>
  <si>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</si>
  <si>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</si>
  <si>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</si>
  <si>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</si>
  <si>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</si>
  <si>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</si>
  <si>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</si>
  <si>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</si>
  <si>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</si>
  <si>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</si>
  <si>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</si>
  <si>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</si>
  <si>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</si>
  <si>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</si>
  <si>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</si>
  <si>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</si>
  <si>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</si>
  <si>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</si>
  <si>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</si>
  <si>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</si>
  <si>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</si>
  <si>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</si>
  <si>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</si>
  <si>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</si>
  <si>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</si>
  <si>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</si>
  <si>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</si>
  <si>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</si>
  <si>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</si>
  <si>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</si>
  <si>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</si>
  <si>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</si>
  <si>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</si>
  <si>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</si>
  <si>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</si>
  <si>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</si>
  <si>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</si>
  <si>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</si>
  <si>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</si>
  <si>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</si>
  <si>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</si>
  <si>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</si>
  <si>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</si>
  <si>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</si>
  <si>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</si>
  <si>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</si>
  <si>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</si>
  <si>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</si>
  <si>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</si>
  <si>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</si>
  <si>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</si>
  <si>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</si>
  <si>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</si>
  <si>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</si>
  <si>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</si>
  <si>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</si>
  <si>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</si>
  <si>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</si>
  <si>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</si>
  <si>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</si>
  <si>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New drug with full uptake (90%) with immediate effect</t>
  </si>
  <si>
    <t>1200 new diagnoses of x condition per year.</t>
  </si>
  <si>
    <t>Principles used</t>
  </si>
  <si>
    <t>Full uptake is assumed to never be 100% as some will not choose treatment; assumed to be 90%</t>
  </si>
  <si>
    <t>-where there is full uptake, this is not 100%.  90% is used assuming some people do not choose treatment.</t>
  </si>
  <si>
    <t>-in year one, full uptake is 50%.  Year 2 is then 90%.</t>
  </si>
  <si>
    <t>Year 1 - people choosing new drug per month</t>
  </si>
  <si>
    <t xml:space="preserve">-where a topic publishes in month 6 of a financial year with 90 day implementation, it is assumed: </t>
  </si>
  <si>
    <t>month 1</t>
  </si>
  <si>
    <t>in financial year 1, there is 3 months of 50% giving 12.5%</t>
  </si>
  <si>
    <t>in financial year 2, there is 9 months of 50% giving 37.5% and 3 months of 90% giving 22.5%.  Total 60%</t>
  </si>
  <si>
    <t>in financial year 3, there is a full year of 90%.</t>
  </si>
  <si>
    <t>-where a topic has for example a 70% uptake in year 1, for simplicity using phasing on the left, assume it is half, ie 35% in year one.</t>
  </si>
  <si>
    <t>-phase across financial years using split years as above.</t>
  </si>
  <si>
    <t>-for topics exiting CDF, it is assumed that they are already at maximum uptake</t>
  </si>
  <si>
    <t>-the lag in roll out impacts prevalent populations too.  Often their year 1 market share figure is much lower and in single figures.</t>
  </si>
  <si>
    <t>-for prevalent populations, take a view at internal review about whether the early-years uptakes need to be split across years.</t>
  </si>
  <si>
    <t>Split year calculator for RIA usage</t>
  </si>
  <si>
    <t>Uptake</t>
  </si>
  <si>
    <t>months</t>
  </si>
  <si>
    <t>resulting %</t>
  </si>
  <si>
    <t xml:space="preserve">Population </t>
  </si>
  <si>
    <t>Uptake rate</t>
  </si>
  <si>
    <t>Cumulative users of new drug</t>
  </si>
  <si>
    <t>Total people using the drug</t>
  </si>
  <si>
    <t>% of population</t>
  </si>
  <si>
    <t>Proportion of total pop using the drug by month</t>
  </si>
  <si>
    <t>By month 12, 1080 (90% of 1200) are using new drug</t>
  </si>
  <si>
    <t>Of the 1200 people who could have used the drug in each month of the year, the proportion who did use the drug is:</t>
  </si>
  <si>
    <t xml:space="preserve">Conclusion </t>
  </si>
  <si>
    <t>Starting at a 90% switch with immediate effect for new starters in month 1</t>
  </si>
  <si>
    <t>results in overall 50% of all people using the new drug in year due to roll-out-lag.</t>
  </si>
  <si>
    <t>Assumes only new starters use the drug; existing patients are not switched.</t>
  </si>
  <si>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</si>
  <si>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</si>
  <si>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</si>
  <si>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</si>
  <si>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</si>
  <si>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</si>
  <si>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</si>
  <si>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</si>
  <si>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</si>
  <si>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</si>
  <si>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</si>
  <si>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</si>
  <si>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</si>
  <si>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</si>
  <si>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</si>
  <si>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</si>
  <si>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</si>
  <si>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</si>
  <si>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</si>
  <si>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</si>
  <si>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</si>
  <si>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</si>
  <si>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</si>
  <si>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</si>
  <si>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</si>
  <si>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</si>
  <si>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</si>
  <si>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</si>
  <si>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</si>
  <si>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</si>
  <si>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</si>
  <si>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</si>
  <si>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</si>
  <si>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</si>
  <si>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</si>
  <si>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</si>
  <si>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</si>
  <si>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</si>
  <si>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</si>
  <si>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</si>
  <si>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</si>
  <si>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</si>
  <si>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</si>
  <si>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</si>
  <si>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</si>
  <si>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</si>
  <si>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</si>
  <si>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</si>
  <si>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</si>
  <si>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</si>
  <si>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</si>
  <si>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</si>
  <si>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</si>
  <si>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>Incidence of breast cancer in adults</t>
  </si>
  <si>
    <t>C50, malignant neoplasm of breast, Cancer Registration Statistics, England, 2022</t>
  </si>
  <si>
    <t>Proportion with an AKT-pathway alteration</t>
  </si>
  <si>
    <t>http://dx.doi.org/10.1056/nejmoa2214131</t>
  </si>
  <si>
    <t>Proportion who progress on CDK 4/6 inhibitor with an AI and are suitable for further treatment</t>
  </si>
  <si>
    <t>Expert clinical opinion</t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</si>
  <si>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</si>
  <si>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</si>
  <si>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</si>
  <si>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</si>
  <si>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</si>
  <si>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</si>
  <si>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</si>
  <si>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</si>
  <si>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</si>
  <si>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</si>
  <si>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</si>
  <si>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No of days given</t>
  </si>
  <si>
    <t>cycles year 1</t>
  </si>
  <si>
    <t>cycles year 2</t>
  </si>
  <si>
    <t>cycles year 3</t>
  </si>
  <si>
    <t>cycles year 4</t>
  </si>
  <si>
    <t>cycles year 5</t>
  </si>
  <si>
    <t>total</t>
  </si>
  <si>
    <t>Drug</t>
  </si>
  <si>
    <t>Strength, container type, quantity</t>
  </si>
  <si>
    <t>Price</t>
  </si>
  <si>
    <t>VAT rate applicable</t>
  </si>
  <si>
    <t>Source</t>
  </si>
  <si>
    <t>Capivasertib</t>
  </si>
  <si>
    <t>64 x 200mg tablets</t>
  </si>
  <si>
    <t>Alpelisib</t>
  </si>
  <si>
    <t>56 x 150mg tablets</t>
  </si>
  <si>
    <t>Fulvestrant</t>
  </si>
  <si>
    <t>2 x 250mg pre-filled syringes</t>
  </si>
  <si>
    <t>Everolimus</t>
  </si>
  <si>
    <t>30 x 10mg tablets</t>
  </si>
  <si>
    <t>Exemestane</t>
  </si>
  <si>
    <t>30 x 25mg tablets</t>
  </si>
  <si>
    <t>Market Shares</t>
  </si>
  <si>
    <t>In a world with the new options</t>
  </si>
  <si>
    <t>Current, year 0</t>
  </si>
  <si>
    <t>year 1</t>
  </si>
  <si>
    <t>year 3</t>
  </si>
  <si>
    <t>year 4</t>
  </si>
  <si>
    <t>year 5</t>
  </si>
  <si>
    <t>year 2</t>
  </si>
  <si>
    <t>Capivasertib with fulvestrant</t>
  </si>
  <si>
    <t>Alpelisib with fulvestrant</t>
  </si>
  <si>
    <t>Everolimus with exemestane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</si>
  <si>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</si>
  <si>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</si>
  <si>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</si>
  <si>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Please select pay scale used in your locality (Non HCAS/HCA type) in the payscales tab. Default is Non HCAS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</si>
  <si>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</si>
  <si>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</si>
  <si>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</si>
  <si>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</si>
  <si>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</si>
  <si>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</si>
  <si>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</si>
  <si>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</si>
  <si>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</si>
  <si>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</si>
  <si>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</si>
  <si>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</si>
  <si>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</si>
  <si>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</si>
  <si>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</si>
  <si>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</si>
  <si>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</si>
  <si>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</si>
  <si>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</si>
  <si>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Pharmacy support (see notes below)</t>
  </si>
  <si>
    <t>Band 8a Bottom</t>
  </si>
  <si>
    <t>per patient/yr.</t>
  </si>
  <si>
    <t>pathology / diagnostics / radiology</t>
  </si>
  <si>
    <t>Staff time per test (minutes)</t>
  </si>
  <si>
    <t>Band 6 Mid</t>
  </si>
  <si>
    <t>per patient</t>
  </si>
  <si>
    <t>Band 8a Mid</t>
  </si>
  <si>
    <t>Adverse events</t>
  </si>
  <si>
    <t>Adverse events, various (rate of cases)</t>
  </si>
  <si>
    <t>See Unit costs tab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</si>
  <si>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</si>
  <si>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</si>
  <si>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</si>
  <si>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</si>
  <si>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</si>
  <si>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</si>
  <si>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</si>
  <si>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</si>
  <si>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</si>
  <si>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</si>
  <si>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</si>
  <si>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</si>
  <si>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</si>
  <si>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</si>
  <si>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</si>
  <si>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</si>
  <si>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</si>
  <si>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</si>
  <si>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</si>
  <si>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</si>
  <si>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</si>
  <si>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</si>
  <si>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</si>
  <si>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</si>
  <si>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</si>
  <si>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</si>
  <si>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</si>
  <si>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</si>
  <si>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</si>
  <si>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</si>
  <si>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</si>
  <si>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</si>
  <si>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&lt;spare row&gt;</t>
  </si>
  <si>
    <t>All components</t>
  </si>
  <si>
    <t>Administrations</t>
  </si>
  <si>
    <t>Treatment option</t>
  </si>
  <si>
    <t>HRG code</t>
  </si>
  <si>
    <t>HRG description</t>
  </si>
  <si>
    <t>Tariff</t>
  </si>
  <si>
    <t>Based on 2023-25 NHS England national tariff payment system –  24-25 prices</t>
  </si>
  <si>
    <t xml:space="preserve">National  </t>
  </si>
  <si>
    <t xml:space="preserve">prices </t>
  </si>
  <si>
    <t>are</t>
  </si>
  <si>
    <t>used</t>
  </si>
  <si>
    <t>on the</t>
  </si>
  <si>
    <t>left.</t>
  </si>
  <si>
    <t>Local</t>
  </si>
  <si>
    <t>prices</t>
  </si>
  <si>
    <t xml:space="preserve">can be </t>
  </si>
  <si>
    <t xml:space="preserve">used as </t>
  </si>
  <si>
    <t xml:space="preserve">as an </t>
  </si>
  <si>
    <t>alternative.</t>
  </si>
  <si>
    <t>The</t>
  </si>
  <si>
    <t xml:space="preserve">selection </t>
  </si>
  <si>
    <t>between</t>
  </si>
  <si>
    <t xml:space="preserve">using </t>
  </si>
  <si>
    <t>local or</t>
  </si>
  <si>
    <t>national</t>
  </si>
  <si>
    <t>is made</t>
  </si>
  <si>
    <t>summary</t>
  </si>
  <si>
    <t>worksheet.</t>
  </si>
  <si>
    <t>Adverse events, annual costs and rates</t>
  </si>
  <si>
    <t>Amend data in blue cells locally where necessary.</t>
  </si>
  <si>
    <t>Event</t>
  </si>
  <si>
    <t>Unit cost (£) 
national prices</t>
  </si>
  <si>
    <t>Unit cost (£) local prices</t>
  </si>
  <si>
    <t>Diarrhoea</t>
  </si>
  <si>
    <t>Rash maculo-papular</t>
  </si>
  <si>
    <t>Rash</t>
  </si>
  <si>
    <t>Hyperglycaemia</t>
  </si>
  <si>
    <t>Stomatitis</t>
  </si>
  <si>
    <t>Anaemia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</si>
  <si>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</si>
  <si>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</si>
  <si>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</si>
  <si>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</si>
  <si>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</si>
  <si>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</si>
  <si>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</si>
  <si>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</si>
  <si>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</si>
  <si>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</si>
  <si>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</si>
  <si>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</si>
  <si>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</si>
  <si>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</si>
  <si>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</si>
  <si>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</si>
  <si>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</si>
  <si>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</si>
  <si>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</si>
  <si>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</si>
  <si>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</si>
  <si>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</si>
  <si>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</si>
  <si>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</si>
  <si>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>First attendances - change in hours</t>
  </si>
  <si>
    <t>Follow up attendances - change in hours</t>
  </si>
  <si>
    <t>Administrations - change in volume of IV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</si>
  <si>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</si>
  <si>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</si>
  <si>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</si>
  <si>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</si>
  <si>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</si>
  <si>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</si>
  <si>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</si>
  <si>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Support time (hours) - change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</si>
  <si>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</si>
  <si>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</si>
  <si>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</si>
  <si>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</si>
  <si>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</si>
  <si>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</si>
  <si>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</si>
  <si>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</si>
  <si>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</si>
  <si>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</si>
  <si>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</si>
  <si>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</si>
  <si>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</si>
  <si>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</si>
  <si>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</si>
  <si>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First attendances - hours and cost</t>
  </si>
  <si>
    <t>Number per patient per year</t>
  </si>
  <si>
    <t>Hourly rate</t>
  </si>
  <si>
    <t>Administrations - change in number of attendances current practice</t>
  </si>
  <si>
    <t>Follow up attendances hours and cost</t>
  </si>
  <si>
    <t xml:space="preserve">Administrations  </t>
  </si>
  <si>
    <t>Administrations - method of</t>
  </si>
  <si>
    <t>Administrations - change in volume of IV to current practice</t>
  </si>
  <si>
    <t>Number of administrations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</si>
  <si>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</si>
  <si>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</si>
  <si>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</si>
  <si>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</si>
  <si>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</si>
  <si>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</si>
  <si>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</si>
  <si>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</si>
  <si>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</si>
  <si>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</si>
  <si>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</si>
  <si>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</si>
  <si>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Pharmacy support (hours)</t>
  </si>
  <si>
    <t>Support time  (mins)</t>
  </si>
  <si>
    <t>Adverse events, various (cases)</t>
  </si>
  <si>
    <t>Unit cost</t>
  </si>
  <si>
    <t>Adverse events - change to current practice</t>
  </si>
  <si>
    <t>Capacity impact (national prices)</t>
  </si>
  <si>
    <t>First attendances - number of appointments</t>
  </si>
  <si>
    <t>Follow up attendances - number of appointments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</si>
  <si>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</si>
  <si>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</si>
  <si>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</si>
  <si>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</si>
  <si>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</si>
  <si>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</si>
  <si>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</si>
  <si>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</si>
  <si>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</si>
  <si>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</si>
  <si>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</si>
  <si>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</si>
  <si>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</si>
  <si>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</si>
  <si>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</si>
  <si>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</si>
  <si>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</si>
  <si>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</si>
  <si>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</si>
  <si>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</si>
  <si>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</si>
  <si>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</si>
  <si>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</si>
  <si>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</si>
  <si>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</si>
  <si>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</si>
  <si>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</si>
  <si>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</si>
  <si>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</si>
  <si>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</si>
  <si>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</si>
  <si>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</si>
  <si>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</si>
  <si>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</si>
  <si>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</si>
  <si>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</si>
  <si>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</si>
  <si>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</si>
  <si>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</si>
  <si>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</si>
  <si>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</si>
  <si>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</si>
  <si>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</si>
  <si>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Consultant</t>
  </si>
  <si>
    <t>Band 6 Top</t>
  </si>
  <si>
    <t>Weeks worked (net of annual leave/training leave)</t>
  </si>
  <si>
    <t>Band 7 Bottom</t>
  </si>
  <si>
    <t>Sessions worked per week (4 hour sessions)</t>
  </si>
  <si>
    <t>Band 7 Top</t>
  </si>
  <si>
    <t>Less SPA allowance (4 hour sessions)</t>
  </si>
  <si>
    <t>8A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</si>
  <si>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</si>
  <si>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</si>
  <si>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</si>
  <si>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</si>
  <si>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</si>
  <si>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</si>
  <si>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</si>
  <si>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</si>
  <si>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</si>
  <si>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</si>
  <si>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</si>
  <si>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</si>
  <si>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</si>
  <si>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</si>
  <si>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</si>
  <si>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</si>
  <si>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</si>
  <si>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</si>
  <si>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</si>
  <si>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</si>
  <si>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</si>
  <si>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</si>
  <si>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</si>
  <si>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</si>
  <si>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</si>
  <si>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</si>
  <si>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</si>
  <si>
    <t>Oral</t>
  </si>
  <si>
    <t>Tablet</t>
  </si>
  <si>
    <t>IM Injection</t>
  </si>
  <si>
    <t>syringe</t>
  </si>
  <si>
    <t>SB12Z</t>
  </si>
  <si>
    <t>SB11Z</t>
  </si>
  <si>
    <t>Deliver simple parenteral chemotherapy at first Attendance</t>
  </si>
  <si>
    <t>Deliver Exclusively Oral Chemotherapy</t>
  </si>
  <si>
    <t xml:space="preserve">Alpelisib with fulvestrant </t>
  </si>
  <si>
    <t xml:space="preserve">Everolimus with exemestane </t>
  </si>
  <si>
    <t>Intramuscular injection</t>
  </si>
  <si>
    <t>Intramuscular Injection</t>
  </si>
  <si>
    <t>Exclusively oral chemotherapy</t>
  </si>
  <si>
    <t>Market share estimates are as per expert opinion</t>
  </si>
  <si>
    <t xml:space="preserve">Capivasertib with fulvestrant for treating
</t>
  </si>
  <si>
    <t xml:space="preserve">hormone receptor-positive HER2-negative </t>
  </si>
  <si>
    <t xml:space="preserve">advanced breast cancer after endocrine </t>
  </si>
  <si>
    <t>treatment</t>
  </si>
  <si>
    <t>Cancer</t>
  </si>
  <si>
    <t>Breast cancer</t>
  </si>
  <si>
    <t>Second line</t>
  </si>
  <si>
    <t>Oral and Intramuscular injection</t>
  </si>
  <si>
    <t>NHS Hospital trusts</t>
  </si>
  <si>
    <t>NHS England</t>
  </si>
  <si>
    <t>02F, cancer, breast</t>
  </si>
  <si>
    <t>90 days</t>
  </si>
  <si>
    <t>© NICE 2025. All rights reserved. Subject to Notice of rights.</t>
  </si>
  <si>
    <t>Number of people with hormone receptor-positive HER2-negative advanced breast cancer who have received treatment with a CDK 4/6 inhibitor with an aromatase inhibitor (AI)</t>
  </si>
  <si>
    <t>Add locally</t>
  </si>
  <si>
    <t>NHS England national tariff payment system</t>
  </si>
  <si>
    <t>People chosing capivasertib with fulvestrant</t>
  </si>
  <si>
    <t>Capivasertib with fulvestrant for treating hormone receptor-positive HER2-negative 
advanced breast cancer after endocrine 
treatment</t>
  </si>
  <si>
    <t>Blueteq data</t>
  </si>
  <si>
    <t>Capivasertib 
with 
fulvestrant</t>
  </si>
  <si>
    <t>Intramuscular injections</t>
  </si>
  <si>
    <t xml:space="preserve">Adverse events data from CAPItello-291 study via smpc
</t>
  </si>
  <si>
    <t xml:space="preserve">Adverse events for comparators are from company submission.
</t>
  </si>
  <si>
    <t xml:space="preserve">eMIT </t>
  </si>
  <si>
    <t>Treatment duration is based on calculating mean duration from published median assuming exponential distribution.</t>
  </si>
  <si>
    <t>TA1036</t>
  </si>
  <si>
    <t>cycles</t>
  </si>
  <si>
    <t>Treatment duration is based on calculating mean duration from published median assuming exponential distribution..  Amend locally as necessary</t>
  </si>
  <si>
    <t>cycle length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</si>
</sst>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%"/>
    <numFmt numFmtId="176" formatCode="#,##0.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8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</font>
    <font>
      <sz val="10"/>
      <color theme="0"/>
      <name val="Arial"/>
    </font>
    <font>
      <sz val="10"/>
      <name val="Arial"/>
    </font>
    <font>
      <sz val="11"/>
      <name val="Arial"/>
    </font>
    <font>
      <b/>
      <sz val="1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FF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52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3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4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7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31" borderId="12" xfId="0" applyFont="1" applyFill="1" applyBorder="1" applyAlignment="1">
      <alignment horizontal="left" vertical="center"/>
    </xf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6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58" fillId="0" borderId="0" xfId="0" applyFont="1" applyAlignment="1">
      <alignment vertical="center"/>
    </xf>
    <xf numFmtId="169" fontId="0" fillId="0" borderId="11" xfId="0" applyNumberFormat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48" fillId="0" borderId="11" xfId="92" applyNumberFormat="1" applyFont="1" applyFill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1" fillId="39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6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3" fillId="37" borderId="20" xfId="0" applyFont="1" applyFill="1" applyBorder="1" applyAlignment="1">
      <alignment horizontal="left"/>
    </xf>
    <xf numFmtId="0" fontId="0" fillId="41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6" fillId="24" borderId="20" xfId="0" applyFont="1" applyFill="1" applyBorder="1"/>
    <xf numFmtId="165" fontId="48" fillId="0" borderId="12" xfId="82" applyNumberFormat="1" applyFont="1" applyBorder="1"/>
    <xf numFmtId="165" fontId="48" fillId="0" borderId="11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4" borderId="17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center"/>
    </xf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1" fillId="39" borderId="11" xfId="0" applyFont="1" applyFill="1" applyBorder="1" applyAlignment="1">
      <alignment horizontal="center" vertical="center"/>
    </xf>
    <xf numFmtId="0" fontId="0" fillId="0" borderId="37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1" fillId="24" borderId="0" xfId="0" applyFont="1" applyFill="1" applyAlignment="1">
      <alignment horizontal="center" vertical="center"/>
    </xf>
    <xf numFmtId="0" fontId="61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1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7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4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0" fontId="28" fillId="0" borderId="12" xfId="72" applyFill="1" applyBorder="1" applyAlignment="1" applyProtection="1">
      <alignment vertical="center"/>
    </xf>
    <xf numFmtId="10" fontId="0" fillId="0" borderId="36" xfId="92" applyNumberFormat="1" applyFont="1" applyFill="1" applyBorder="1"/>
    <xf numFmtId="10" fontId="0" fillId="0" borderId="41" xfId="92" applyNumberFormat="1" applyFont="1" applyFill="1" applyBorder="1"/>
    <xf numFmtId="10" fontId="0" fillId="0" borderId="42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48" fillId="41" borderId="0" xfId="0" applyFont="1" applyFill="1" applyAlignment="1">
      <alignment horizontal="right" vertical="center"/>
    </xf>
    <xf numFmtId="3" fontId="44" fillId="41" borderId="0" xfId="0" applyNumberFormat="1" applyFont="1" applyFill="1"/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9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3" fontId="0" fillId="39" borderId="31" xfId="0" applyNumberFormat="1" applyFill="1" applyBorder="1" applyAlignment="1">
      <alignment horizontal="right"/>
    </xf>
    <xf numFmtId="164" fontId="46" fillId="0" borderId="11" xfId="0" applyNumberFormat="1" applyFont="1" applyBorder="1"/>
    <xf numFmtId="0" fontId="0" fillId="41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2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6" fillId="24" borderId="17" xfId="0" applyFont="1" applyFill="1" applyBorder="1"/>
    <xf numFmtId="0" fontId="56" fillId="0" borderId="18" xfId="0" applyFont="1" applyBorder="1"/>
    <xf numFmtId="0" fontId="56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3" xfId="0" applyFill="1" applyBorder="1" applyProtection="1"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0" fontId="0" fillId="39" borderId="41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164" fontId="55" fillId="39" borderId="11" xfId="82" applyNumberFormat="1" applyFont="1" applyFill="1" applyBorder="1" applyProtection="1">
      <protection locked="0"/>
    </xf>
    <xf numFmtId="9" fontId="55" fillId="39" borderId="11" xfId="92" applyFont="1" applyFill="1" applyBorder="1" applyProtection="1">
      <protection locked="0"/>
    </xf>
    <xf numFmtId="169" fontId="0" fillId="39" borderId="11" xfId="0" applyNumberFormat="1" applyFill="1" applyBorder="1" applyProtection="1">
      <protection locked="0"/>
    </xf>
    <xf numFmtId="9" fontId="0" fillId="39" borderId="42" xfId="0" applyNumberFormat="1" applyFill="1" applyBorder="1" applyAlignment="1" applyProtection="1">
      <alignment horizontal="right"/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0" fontId="0" fillId="39" borderId="39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0" fontId="0" fillId="39" borderId="36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169" fontId="0" fillId="39" borderId="33" xfId="0" applyNumberFormat="1" applyFill="1" applyBorder="1" applyProtection="1">
      <protection locked="0"/>
    </xf>
    <xf numFmtId="169" fontId="0" fillId="39" borderId="34" xfId="0" applyNumberFormat="1" applyFill="1" applyBorder="1" applyProtection="1">
      <protection locked="0"/>
    </xf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4" xfId="82" applyFont="1" applyBorder="1"/>
    <xf numFmtId="0" fontId="46" fillId="0" borderId="45" xfId="82" applyFont="1" applyBorder="1"/>
    <xf numFmtId="0" fontId="46" fillId="0" borderId="46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8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8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3" fontId="46" fillId="39" borderId="12" xfId="82" applyNumberFormat="1" applyFont="1" applyFill="1" applyBorder="1" applyProtection="1">
      <protection locked="0"/>
    </xf>
    <xf numFmtId="0" fontId="46" fillId="0" borderId="22" xfId="82" applyFont="1" applyBorder="1"/>
    <xf numFmtId="165" fontId="48" fillId="39" borderId="19" xfId="82" applyNumberFormat="1" applyFont="1" applyFill="1" applyBorder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5" fontId="46" fillId="39" borderId="38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Protection="1">
      <protection locked="0"/>
    </xf>
    <xf numFmtId="169" fontId="46" fillId="39" borderId="29" xfId="82" applyNumberFormat="1" applyFont="1" applyFill="1" applyBorder="1" applyProtection="1">
      <protection locked="0"/>
    </xf>
    <xf numFmtId="169" fontId="46" fillId="39" borderId="40" xfId="82" applyNumberFormat="1" applyFont="1" applyFill="1" applyBorder="1" applyProtection="1">
      <protection locked="0"/>
    </xf>
    <xf numFmtId="164" fontId="46" fillId="39" borderId="40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3" fontId="46" fillId="0" borderId="10" xfId="82" applyNumberFormat="1" applyFont="1" applyBorder="1"/>
    <xf numFmtId="0" fontId="46" fillId="0" borderId="47" xfId="82" applyFont="1" applyBorder="1"/>
    <xf numFmtId="165" fontId="46" fillId="0" borderId="48" xfId="82" applyNumberFormat="1" applyFont="1" applyBorder="1"/>
    <xf numFmtId="3" fontId="46" fillId="39" borderId="29" xfId="82" applyNumberFormat="1" applyFont="1" applyFill="1" applyBorder="1" applyProtection="1">
      <protection locked="0"/>
    </xf>
    <xf numFmtId="3" fontId="46" fillId="39" borderId="40" xfId="82" applyNumberFormat="1" applyFont="1" applyFill="1" applyBorder="1" applyProtection="1">
      <protection locked="0"/>
    </xf>
    <xf numFmtId="3" fontId="46" fillId="0" borderId="47" xfId="82" applyNumberFormat="1" applyFont="1" applyBorder="1"/>
    <xf numFmtId="2" fontId="46" fillId="39" borderId="29" xfId="82" applyNumberFormat="1" applyFont="1" applyFill="1" applyBorder="1" applyProtection="1">
      <protection locked="0"/>
    </xf>
    <xf numFmtId="2" fontId="46" fillId="39" borderId="40" xfId="82" applyNumberFormat="1" applyFont="1" applyFill="1" applyBorder="1" applyProtection="1">
      <protection locked="0"/>
    </xf>
    <xf numFmtId="0" fontId="46" fillId="0" borderId="14" xfId="0" applyFont="1" applyBorder="1"/>
    <xf numFmtId="0" fontId="28" fillId="24" borderId="0" xfId="72" quotePrefix="1" applyFill="1" applyAlignment="1" applyProtection="1"/>
    <xf numFmtId="0" fontId="52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8" fillId="0" borderId="0" xfId="82" applyFont="1" applyAlignment="1">
      <alignment horizontal="center" wrapText="1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8" xfId="0" applyNumberFormat="1" applyBorder="1"/>
    <xf numFmtId="9" fontId="27" fillId="0" borderId="38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67" fillId="44" borderId="0" xfId="0" applyFont="1" applyFill="1"/>
    <xf numFmtId="0" fontId="67" fillId="44" borderId="20" xfId="0" applyFont="1" applyFill="1" applyBorder="1" applyAlignment="1">
      <alignment horizontal="center"/>
    </xf>
    <xf numFmtId="4" fontId="67" fillId="44" borderId="20" xfId="0" applyNumberFormat="1" applyFont="1" applyFill="1" applyBorder="1"/>
    <xf numFmtId="164" fontId="67" fillId="44" borderId="20" xfId="0" applyNumberFormat="1" applyFont="1" applyFill="1" applyBorder="1"/>
    <xf numFmtId="0" fontId="67" fillId="44" borderId="20" xfId="0" applyFont="1" applyFill="1" applyBorder="1"/>
    <xf numFmtId="0" fontId="67" fillId="44" borderId="17" xfId="0" applyFont="1" applyFill="1" applyBorder="1"/>
    <xf numFmtId="0" fontId="69" fillId="0" borderId="0" xfId="0" applyFont="1"/>
    <xf numFmtId="0" fontId="48" fillId="44" borderId="12" xfId="0" applyFont="1" applyFill="1" applyBorder="1" applyAlignment="1">
      <alignment horizontal="left" vertical="center"/>
    </xf>
    <xf numFmtId="0" fontId="70" fillId="24" borderId="49" xfId="0" applyFont="1" applyFill="1" applyBorder="1" applyAlignment="1">
      <alignment horizontal="center" vertical="center"/>
    </xf>
    <xf numFmtId="0" fontId="40" fillId="24" borderId="48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1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50" xfId="0" applyFont="1" applyFill="1" applyBorder="1" applyAlignment="1">
      <alignment horizontal="center"/>
    </xf>
    <xf numFmtId="0" fontId="44" fillId="24" borderId="51" xfId="82" applyFont="1" applyFill="1" applyBorder="1" applyAlignment="1">
      <alignment horizontal="center"/>
    </xf>
    <xf numFmtId="0" fontId="44" fillId="24" borderId="51" xfId="110" applyFont="1" applyFill="1" applyBorder="1" applyAlignment="1">
      <alignment horizontal="center" wrapText="1"/>
    </xf>
    <xf numFmtId="3" fontId="44" fillId="24" borderId="51" xfId="110" applyNumberFormat="1" applyFont="1" applyFill="1" applyBorder="1" applyAlignment="1">
      <alignment horizontal="center" wrapText="1"/>
    </xf>
    <xf numFmtId="0" fontId="44" fillId="24" borderId="52" xfId="11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47" borderId="51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0" fontId="44" fillId="24" borderId="52" xfId="0" applyFont="1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4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170" fontId="46" fillId="39" borderId="38" xfId="57" applyNumberFormat="1" applyFont="1" applyFill="1" applyBorder="1" applyAlignment="1" applyProtection="1">
      <alignment horizontal="right"/>
    </xf>
    <xf numFmtId="170" fontId="46" fillId="39" borderId="38" xfId="57" applyNumberFormat="1" applyFont="1" applyFill="1" applyBorder="1" applyProtection="1"/>
    <xf numFmtId="10" fontId="46" fillId="39" borderId="38" xfId="92" applyNumberFormat="1" applyFont="1" applyFill="1" applyBorder="1" applyProtection="1"/>
    <xf numFmtId="10" fontId="46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72" fillId="48" borderId="0" xfId="0" applyFont="1" applyFill="1" applyAlignment="1">
      <alignment horizontal="left" vertical="center"/>
    </xf>
    <xf numFmtId="0" fontId="39" fillId="48" borderId="0" xfId="0" applyFont="1" applyFill="1" applyAlignment="1">
      <alignment horizontal="left" vertical="center"/>
    </xf>
    <xf numFmtId="0" fontId="73" fillId="48" borderId="0" xfId="0" applyFont="1" applyFill="1"/>
    <xf numFmtId="0" fontId="74" fillId="25" borderId="0" xfId="0" applyFont="1" applyFill="1"/>
    <xf numFmtId="0" fontId="74" fillId="0" borderId="0" xfId="0" applyFont="1"/>
    <xf numFmtId="0" fontId="74" fillId="24" borderId="0" xfId="0" applyFont="1" applyFill="1"/>
    <xf numFmtId="0" fontId="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25" borderId="0" xfId="0" applyFont="1" applyFill="1"/>
    <xf numFmtId="0" fontId="75" fillId="25" borderId="0" xfId="0" applyFont="1" applyFill="1" applyAlignment="1">
      <alignment horizontal="left" vertical="center" wrapText="1"/>
    </xf>
    <xf numFmtId="0" fontId="29" fillId="25" borderId="0" xfId="0" applyFont="1" applyFill="1" applyAlignment="1">
      <alignment vertical="center"/>
    </xf>
    <xf numFmtId="0" fontId="32" fillId="25" borderId="0" xfId="0" applyFont="1" applyFill="1"/>
    <xf numFmtId="0" fontId="29" fillId="25" borderId="0" xfId="0" quotePrefix="1" applyFont="1" applyFill="1"/>
    <xf numFmtId="0" fontId="29" fillId="0" borderId="0" xfId="0" applyFont="1" applyAlignment="1">
      <alignment horizontal="right"/>
    </xf>
    <xf numFmtId="165" fontId="29" fillId="0" borderId="0" xfId="0" applyNumberFormat="1" applyFont="1"/>
    <xf numFmtId="0" fontId="29" fillId="0" borderId="44" xfId="0" applyFont="1" applyBorder="1"/>
    <xf numFmtId="0" fontId="0" fillId="0" borderId="45" xfId="0" applyBorder="1" applyAlignment="1">
      <alignment horizontal="center" wrapText="1"/>
    </xf>
    <xf numFmtId="0" fontId="29" fillId="0" borderId="44" xfId="0" applyFont="1" applyBorder="1" applyAlignment="1">
      <alignment horizontal="center"/>
    </xf>
    <xf numFmtId="0" fontId="0" fillId="0" borderId="46" xfId="0" applyBorder="1" applyAlignment="1">
      <alignment horizontal="center" wrapText="1"/>
    </xf>
    <xf numFmtId="0" fontId="29" fillId="0" borderId="28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3" fontId="29" fillId="25" borderId="29" xfId="0" applyNumberFormat="1" applyFont="1" applyFill="1" applyBorder="1" applyAlignment="1">
      <alignment horizontal="center" wrapText="1"/>
    </xf>
    <xf numFmtId="0" fontId="29" fillId="25" borderId="29" xfId="0" applyFont="1" applyFill="1" applyBorder="1" applyAlignment="1">
      <alignment horizontal="center" wrapText="1"/>
    </xf>
    <xf numFmtId="3" fontId="29" fillId="25" borderId="27" xfId="0" applyNumberFormat="1" applyFont="1" applyFill="1" applyBorder="1" applyAlignment="1">
      <alignment horizontal="center" wrapText="1"/>
    </xf>
    <xf numFmtId="0" fontId="29" fillId="24" borderId="0" xfId="0" applyFont="1" applyFill="1" applyAlignment="1">
      <alignment horizontal="right"/>
    </xf>
    <xf numFmtId="0" fontId="75" fillId="0" borderId="19" xfId="0" applyFont="1" applyBorder="1" applyAlignment="1">
      <alignment horizontal="center" wrapText="1"/>
    </xf>
    <xf numFmtId="0" fontId="32" fillId="0" borderId="19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center" wrapText="1"/>
    </xf>
    <xf numFmtId="0" fontId="75" fillId="25" borderId="19" xfId="0" applyFont="1" applyFill="1" applyBorder="1" applyAlignment="1">
      <alignment horizontal="center" wrapText="1"/>
    </xf>
    <xf numFmtId="0" fontId="32" fillId="25" borderId="19" xfId="0" applyFont="1" applyFill="1" applyBorder="1" applyAlignment="1">
      <alignment horizontal="center" wrapText="1"/>
    </xf>
    <xf numFmtId="3" fontId="32" fillId="25" borderId="19" xfId="0" applyNumberFormat="1" applyFont="1" applyFill="1" applyBorder="1" applyAlignment="1">
      <alignment horizontal="center" wrapText="1"/>
    </xf>
    <xf numFmtId="3" fontId="29" fillId="49" borderId="19" xfId="0" applyNumberFormat="1" applyFont="1" applyFill="1" applyBorder="1" applyAlignment="1">
      <alignment horizontal="center"/>
    </xf>
    <xf numFmtId="3" fontId="29" fillId="0" borderId="11" xfId="0" applyNumberFormat="1" applyFont="1" applyBorder="1" applyAlignment="1">
      <alignment horizontal="right"/>
    </xf>
    <xf numFmtId="165" fontId="29" fillId="0" borderId="11" xfId="0" applyNumberFormat="1" applyFont="1" applyBorder="1" applyAlignment="1">
      <alignment horizontal="right"/>
    </xf>
    <xf numFmtId="3" fontId="29" fillId="25" borderId="11" xfId="0" applyNumberFormat="1" applyFont="1" applyFill="1" applyBorder="1" applyAlignment="1">
      <alignment horizontal="right"/>
    </xf>
    <xf numFmtId="165" fontId="29" fillId="25" borderId="11" xfId="0" applyNumberFormat="1" applyFont="1" applyFill="1" applyBorder="1" applyAlignment="1">
      <alignment horizontal="right"/>
    </xf>
    <xf numFmtId="3" fontId="29" fillId="49" borderId="11" xfId="0" applyNumberFormat="1" applyFont="1" applyFill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165" fontId="32" fillId="0" borderId="11" xfId="0" applyNumberFormat="1" applyFont="1" applyBorder="1" applyAlignment="1">
      <alignment horizontal="right"/>
    </xf>
    <xf numFmtId="3" fontId="6" fillId="25" borderId="11" xfId="0" applyNumberFormat="1" applyFont="1" applyFill="1" applyBorder="1" applyAlignment="1">
      <alignment horizontal="center" vertical="center"/>
    </xf>
    <xf numFmtId="0" fontId="6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42" fillId="25" borderId="11" xfId="0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horizontal="center"/>
    </xf>
    <xf numFmtId="9" fontId="29" fillId="39" borderId="0" xfId="92" applyFont="1" applyFill="1"/>
    <xf numFmtId="1" fontId="29" fillId="39" borderId="0" xfId="0" applyNumberFormat="1" applyFont="1" applyFill="1"/>
    <xf numFmtId="175" fontId="29" fillId="25" borderId="0" xfId="92" applyNumberFormat="1" applyFont="1" applyFill="1"/>
    <xf numFmtId="0" fontId="32" fillId="24" borderId="0" xfId="0" applyFont="1" applyFill="1"/>
    <xf numFmtId="175" fontId="32" fillId="25" borderId="55" xfId="92" applyNumberFormat="1" applyFont="1" applyFill="1" applyBorder="1"/>
    <xf numFmtId="1" fontId="29" fillId="0" borderId="0" xfId="0" applyNumberFormat="1" applyFont="1" applyAlignment="1">
      <alignment horizontal="left"/>
    </xf>
    <xf numFmtId="3" fontId="29" fillId="0" borderId="11" xfId="0" applyNumberFormat="1" applyFont="1" applyBorder="1" applyAlignment="1">
      <alignment horizontal="center"/>
    </xf>
    <xf numFmtId="9" fontId="29" fillId="0" borderId="0" xfId="92" applyFont="1" applyAlignment="1">
      <alignment horizontal="left"/>
    </xf>
    <xf numFmtId="3" fontId="29" fillId="0" borderId="0" xfId="0" applyNumberFormat="1" applyFont="1" applyAlignment="1">
      <alignment horizontal="center"/>
    </xf>
    <xf numFmtId="3" fontId="29" fillId="25" borderId="11" xfId="0" applyNumberFormat="1" applyFont="1" applyFill="1" applyBorder="1"/>
    <xf numFmtId="3" fontId="32" fillId="25" borderId="11" xfId="0" applyNumberFormat="1" applyFont="1" applyFill="1" applyBorder="1"/>
    <xf numFmtId="165" fontId="29" fillId="25" borderId="0" xfId="0" applyNumberFormat="1" applyFont="1" applyFill="1" applyAlignment="1">
      <alignment horizontal="left"/>
    </xf>
    <xf numFmtId="9" fontId="29" fillId="25" borderId="11" xfId="92" applyFont="1" applyFill="1" applyBorder="1"/>
    <xf numFmtId="9" fontId="29" fillId="25" borderId="0" xfId="92" applyFont="1" applyFill="1"/>
    <xf numFmtId="9" fontId="74" fillId="25" borderId="0" xfId="92" applyFont="1" applyFill="1"/>
    <xf numFmtId="0" fontId="7" fillId="25" borderId="0" xfId="0" applyFont="1" applyFill="1" applyAlignment="1">
      <alignment horizontal="left" vertical="center" wrapText="1"/>
    </xf>
    <xf numFmtId="3" fontId="29" fillId="25" borderId="0" xfId="0" applyNumberFormat="1" applyFont="1" applyFill="1"/>
    <xf numFmtId="165" fontId="29" fillId="25" borderId="0" xfId="0" applyNumberFormat="1" applyFont="1" applyFill="1"/>
    <xf numFmtId="3" fontId="29" fillId="25" borderId="0" xfId="0" applyNumberFormat="1" applyFont="1" applyFill="1" applyAlignment="1">
      <alignment horizontal="right"/>
    </xf>
    <xf numFmtId="9" fontId="74" fillId="25" borderId="0" xfId="0" applyNumberFormat="1" applyFont="1" applyFill="1"/>
    <xf numFmtId="0" fontId="29" fillId="25" borderId="0" xfId="0" applyFont="1" applyFill="1" applyAlignment="1">
      <alignment horizontal="right"/>
    </xf>
    <xf numFmtId="0" fontId="74" fillId="25" borderId="0" xfId="0" applyFont="1" applyFill="1" applyAlignment="1">
      <alignment horizontal="right"/>
    </xf>
    <xf numFmtId="9" fontId="29" fillId="49" borderId="0" xfId="92" applyFont="1" applyFill="1"/>
    <xf numFmtId="175" fontId="76" fillId="25" borderId="0" xfId="92" applyNumberFormat="1" applyFont="1" applyFill="1" applyAlignment="1">
      <alignment horizontal="right"/>
    </xf>
    <xf numFmtId="9" fontId="76" fillId="25" borderId="0" xfId="92" applyFont="1" applyFill="1" applyAlignment="1">
      <alignment horizontal="right"/>
    </xf>
    <xf numFmtId="0" fontId="76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4" fillId="0" borderId="0" xfId="0" applyNumberFormat="1" applyFont="1"/>
    <xf numFmtId="165" fontId="74" fillId="24" borderId="0" xfId="0" applyNumberFormat="1" applyFont="1" applyFill="1"/>
    <xf numFmtId="0" fontId="4" fillId="24" borderId="0" xfId="0" applyFont="1" applyFill="1" applyAlignment="1">
      <alignment horizontal="left" vertical="center" wrapText="1"/>
    </xf>
    <xf numFmtId="3" fontId="74" fillId="24" borderId="0" xfId="0" applyNumberFormat="1" applyFont="1" applyFill="1"/>
    <xf numFmtId="0" fontId="32" fillId="50" borderId="0" xfId="0" applyFont="1" applyFill="1" applyAlignment="1">
      <alignment horizontal="left"/>
    </xf>
    <xf numFmtId="0" fontId="29" fillId="50" borderId="0" xfId="0" applyFont="1" applyFill="1"/>
    <xf numFmtId="0" fontId="29" fillId="26" borderId="55" xfId="0" applyFont="1" applyFill="1" applyBorder="1" applyAlignment="1">
      <alignment horizontal="left"/>
    </xf>
    <xf numFmtId="0" fontId="29" fillId="26" borderId="55" xfId="0" applyFont="1" applyFill="1" applyBorder="1"/>
    <xf numFmtId="0" fontId="32" fillId="30" borderId="55" xfId="0" applyFont="1" applyFill="1" applyBorder="1" applyAlignment="1">
      <alignment vertical="center" wrapText="1"/>
    </xf>
    <xf numFmtId="0" fontId="32" fillId="27" borderId="55" xfId="0" applyFont="1" applyFill="1" applyBorder="1"/>
    <xf numFmtId="0" fontId="29" fillId="0" borderId="55" xfId="0" applyFont="1" applyBorder="1"/>
    <xf numFmtId="3" fontId="32" fillId="0" borderId="55" xfId="0" applyNumberFormat="1" applyFont="1" applyBorder="1"/>
    <xf numFmtId="3" fontId="7" fillId="0" borderId="55" xfId="0" applyNumberFormat="1" applyFont="1" applyBorder="1"/>
    <xf numFmtId="3" fontId="29" fillId="0" borderId="55" xfId="0" applyNumberFormat="1" applyFont="1" applyBorder="1"/>
    <xf numFmtId="3" fontId="6" fillId="0" borderId="55" xfId="0" applyNumberFormat="1" applyFont="1" applyBorder="1"/>
    <xf numFmtId="0" fontId="6" fillId="0" borderId="55" xfId="0" applyFont="1" applyBorder="1"/>
    <xf numFmtId="0" fontId="0" fillId="0" borderId="55" xfId="0" applyBorder="1"/>
    <xf numFmtId="0" fontId="0" fillId="24" borderId="55" xfId="0" applyFill="1" applyBorder="1"/>
    <xf numFmtId="9" fontId="0" fillId="0" borderId="55" xfId="0" applyNumberFormat="1" applyBorder="1" applyAlignment="1">
      <alignment horizontal="right"/>
    </xf>
    <xf numFmtId="0" fontId="39" fillId="37" borderId="55" xfId="0" applyFont="1" applyFill="1" applyBorder="1" applyAlignment="1">
      <alignment horizontal="center" wrapText="1"/>
    </xf>
    <xf numFmtId="0" fontId="44" fillId="0" borderId="55" xfId="0" applyFont="1" applyBorder="1" applyAlignment="1">
      <alignment horizontal="right"/>
    </xf>
    <xf numFmtId="0" fontId="0" fillId="0" borderId="11" xfId="0" applyBorder="1" applyAlignment="1">
      <alignment horizontal="left" wrapText="1"/>
    </xf>
    <xf numFmtId="0" fontId="28" fillId="0" borderId="0" xfId="72" applyFill="1" applyBorder="1" applyAlignment="1" applyProtection="1">
      <alignment vertical="top"/>
    </xf>
    <xf numFmtId="0" fontId="46" fillId="0" borderId="0" xfId="82" applyFont="1" applyAlignment="1">
      <alignment horizontal="left"/>
    </xf>
    <xf numFmtId="0" fontId="55" fillId="0" borderId="11" xfId="72" applyFont="1" applyFill="1" applyBorder="1" applyAlignment="1" applyProtection="1"/>
    <xf numFmtId="0" fontId="28" fillId="0" borderId="11" xfId="72" applyFill="1" applyBorder="1" applyAlignment="1" applyProtection="1"/>
    <xf numFmtId="0" fontId="0" fillId="0" borderId="12" xfId="0" applyBorder="1" applyAlignment="1">
      <alignment vertical="center" wrapText="1"/>
    </xf>
    <xf numFmtId="10" fontId="27" fillId="0" borderId="17" xfId="92" applyNumberFormat="1" applyFont="1" applyFill="1" applyBorder="1"/>
    <xf numFmtId="0" fontId="78" fillId="0" borderId="11" xfId="72" applyFont="1" applyBorder="1" applyAlignment="1" applyProtection="1"/>
    <xf numFmtId="0" fontId="79" fillId="0" borderId="0" xfId="82" applyFont="1"/>
    <xf numFmtId="0" fontId="28" fillId="0" borderId="0" xfId="72" applyFill="1" applyBorder="1" applyAlignment="1" applyProtection="1"/>
    <xf numFmtId="169" fontId="46" fillId="39" borderId="11" xfId="82" applyNumberFormat="1" applyFont="1" applyFill="1" applyBorder="1" applyAlignment="1" applyProtection="1">
      <alignment horizontal="right"/>
      <protection locked="0"/>
    </xf>
    <xf numFmtId="176" fontId="46" fillId="39" borderId="11" xfId="82" applyNumberFormat="1" applyFont="1" applyFill="1" applyBorder="1" applyProtection="1">
      <protection locked="0"/>
    </xf>
    <xf numFmtId="2" fontId="55" fillId="39" borderId="11" xfId="82" applyNumberFormat="1" applyFont="1" applyFill="1" applyBorder="1" applyProtection="1">
      <protection locked="0"/>
    </xf>
    <xf numFmtId="0" fontId="80" fillId="0" borderId="0" xfId="82" applyFont="1"/>
    <xf numFmtId="0" fontId="46" fillId="24" borderId="15" xfId="82" applyFont="1" applyFill="1" applyBorder="1" applyAlignment="1">
      <alignment horizontal="center"/>
    </xf>
    <xf numFmtId="0" fontId="46" fillId="24" borderId="19" xfId="82" applyFont="1" applyFill="1" applyBorder="1" applyAlignment="1">
      <alignment horizontal="center"/>
    </xf>
    <xf numFmtId="0" fontId="46" fillId="24" borderId="13" xfId="82" applyFont="1" applyFill="1" applyBorder="1" applyAlignment="1">
      <alignment horizontal="center"/>
    </xf>
    <xf numFmtId="0" fontId="46" fillId="24" borderId="14" xfId="82" applyFont="1" applyFill="1" applyBorder="1" applyAlignment="1">
      <alignment horizontal="center"/>
    </xf>
    <xf numFmtId="0" fontId="46" fillId="24" borderId="23" xfId="82" applyFont="1" applyFill="1" applyBorder="1" applyAlignment="1">
      <alignment horizontal="center"/>
    </xf>
    <xf numFmtId="0" fontId="81" fillId="0" borderId="0" xfId="82" applyFont="1"/>
    <xf numFmtId="165" fontId="0" fillId="0" borderId="17" xfId="0" applyNumberFormat="1" applyBorder="1"/>
    <xf numFmtId="0" fontId="82" fillId="0" borderId="10" xfId="0" applyFont="1" applyBorder="1" applyAlignment="1">
      <alignment vertical="center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36" fillId="0" borderId="20" xfId="72" applyFont="1" applyFill="1" applyBorder="1" applyAlignment="1" applyProtection="1">
      <alignment horizontal="left" wrapText="1"/>
    </xf>
    <xf numFmtId="0" fontId="77" fillId="0" borderId="20" xfId="0" applyFont="1" applyBorder="1" applyAlignment="1">
      <alignment wrapText="1"/>
    </xf>
    <xf numFmtId="0" fontId="77" fillId="0" borderId="17" xfId="0" applyFont="1" applyBorder="1" applyAlignment="1">
      <alignment wrapText="1"/>
    </xf>
    <xf numFmtId="0" fontId="28" fillId="0" borderId="20" xfId="72" applyFill="1" applyBorder="1" applyAlignment="1" applyProtection="1">
      <alignment horizontal="left"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ce.org.uk/terms-and-condition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www.gov.uk/government/publications/drugs-and-pharmaceutical-electronic-market-information-emit" TargetMode="External"/><Relationship Id="rId5" Type="http://schemas.openxmlformats.org/officeDocument/2006/relationships/hyperlink" Target="https://www.gov.uk/government/publications/drugs-and-pharmaceutical-electronic-market-information-emit" TargetMode="External"/><Relationship Id="rId4" Type="http://schemas.openxmlformats.org/officeDocument/2006/relationships/hyperlink" Target="https://digital.nhs.uk/data-and-information/publications/statistical/cancer-registration-statistics" TargetMode="External"/><Relationship Id="rId9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/>
  </sheetViews>
  <sheetFormatPr defaultColWidth="9.140625" defaultRowHeight="14.25" x14ac:dyDescent="0.2"/>
  <cols>
    <col min="1" max="1" width="24.42578125" style="10" customWidth="1"/>
    <col min="2" max="2" width="49.42578125" style="10" customWidth="1"/>
    <col min="3" max="3" width="63.5703125" style="14" customWidth="1"/>
    <col min="4" max="4" width="20.42578125" style="10" customWidth="1"/>
    <col min="5" max="12" width="21" style="10" customWidth="1"/>
    <col min="13" max="13" width="22.85546875" style="10" customWidth="1"/>
    <col min="14" max="14" width="22.5703125" style="10" customWidth="1"/>
    <col min="15" max="15" width="25.85546875" style="10" customWidth="1"/>
    <col min="16" max="16" width="10.85546875" style="10" customWidth="1"/>
    <col min="17" max="17" width="15.140625" style="11" customWidth="1"/>
    <col min="18" max="18" width="20.140625" style="11" customWidth="1"/>
    <col min="19" max="23" width="10.85546875" style="11" customWidth="1"/>
    <col min="24" max="42" width="10.85546875" style="11" hidden="1" customWidth="1"/>
    <col min="43" max="50" width="10.85546875" style="12" hidden="1" customWidth="1"/>
    <col min="51" max="100" width="10.85546875" style="1" hidden="1" customWidth="1"/>
    <col min="101" max="106" width="10.85546875" style="1" customWidth="1"/>
    <col min="107" max="190" width="10.85546875" style="10" hidden="1" customWidth="1"/>
    <col min="191" max="193" width="10.85546875" style="10" customWidth="1"/>
    <col min="194" max="194" width="10.42578125" style="10" customWidth="1"/>
    <col min="195" max="16384" width="9.140625" style="10"/>
  </cols>
  <sheetData>
    <row r="1" spans="2:106" ht="15" x14ac:dyDescent="0.25">
      <c r="C1" s="802" t="s">
        <v>0</v>
      </c>
    </row>
    <row r="2" spans="2:106" ht="15" x14ac:dyDescent="0.25">
      <c r="B2" s="9" t="s">
        <v>1</v>
      </c>
    </row>
    <row r="3" spans="2:106" x14ac:dyDescent="0.2">
      <c r="B3" s="91" t="s">
        <v>2</v>
      </c>
      <c r="C3" s="804"/>
      <c r="D3" s="805"/>
      <c r="E3" s="805"/>
      <c r="F3" s="805"/>
      <c r="G3" s="92"/>
    </row>
    <row r="4" spans="2:106" ht="15" x14ac:dyDescent="0.25">
      <c r="B4" s="93"/>
      <c r="C4" s="94"/>
      <c r="D4" s="7"/>
      <c r="E4" s="7"/>
      <c r="F4" s="7"/>
      <c r="G4" s="95"/>
      <c r="L4" s="9" t="s">
        <v>3</v>
      </c>
      <c r="M4" s="9" t="s">
        <v>3</v>
      </c>
      <c r="N4" s="9" t="s">
        <v>4</v>
      </c>
      <c r="O4" s="9" t="s">
        <v>4</v>
      </c>
      <c r="P4" s="9" t="s">
        <v>5</v>
      </c>
      <c r="R4" s="167" t="s">
        <v>6</v>
      </c>
      <c r="S4" s="167" t="s">
        <v>7</v>
      </c>
      <c r="T4" s="167" t="s">
        <v>8</v>
      </c>
      <c r="V4" s="167" t="s">
        <v>9</v>
      </c>
    </row>
    <row r="5" spans="2:106" ht="28.5" x14ac:dyDescent="0.2">
      <c r="B5" s="96" t="s">
        <v>10</v>
      </c>
      <c r="C5" s="94"/>
      <c r="D5" s="7"/>
      <c r="E5" s="7"/>
      <c r="F5" s="7"/>
      <c r="G5" s="95"/>
      <c r="L5" s="15" t="s">
        <v>11</v>
      </c>
      <c r="M5" s="15" t="s">
        <v>12</v>
      </c>
      <c r="N5" s="15" t="s">
        <v>13</v>
      </c>
      <c r="O5" s="15" t="s">
        <v>14</v>
      </c>
      <c r="P5" s="18"/>
      <c r="Q5" s="16"/>
      <c r="R5" s="15" t="s">
        <v>14</v>
      </c>
      <c r="S5" s="136" t="s">
        <v>15</v>
      </c>
      <c r="V5" s="137">
        <v>4</v>
      </c>
    </row>
    <row r="6" spans="2:106" ht="15" x14ac:dyDescent="0.25">
      <c r="B6" s="96" t="s">
        <v>16</v>
      </c>
      <c r="C6" s="94"/>
      <c r="D6" s="7"/>
      <c r="E6" s="7"/>
      <c r="F6" s="7"/>
      <c r="G6" s="95"/>
      <c r="J6" s="132"/>
      <c r="L6" s="20" t="s">
        <v>17</v>
      </c>
      <c r="M6" s="20" t="s">
        <v>18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88" t="s">
        <v>19</v>
      </c>
      <c r="S6" s="136" t="s">
        <v>20</v>
      </c>
      <c r="V6" s="137">
        <v>5</v>
      </c>
    </row>
    <row r="7" spans="2:106" x14ac:dyDescent="0.2">
      <c r="B7" s="93"/>
      <c r="C7" s="94"/>
      <c r="D7" s="7"/>
      <c r="E7" s="7"/>
      <c r="F7" s="7"/>
      <c r="G7" s="95"/>
      <c r="L7" s="20" t="s">
        <v>21</v>
      </c>
      <c r="M7" s="20" t="s">
        <v>22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88" t="s">
        <v>23</v>
      </c>
      <c r="S7" s="376"/>
      <c r="V7" s="137">
        <v>6</v>
      </c>
    </row>
    <row r="8" spans="2:106" ht="19.5" customHeight="1" x14ac:dyDescent="0.2">
      <c r="B8" s="97" t="s">
        <v>24</v>
      </c>
      <c r="C8" s="98"/>
      <c r="D8" s="99"/>
      <c r="E8" s="99"/>
      <c r="F8" s="99"/>
      <c r="G8" s="100"/>
      <c r="L8" s="20" t="s">
        <v>25</v>
      </c>
      <c r="M8" s="20" t="s">
        <v>26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7">
        <v>7</v>
      </c>
    </row>
    <row r="9" spans="2:106" ht="19.5" customHeight="1" x14ac:dyDescent="0.2">
      <c r="B9" s="13"/>
      <c r="L9" s="20" t="s">
        <v>27</v>
      </c>
      <c r="M9" s="20" t="s">
        <v>28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7" t="s">
        <v>29</v>
      </c>
    </row>
    <row r="10" spans="2:106" x14ac:dyDescent="0.2">
      <c r="B10" s="13"/>
      <c r="K10" s="23"/>
      <c r="L10" s="20" t="s">
        <v>30</v>
      </c>
      <c r="M10" s="20" t="s">
        <v>31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7" t="s">
        <v>32</v>
      </c>
    </row>
    <row r="11" spans="2:106" ht="15" x14ac:dyDescent="0.25">
      <c r="B11" s="9" t="s">
        <v>33</v>
      </c>
      <c r="C11" s="23"/>
      <c r="D11" s="23"/>
      <c r="E11" s="23"/>
      <c r="K11" s="23"/>
      <c r="L11" s="109" t="s">
        <v>34</v>
      </c>
      <c r="M11" s="20" t="s">
        <v>35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7" t="s">
        <v>36</v>
      </c>
    </row>
    <row r="12" spans="2:106" ht="43.5" customHeight="1" x14ac:dyDescent="0.2">
      <c r="B12" s="14"/>
      <c r="D12" s="196" t="s">
        <v>37</v>
      </c>
      <c r="E12" s="196" t="s">
        <v>37</v>
      </c>
      <c r="L12" s="20" t="s">
        <v>38</v>
      </c>
      <c r="M12" s="20" t="s">
        <v>39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7" t="s">
        <v>40</v>
      </c>
    </row>
    <row r="13" spans="2:106" s="18" customFormat="1" ht="45.95" customHeight="1" x14ac:dyDescent="0.2">
      <c r="B13" s="197" t="s">
        <v>41</v>
      </c>
      <c r="C13" s="197" t="s">
        <v>42</v>
      </c>
      <c r="D13" s="25" t="s">
        <v>43</v>
      </c>
      <c r="E13" s="25" t="s">
        <v>44</v>
      </c>
      <c r="F13" s="197" t="s">
        <v>45</v>
      </c>
      <c r="G13" s="10"/>
      <c r="H13" s="10"/>
      <c r="I13" s="10"/>
      <c r="K13" s="10"/>
      <c r="L13" s="20" t="s">
        <v>46</v>
      </c>
      <c r="M13" s="20" t="s">
        <v>47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385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98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48</v>
      </c>
      <c r="M14" s="20" t="s">
        <v>49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7" t="s">
        <v>50</v>
      </c>
    </row>
    <row r="15" spans="2:106" x14ac:dyDescent="0.2">
      <c r="B15" s="198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7" t="s">
        <v>51</v>
      </c>
    </row>
    <row r="16" spans="2:106" ht="15" x14ac:dyDescent="0.25">
      <c r="B16" s="199" t="s">
        <v>52</v>
      </c>
      <c r="C16" s="200">
        <f>IF(C15&gt;0,C14,C15)</f>
        <v>57106398</v>
      </c>
      <c r="D16" s="200">
        <f>IF(D15&gt;0,D14,D15)</f>
        <v>21895402</v>
      </c>
      <c r="E16" s="200">
        <f>IF(E15&gt;0,E14,E15)</f>
        <v>23324090</v>
      </c>
      <c r="F16" s="200">
        <f>SUM(F15)</f>
        <v>45219492</v>
      </c>
      <c r="L16" s="21"/>
      <c r="M16" s="21"/>
      <c r="P16" s="374">
        <f>COUNTIF(P6:P14, TRUE)</f>
        <v>9</v>
      </c>
    </row>
    <row r="17" spans="1:194" ht="15" x14ac:dyDescent="0.25">
      <c r="Q17" s="22"/>
      <c r="R17" s="22"/>
    </row>
    <row r="18" spans="1:194" ht="45.6" customHeight="1" x14ac:dyDescent="0.2">
      <c r="B18" s="89"/>
      <c r="C18" s="141"/>
      <c r="D18" s="25" t="s">
        <v>37</v>
      </c>
      <c r="E18" s="25" t="s">
        <v>37</v>
      </c>
      <c r="F18" s="89"/>
      <c r="I18" s="89"/>
      <c r="J18" s="89"/>
      <c r="K18" s="23"/>
      <c r="N18" s="23"/>
    </row>
    <row r="19" spans="1:194" ht="23.1" customHeight="1" x14ac:dyDescent="0.25">
      <c r="D19" s="201">
        <v>2</v>
      </c>
      <c r="E19" s="201">
        <v>3</v>
      </c>
      <c r="F19" s="201">
        <v>4</v>
      </c>
      <c r="G19" s="201">
        <v>5</v>
      </c>
      <c r="H19" s="201">
        <v>6</v>
      </c>
      <c r="K19" s="23"/>
    </row>
    <row r="20" spans="1:194" s="1" customFormat="1" ht="48" customHeight="1" x14ac:dyDescent="0.25">
      <c r="A20" s="122" t="s">
        <v>13</v>
      </c>
      <c r="B20" s="121" t="s">
        <v>53</v>
      </c>
      <c r="C20" s="121" t="s">
        <v>54</v>
      </c>
      <c r="D20" s="81" t="s">
        <v>55</v>
      </c>
      <c r="E20" s="81" t="s">
        <v>55</v>
      </c>
      <c r="F20" s="81" t="s">
        <v>56</v>
      </c>
      <c r="G20" s="81" t="s">
        <v>56</v>
      </c>
      <c r="H20" s="81" t="s">
        <v>56</v>
      </c>
      <c r="I20" s="121" t="s">
        <v>55</v>
      </c>
      <c r="J20" s="121" t="s">
        <v>55</v>
      </c>
      <c r="K20" s="121" t="s">
        <v>57</v>
      </c>
      <c r="L20" s="121" t="s">
        <v>57</v>
      </c>
      <c r="M20" s="123" t="s">
        <v>58</v>
      </c>
      <c r="N20" s="806"/>
      <c r="O20" s="806"/>
      <c r="P20" s="806"/>
      <c r="Q20" s="806"/>
      <c r="R20" s="806"/>
      <c r="S20" s="806"/>
      <c r="T20" s="806"/>
      <c r="U20" s="806"/>
      <c r="V20" s="806"/>
      <c r="W20" s="806"/>
      <c r="X20" s="806"/>
      <c r="Y20" s="806"/>
      <c r="Z20" s="806"/>
      <c r="AA20" s="806"/>
      <c r="AB20" s="806"/>
      <c r="AC20" s="806"/>
      <c r="AD20" s="806"/>
      <c r="AE20" s="806"/>
      <c r="AF20" s="806"/>
      <c r="AG20" s="806"/>
      <c r="AH20" s="806"/>
      <c r="AI20" s="806"/>
      <c r="AJ20" s="806"/>
      <c r="AK20" s="806"/>
      <c r="AL20" s="806"/>
      <c r="AM20" s="806"/>
      <c r="AN20" s="806"/>
      <c r="AO20" s="806"/>
      <c r="AP20" s="806"/>
      <c r="AQ20" s="806"/>
      <c r="AR20" s="806"/>
      <c r="AS20" s="806"/>
      <c r="AT20" s="806"/>
      <c r="AU20" s="806"/>
      <c r="AV20" s="806"/>
      <c r="AW20" s="806"/>
      <c r="AX20" s="806"/>
      <c r="AY20" s="806"/>
      <c r="AZ20" s="806"/>
      <c r="BA20" s="806"/>
      <c r="BB20" s="806"/>
      <c r="BC20" s="806"/>
      <c r="BD20" s="806"/>
      <c r="BE20" s="806"/>
      <c r="BF20" s="806"/>
      <c r="BG20" s="806"/>
      <c r="BH20" s="806"/>
      <c r="BI20" s="806"/>
      <c r="BJ20" s="806"/>
      <c r="BK20" s="806"/>
      <c r="BL20" s="806"/>
      <c r="BM20" s="806"/>
      <c r="BN20" s="806"/>
      <c r="BO20" s="806"/>
      <c r="BP20" s="806"/>
      <c r="BQ20" s="806"/>
      <c r="BR20" s="806"/>
      <c r="BS20" s="806"/>
      <c r="BT20" s="806"/>
      <c r="BU20" s="806"/>
      <c r="BV20" s="806"/>
      <c r="BW20" s="806"/>
      <c r="BX20" s="806"/>
      <c r="BY20" s="806"/>
      <c r="BZ20" s="806"/>
      <c r="CA20" s="806"/>
      <c r="CB20" s="806"/>
      <c r="CC20" s="806"/>
      <c r="CD20" s="806"/>
      <c r="CE20" s="806"/>
      <c r="CF20" s="806"/>
      <c r="CG20" s="806"/>
      <c r="CH20" s="806"/>
      <c r="CI20" s="806"/>
      <c r="CJ20" s="806"/>
      <c r="CK20" s="806"/>
      <c r="CL20" s="806"/>
      <c r="CM20" s="806"/>
      <c r="CN20" s="806"/>
      <c r="CO20" s="806"/>
      <c r="CP20" s="806"/>
      <c r="CQ20" s="806"/>
      <c r="CR20" s="806"/>
      <c r="CS20" s="806"/>
      <c r="CT20" s="806"/>
      <c r="CU20" s="806"/>
      <c r="CV20" s="806"/>
      <c r="CW20" s="806"/>
      <c r="CX20" s="806"/>
      <c r="CY20" s="124"/>
      <c r="CZ20" s="807" t="s">
        <v>59</v>
      </c>
      <c r="DA20" s="807"/>
      <c r="DB20" s="807"/>
      <c r="DC20" s="807"/>
      <c r="DD20" s="807"/>
      <c r="DE20" s="807"/>
      <c r="DF20" s="807"/>
      <c r="DG20" s="807"/>
      <c r="DH20" s="807"/>
      <c r="DI20" s="807"/>
      <c r="DJ20" s="807"/>
      <c r="DK20" s="807"/>
      <c r="DL20" s="807"/>
      <c r="DM20" s="807"/>
      <c r="DN20" s="807"/>
      <c r="DO20" s="807"/>
      <c r="DP20" s="807"/>
      <c r="DQ20" s="807"/>
      <c r="DR20" s="807"/>
      <c r="DS20" s="807"/>
      <c r="DT20" s="807"/>
      <c r="DU20" s="807"/>
      <c r="DV20" s="807"/>
      <c r="DW20" s="807"/>
      <c r="DX20" s="807"/>
      <c r="DY20" s="807"/>
      <c r="DZ20" s="807"/>
      <c r="EA20" s="807"/>
      <c r="EB20" s="807"/>
      <c r="EC20" s="807"/>
      <c r="ED20" s="807"/>
      <c r="EE20" s="807"/>
      <c r="EF20" s="807"/>
      <c r="EG20" s="807"/>
      <c r="EH20" s="807"/>
      <c r="EI20" s="807"/>
      <c r="EJ20" s="807"/>
      <c r="EK20" s="807"/>
      <c r="EL20" s="807"/>
      <c r="EM20" s="807"/>
      <c r="EN20" s="807"/>
      <c r="EO20" s="807"/>
      <c r="EP20" s="807"/>
      <c r="EQ20" s="807"/>
      <c r="ER20" s="807"/>
      <c r="ES20" s="807"/>
      <c r="ET20" s="807"/>
      <c r="EU20" s="807"/>
      <c r="EV20" s="807"/>
      <c r="EW20" s="807"/>
      <c r="EX20" s="807"/>
      <c r="EY20" s="807"/>
      <c r="EZ20" s="807"/>
      <c r="FA20" s="807"/>
      <c r="FB20" s="807"/>
      <c r="FC20" s="807"/>
      <c r="FD20" s="807"/>
      <c r="FE20" s="807"/>
      <c r="FF20" s="807"/>
      <c r="FG20" s="807"/>
      <c r="FH20" s="807"/>
      <c r="FI20" s="807"/>
      <c r="FJ20" s="807"/>
      <c r="FK20" s="807"/>
      <c r="FL20" s="807"/>
      <c r="FM20" s="807"/>
      <c r="FN20" s="807"/>
      <c r="FO20" s="807"/>
      <c r="FP20" s="807"/>
      <c r="FQ20" s="807"/>
      <c r="FR20" s="807"/>
      <c r="FS20" s="807"/>
      <c r="FT20" s="807"/>
      <c r="FU20" s="807"/>
      <c r="FV20" s="807"/>
      <c r="FW20" s="807"/>
      <c r="FX20" s="807"/>
      <c r="FY20" s="807"/>
      <c r="FZ20" s="807"/>
      <c r="GA20" s="807"/>
      <c r="GB20" s="807"/>
      <c r="GC20" s="807"/>
      <c r="GD20" s="807"/>
      <c r="GE20" s="807"/>
      <c r="GF20" s="807"/>
      <c r="GG20" s="807"/>
      <c r="GH20" s="807"/>
      <c r="GI20" s="807"/>
      <c r="GJ20" s="807"/>
      <c r="GK20" s="807"/>
      <c r="GL20" s="120"/>
    </row>
    <row r="21" spans="1:194" s="8" customFormat="1" ht="30" x14ac:dyDescent="0.25">
      <c r="A21" s="122"/>
      <c r="B21" s="121"/>
      <c r="C21" s="121"/>
      <c r="D21" s="24" t="s">
        <v>43</v>
      </c>
      <c r="E21" s="25" t="s">
        <v>44</v>
      </c>
      <c r="F21" s="81" t="s">
        <v>60</v>
      </c>
      <c r="G21" s="80" t="s">
        <v>58</v>
      </c>
      <c r="H21" s="80" t="s">
        <v>59</v>
      </c>
      <c r="I21" s="81" t="s">
        <v>58</v>
      </c>
      <c r="J21" s="80" t="s">
        <v>59</v>
      </c>
      <c r="K21" s="81" t="s">
        <v>58</v>
      </c>
      <c r="L21" s="26" t="s">
        <v>59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61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61</v>
      </c>
    </row>
    <row r="22" spans="1:194" s="1" customFormat="1" x14ac:dyDescent="0.2">
      <c r="A22" s="29"/>
      <c r="B22" s="71"/>
      <c r="C22" s="59"/>
      <c r="D22" s="77"/>
      <c r="E22" s="77"/>
      <c r="F22" s="808"/>
      <c r="G22" s="808"/>
      <c r="H22" s="77"/>
      <c r="I22" s="77"/>
      <c r="J22" s="77"/>
      <c r="K22" s="808"/>
      <c r="L22" s="77"/>
      <c r="M22" s="808"/>
      <c r="N22" s="808"/>
      <c r="O22" s="808"/>
      <c r="P22" s="808"/>
      <c r="Q22" s="808"/>
      <c r="R22" s="808"/>
      <c r="S22" s="808"/>
      <c r="T22" s="808"/>
      <c r="U22" s="808"/>
      <c r="V22" s="808"/>
      <c r="W22" s="808"/>
      <c r="X22" s="808"/>
      <c r="Y22" s="808"/>
      <c r="Z22" s="808"/>
      <c r="AA22" s="808"/>
      <c r="AB22" s="808"/>
      <c r="AC22" s="808"/>
      <c r="AD22" s="808"/>
      <c r="AE22" s="808"/>
      <c r="AF22" s="808"/>
      <c r="AG22" s="808"/>
      <c r="AH22" s="808"/>
      <c r="AI22" s="808"/>
      <c r="AJ22" s="808"/>
      <c r="AK22" s="808"/>
      <c r="AL22" s="808"/>
      <c r="AM22" s="808"/>
      <c r="AN22" s="808"/>
      <c r="AO22" s="808"/>
      <c r="AP22" s="808"/>
      <c r="AQ22" s="808"/>
      <c r="AR22" s="808"/>
      <c r="AS22" s="808"/>
      <c r="AT22" s="808"/>
      <c r="AU22" s="808"/>
      <c r="AV22" s="808"/>
      <c r="AW22" s="808"/>
      <c r="AX22" s="808"/>
      <c r="AY22" s="808"/>
      <c r="AZ22" s="808"/>
      <c r="BA22" s="808"/>
      <c r="BB22" s="808"/>
      <c r="BC22" s="808"/>
      <c r="BD22" s="808"/>
      <c r="BE22" s="808"/>
      <c r="BF22" s="808"/>
      <c r="BG22" s="808"/>
      <c r="BH22" s="808"/>
      <c r="BI22" s="808"/>
      <c r="BJ22" s="808"/>
      <c r="BK22" s="808"/>
      <c r="BL22" s="808"/>
      <c r="BM22" s="808"/>
      <c r="BN22" s="808"/>
      <c r="BO22" s="808"/>
      <c r="BP22" s="808"/>
      <c r="BQ22" s="808"/>
      <c r="BR22" s="808"/>
      <c r="BS22" s="808"/>
      <c r="BT22" s="808"/>
      <c r="BU22" s="808"/>
      <c r="BV22" s="808"/>
      <c r="BW22" s="808"/>
      <c r="BX22" s="808"/>
      <c r="BY22" s="808"/>
      <c r="BZ22" s="808"/>
      <c r="CA22" s="808"/>
      <c r="CB22" s="808"/>
      <c r="CC22" s="808"/>
      <c r="CD22" s="808"/>
      <c r="CE22" s="808"/>
      <c r="CF22" s="808"/>
      <c r="CG22" s="808"/>
      <c r="CH22" s="808"/>
      <c r="CI22" s="808"/>
      <c r="CJ22" s="808"/>
      <c r="CK22" s="808"/>
      <c r="CL22" s="808"/>
      <c r="CM22" s="808"/>
      <c r="CN22" s="808"/>
      <c r="CO22" s="808"/>
      <c r="CP22" s="808"/>
      <c r="CQ22" s="808"/>
      <c r="CR22" s="808"/>
      <c r="CS22" s="808"/>
      <c r="CT22" s="808"/>
      <c r="CU22" s="808"/>
      <c r="CV22" s="808"/>
      <c r="CW22" s="808"/>
      <c r="CX22" s="808"/>
      <c r="CY22" s="77"/>
      <c r="CZ22" s="808"/>
      <c r="DA22" s="808"/>
      <c r="DB22" s="808"/>
      <c r="DC22" s="808"/>
      <c r="DD22" s="808"/>
      <c r="DE22" s="808"/>
      <c r="DF22" s="808"/>
      <c r="DG22" s="808"/>
      <c r="DH22" s="808"/>
      <c r="DI22" s="808"/>
      <c r="DJ22" s="808"/>
      <c r="DK22" s="808"/>
      <c r="DL22" s="808"/>
      <c r="DM22" s="808"/>
      <c r="DN22" s="808"/>
      <c r="DO22" s="808"/>
      <c r="DP22" s="808"/>
      <c r="DQ22" s="808"/>
      <c r="DR22" s="808"/>
      <c r="DS22" s="808"/>
      <c r="DT22" s="808"/>
      <c r="DU22" s="808"/>
      <c r="DV22" s="808"/>
      <c r="DW22" s="808"/>
      <c r="DX22" s="808"/>
      <c r="DY22" s="808"/>
      <c r="DZ22" s="808"/>
      <c r="EA22" s="808"/>
      <c r="EB22" s="808"/>
      <c r="EC22" s="808"/>
      <c r="ED22" s="808"/>
      <c r="EE22" s="808"/>
      <c r="EF22" s="808"/>
      <c r="EG22" s="808"/>
      <c r="EH22" s="808"/>
      <c r="EI22" s="808"/>
      <c r="EJ22" s="808"/>
      <c r="EK22" s="808"/>
      <c r="EL22" s="808"/>
      <c r="EM22" s="808"/>
      <c r="EN22" s="808"/>
      <c r="EO22" s="808"/>
      <c r="EP22" s="808"/>
      <c r="EQ22" s="808"/>
      <c r="ER22" s="808"/>
      <c r="ES22" s="808"/>
      <c r="ET22" s="808"/>
      <c r="EU22" s="808"/>
      <c r="EV22" s="808"/>
      <c r="EW22" s="808"/>
      <c r="EX22" s="808"/>
      <c r="EY22" s="808"/>
      <c r="EZ22" s="808"/>
      <c r="FA22" s="808"/>
      <c r="FB22" s="808"/>
      <c r="FC22" s="808"/>
      <c r="FD22" s="808"/>
      <c r="FE22" s="808"/>
      <c r="FF22" s="808"/>
      <c r="FG22" s="808"/>
      <c r="FH22" s="808"/>
      <c r="FI22" s="808"/>
      <c r="FJ22" s="808"/>
      <c r="FK22" s="808"/>
      <c r="FL22" s="808"/>
      <c r="FM22" s="808"/>
      <c r="FN22" s="808"/>
      <c r="FO22" s="808"/>
      <c r="FP22" s="808"/>
      <c r="FQ22" s="808"/>
      <c r="FR22" s="808"/>
      <c r="FS22" s="808"/>
      <c r="FT22" s="808"/>
      <c r="FU22" s="808"/>
      <c r="FV22" s="808"/>
      <c r="FW22" s="808"/>
      <c r="FX22" s="808"/>
      <c r="FY22" s="808"/>
      <c r="FZ22" s="808"/>
      <c r="GA22" s="808"/>
      <c r="GB22" s="808"/>
      <c r="GC22" s="808"/>
      <c r="GD22" s="808"/>
      <c r="GE22" s="808"/>
      <c r="GF22" s="808"/>
      <c r="GG22" s="808"/>
      <c r="GH22" s="808"/>
      <c r="GI22" s="808"/>
      <c r="GJ22" s="808"/>
      <c r="GK22" s="808"/>
      <c r="GL22" s="77"/>
    </row>
    <row r="23" spans="1:194" s="69" customFormat="1" ht="21.75" customHeight="1" x14ac:dyDescent="0.25">
      <c r="A23" s="64" t="s">
        <v>11</v>
      </c>
      <c r="B23" s="65" t="s">
        <v>11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75" customHeight="1" x14ac:dyDescent="0.2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8" customFormat="1" ht="15" x14ac:dyDescent="0.25">
      <c r="A25" s="73" t="s">
        <v>21</v>
      </c>
      <c r="B25" s="536" t="s">
        <v>62</v>
      </c>
      <c r="C25" s="74" t="s">
        <v>63</v>
      </c>
      <c r="D25" s="76">
        <f t="shared" ref="D25:E27" si="3">I25</f>
        <v>21895402</v>
      </c>
      <c r="E25" s="76">
        <f t="shared" si="3"/>
        <v>23324090</v>
      </c>
      <c r="F25" s="809">
        <f>G25+H25</f>
        <v>57106398</v>
      </c>
      <c r="G25" s="809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810">
        <f>SUM(M25:AD25)</f>
        <v>6087888</v>
      </c>
      <c r="L25" s="76">
        <f>SUM(CZ25:DQ25)</f>
        <v>5799018</v>
      </c>
      <c r="M25" s="809">
        <v>305120</v>
      </c>
      <c r="N25" s="809">
        <v>303019</v>
      </c>
      <c r="O25" s="809">
        <v>314737</v>
      </c>
      <c r="P25" s="809">
        <v>321299</v>
      </c>
      <c r="Q25" s="809">
        <v>325230</v>
      </c>
      <c r="R25" s="809">
        <v>333023</v>
      </c>
      <c r="S25" s="809">
        <v>343154</v>
      </c>
      <c r="T25" s="809">
        <v>339729</v>
      </c>
      <c r="U25" s="809">
        <v>341966</v>
      </c>
      <c r="V25" s="809">
        <v>351482</v>
      </c>
      <c r="W25" s="809">
        <v>360539</v>
      </c>
      <c r="X25" s="809">
        <v>361688</v>
      </c>
      <c r="Y25" s="809">
        <v>356777</v>
      </c>
      <c r="Z25" s="809">
        <v>354079</v>
      </c>
      <c r="AA25" s="809">
        <v>357199</v>
      </c>
      <c r="AB25" s="809">
        <v>344190</v>
      </c>
      <c r="AC25" s="809">
        <v>336612</v>
      </c>
      <c r="AD25" s="809">
        <v>338045</v>
      </c>
      <c r="AE25" s="809">
        <v>339142</v>
      </c>
      <c r="AF25" s="809">
        <v>339234</v>
      </c>
      <c r="AG25" s="809">
        <v>338398</v>
      </c>
      <c r="AH25" s="809">
        <v>338465</v>
      </c>
      <c r="AI25" s="809">
        <v>345338</v>
      </c>
      <c r="AJ25" s="809">
        <v>358287</v>
      </c>
      <c r="AK25" s="809">
        <v>360304</v>
      </c>
      <c r="AL25" s="809">
        <v>365799</v>
      </c>
      <c r="AM25" s="809">
        <v>360324</v>
      </c>
      <c r="AN25" s="809">
        <v>364086</v>
      </c>
      <c r="AO25" s="809">
        <v>372653</v>
      </c>
      <c r="AP25" s="809">
        <v>372807</v>
      </c>
      <c r="AQ25" s="809">
        <v>383710</v>
      </c>
      <c r="AR25" s="809">
        <v>389563</v>
      </c>
      <c r="AS25" s="809">
        <v>387640</v>
      </c>
      <c r="AT25" s="809">
        <v>384620</v>
      </c>
      <c r="AU25" s="809">
        <v>387905</v>
      </c>
      <c r="AV25" s="809">
        <v>378829</v>
      </c>
      <c r="AW25" s="809">
        <v>378199</v>
      </c>
      <c r="AX25" s="809">
        <v>377186</v>
      </c>
      <c r="AY25" s="809">
        <v>365502</v>
      </c>
      <c r="AZ25" s="809">
        <v>366111</v>
      </c>
      <c r="BA25" s="809">
        <v>365728</v>
      </c>
      <c r="BB25" s="809">
        <v>369097</v>
      </c>
      <c r="BC25" s="809">
        <v>371802</v>
      </c>
      <c r="BD25" s="809">
        <v>357560</v>
      </c>
      <c r="BE25" s="809">
        <v>334069</v>
      </c>
      <c r="BF25" s="809">
        <v>328458</v>
      </c>
      <c r="BG25" s="809">
        <v>335746</v>
      </c>
      <c r="BH25" s="809">
        <v>342585</v>
      </c>
      <c r="BI25" s="809">
        <v>346685</v>
      </c>
      <c r="BJ25" s="809">
        <v>360442</v>
      </c>
      <c r="BK25" s="809">
        <v>373390</v>
      </c>
      <c r="BL25" s="809">
        <v>385375</v>
      </c>
      <c r="BM25" s="809">
        <v>375807</v>
      </c>
      <c r="BN25" s="809">
        <v>383988</v>
      </c>
      <c r="BO25" s="809">
        <v>382566</v>
      </c>
      <c r="BP25" s="809">
        <v>385629</v>
      </c>
      <c r="BQ25" s="809">
        <v>381742</v>
      </c>
      <c r="BR25" s="809">
        <v>381998</v>
      </c>
      <c r="BS25" s="809">
        <v>376164</v>
      </c>
      <c r="BT25" s="809">
        <v>367036</v>
      </c>
      <c r="BU25" s="809">
        <v>357672</v>
      </c>
      <c r="BV25" s="809">
        <v>344928</v>
      </c>
      <c r="BW25" s="809">
        <v>329857</v>
      </c>
      <c r="BX25" s="809">
        <v>319451</v>
      </c>
      <c r="BY25" s="809">
        <v>309724</v>
      </c>
      <c r="BZ25" s="809">
        <v>294558</v>
      </c>
      <c r="CA25" s="809">
        <v>282293</v>
      </c>
      <c r="CB25" s="809">
        <v>268536</v>
      </c>
      <c r="CC25" s="809">
        <v>266443</v>
      </c>
      <c r="CD25" s="809">
        <v>260410</v>
      </c>
      <c r="CE25" s="809">
        <v>249450</v>
      </c>
      <c r="CF25" s="809">
        <v>249080</v>
      </c>
      <c r="CG25" s="809">
        <v>249070</v>
      </c>
      <c r="CH25" s="809">
        <v>252982</v>
      </c>
      <c r="CI25" s="809">
        <v>263625</v>
      </c>
      <c r="CJ25" s="809">
        <v>283090</v>
      </c>
      <c r="CK25" s="809">
        <v>211587</v>
      </c>
      <c r="CL25" s="809">
        <v>200401</v>
      </c>
      <c r="CM25" s="809">
        <v>195036</v>
      </c>
      <c r="CN25" s="809">
        <v>174093</v>
      </c>
      <c r="CO25" s="809">
        <v>149572</v>
      </c>
      <c r="CP25" s="809">
        <v>127665</v>
      </c>
      <c r="CQ25" s="809">
        <v>127183</v>
      </c>
      <c r="CR25" s="809">
        <v>120061</v>
      </c>
      <c r="CS25" s="809">
        <v>109873</v>
      </c>
      <c r="CT25" s="809">
        <v>97456</v>
      </c>
      <c r="CU25" s="809">
        <v>84705</v>
      </c>
      <c r="CV25" s="809">
        <v>73428</v>
      </c>
      <c r="CW25" s="809">
        <v>60864</v>
      </c>
      <c r="CX25" s="809">
        <v>51376</v>
      </c>
      <c r="CY25" s="809">
        <v>170964</v>
      </c>
      <c r="CZ25" s="809">
        <v>291186</v>
      </c>
      <c r="DA25" s="809">
        <v>289546</v>
      </c>
      <c r="DB25" s="809">
        <v>300800</v>
      </c>
      <c r="DC25" s="809">
        <v>305906</v>
      </c>
      <c r="DD25" s="809">
        <v>310539</v>
      </c>
      <c r="DE25" s="809">
        <v>318263</v>
      </c>
      <c r="DF25" s="809">
        <v>326932</v>
      </c>
      <c r="DG25" s="809">
        <v>324633</v>
      </c>
      <c r="DH25" s="809">
        <v>326780</v>
      </c>
      <c r="DI25" s="809">
        <v>334543</v>
      </c>
      <c r="DJ25" s="809">
        <v>344341</v>
      </c>
      <c r="DK25" s="809">
        <v>343967</v>
      </c>
      <c r="DL25" s="809">
        <v>339949</v>
      </c>
      <c r="DM25" s="809">
        <v>337345</v>
      </c>
      <c r="DN25" s="809">
        <v>340474</v>
      </c>
      <c r="DO25" s="809">
        <v>326885</v>
      </c>
      <c r="DP25" s="809">
        <v>319023</v>
      </c>
      <c r="DQ25" s="809">
        <v>317906</v>
      </c>
      <c r="DR25" s="809">
        <v>318297</v>
      </c>
      <c r="DS25" s="809">
        <v>319325</v>
      </c>
      <c r="DT25" s="809">
        <v>325075</v>
      </c>
      <c r="DU25" s="809">
        <v>327194</v>
      </c>
      <c r="DV25" s="809">
        <v>333614</v>
      </c>
      <c r="DW25" s="809">
        <v>350669</v>
      </c>
      <c r="DX25" s="809">
        <v>358581</v>
      </c>
      <c r="DY25" s="809">
        <v>367839</v>
      </c>
      <c r="DZ25" s="809">
        <v>363988</v>
      </c>
      <c r="EA25" s="809">
        <v>374022</v>
      </c>
      <c r="EB25" s="809">
        <v>387522</v>
      </c>
      <c r="EC25" s="809">
        <v>390671</v>
      </c>
      <c r="ED25" s="809">
        <v>404331</v>
      </c>
      <c r="EE25" s="809">
        <v>410921</v>
      </c>
      <c r="EF25" s="809">
        <v>413176</v>
      </c>
      <c r="EG25" s="809">
        <v>411450</v>
      </c>
      <c r="EH25" s="809">
        <v>417983</v>
      </c>
      <c r="EI25" s="809">
        <v>409203</v>
      </c>
      <c r="EJ25" s="809">
        <v>404000</v>
      </c>
      <c r="EK25" s="809">
        <v>401928</v>
      </c>
      <c r="EL25" s="809">
        <v>389436</v>
      </c>
      <c r="EM25" s="809">
        <v>389518</v>
      </c>
      <c r="EN25" s="809">
        <v>386124</v>
      </c>
      <c r="EO25" s="809">
        <v>390735</v>
      </c>
      <c r="EP25" s="809">
        <v>390956</v>
      </c>
      <c r="EQ25" s="809">
        <v>373536</v>
      </c>
      <c r="ER25" s="809">
        <v>346385</v>
      </c>
      <c r="ES25" s="809">
        <v>339293</v>
      </c>
      <c r="ET25" s="809">
        <v>345871</v>
      </c>
      <c r="EU25" s="809">
        <v>353016</v>
      </c>
      <c r="EV25" s="809">
        <v>356906</v>
      </c>
      <c r="EW25" s="809">
        <v>370244</v>
      </c>
      <c r="EX25" s="809">
        <v>384214</v>
      </c>
      <c r="EY25" s="809">
        <v>399644</v>
      </c>
      <c r="EZ25" s="809">
        <v>389031</v>
      </c>
      <c r="FA25" s="809">
        <v>397139</v>
      </c>
      <c r="FB25" s="809">
        <v>395547</v>
      </c>
      <c r="FC25" s="809">
        <v>396676</v>
      </c>
      <c r="FD25" s="809">
        <v>396578</v>
      </c>
      <c r="FE25" s="809">
        <v>396708</v>
      </c>
      <c r="FF25" s="809">
        <v>390539</v>
      </c>
      <c r="FG25" s="809">
        <v>380695</v>
      </c>
      <c r="FH25" s="809">
        <v>371143</v>
      </c>
      <c r="FI25" s="809">
        <v>355407</v>
      </c>
      <c r="FJ25" s="809">
        <v>340408</v>
      </c>
      <c r="FK25" s="809">
        <v>331322</v>
      </c>
      <c r="FL25" s="809">
        <v>321164</v>
      </c>
      <c r="FM25" s="809">
        <v>308551</v>
      </c>
      <c r="FN25" s="809">
        <v>295719</v>
      </c>
      <c r="FO25" s="809">
        <v>284931</v>
      </c>
      <c r="FP25" s="809">
        <v>285437</v>
      </c>
      <c r="FQ25" s="809">
        <v>278929</v>
      </c>
      <c r="FR25" s="809">
        <v>271460</v>
      </c>
      <c r="FS25" s="809">
        <v>271487</v>
      </c>
      <c r="FT25" s="809">
        <v>275610</v>
      </c>
      <c r="FU25" s="809">
        <v>280129</v>
      </c>
      <c r="FV25" s="809">
        <v>294843</v>
      </c>
      <c r="FW25" s="809">
        <v>316380</v>
      </c>
      <c r="FX25" s="809">
        <v>240292</v>
      </c>
      <c r="FY25" s="809">
        <v>230370</v>
      </c>
      <c r="FZ25" s="809">
        <v>225985</v>
      </c>
      <c r="GA25" s="809">
        <v>206546</v>
      </c>
      <c r="GB25" s="809">
        <v>181398</v>
      </c>
      <c r="GC25" s="809">
        <v>159103</v>
      </c>
      <c r="GD25" s="809">
        <v>161482</v>
      </c>
      <c r="GE25" s="809">
        <v>155577</v>
      </c>
      <c r="GF25" s="809">
        <v>145759</v>
      </c>
      <c r="GG25" s="809">
        <v>132931</v>
      </c>
      <c r="GH25" s="809">
        <v>120255</v>
      </c>
      <c r="GI25" s="809">
        <v>107758</v>
      </c>
      <c r="GJ25" s="809">
        <v>93505</v>
      </c>
      <c r="GK25" s="809">
        <v>82264</v>
      </c>
      <c r="GL25" s="809">
        <v>349365</v>
      </c>
    </row>
    <row r="26" spans="1:194" s="8" customFormat="1" ht="15" x14ac:dyDescent="0.25">
      <c r="A26" s="31" t="s">
        <v>21</v>
      </c>
      <c r="B26" s="537" t="s">
        <v>64</v>
      </c>
      <c r="C26" s="32" t="s">
        <v>65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8" customFormat="1" ht="15" x14ac:dyDescent="0.25">
      <c r="A27" s="37" t="s">
        <v>21</v>
      </c>
      <c r="B27" s="538" t="s">
        <v>66</v>
      </c>
      <c r="C27" s="38" t="s">
        <v>67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">
      <c r="A28" s="43"/>
      <c r="B28" s="539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">
      <c r="A29" s="82" t="s">
        <v>48</v>
      </c>
      <c r="B29" s="540" t="s">
        <v>68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811">
        <f>G29+H29</f>
        <v>246482</v>
      </c>
      <c r="G29" s="811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812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">
      <c r="A30" s="86" t="s">
        <v>48</v>
      </c>
      <c r="B30" s="540" t="s">
        <v>69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">
      <c r="A31" s="86" t="s">
        <v>48</v>
      </c>
      <c r="B31" s="540" t="s">
        <v>70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">
      <c r="A32" s="86" t="s">
        <v>48</v>
      </c>
      <c r="B32" s="540" t="s">
        <v>71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">
      <c r="A33" s="86" t="s">
        <v>48</v>
      </c>
      <c r="B33" s="540" t="s">
        <v>72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">
      <c r="A34" s="86" t="s">
        <v>48</v>
      </c>
      <c r="B34" s="540" t="s">
        <v>73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">
      <c r="A35" s="86" t="s">
        <v>48</v>
      </c>
      <c r="B35" s="540" t="s">
        <v>74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">
      <c r="A36" s="86" t="s">
        <v>48</v>
      </c>
      <c r="B36" s="540" t="s">
        <v>75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">
      <c r="A37" s="86" t="s">
        <v>48</v>
      </c>
      <c r="B37" s="540" t="s">
        <v>76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">
      <c r="A38" s="86" t="s">
        <v>48</v>
      </c>
      <c r="B38" s="540" t="s">
        <v>77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">
      <c r="A39" s="86" t="s">
        <v>48</v>
      </c>
      <c r="B39" s="540" t="s">
        <v>78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">
      <c r="A40" s="86" t="s">
        <v>48</v>
      </c>
      <c r="B40" s="540" t="s">
        <v>79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">
      <c r="A41" s="86" t="s">
        <v>48</v>
      </c>
      <c r="B41" s="540" t="s">
        <v>80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">
      <c r="A42" s="86" t="s">
        <v>48</v>
      </c>
      <c r="B42" s="540" t="s">
        <v>81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">
      <c r="A43" s="86" t="s">
        <v>48</v>
      </c>
      <c r="B43" s="540" t="s">
        <v>82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">
      <c r="A44" s="86" t="s">
        <v>48</v>
      </c>
      <c r="B44" s="540" t="s">
        <v>83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">
      <c r="A45" s="86" t="s">
        <v>48</v>
      </c>
      <c r="B45" s="540" t="s">
        <v>84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">
      <c r="A46" s="86" t="s">
        <v>48</v>
      </c>
      <c r="B46" s="540" t="s">
        <v>85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">
      <c r="A47" s="86" t="s">
        <v>48</v>
      </c>
      <c r="B47" s="540" t="s">
        <v>86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">
      <c r="A48" s="86" t="s">
        <v>48</v>
      </c>
      <c r="B48" s="540" t="s">
        <v>87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">
      <c r="A49" s="86" t="s">
        <v>48</v>
      </c>
      <c r="B49" s="540" t="s">
        <v>88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">
      <c r="A50" s="86" t="s">
        <v>48</v>
      </c>
      <c r="B50" s="540" t="s">
        <v>89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">
      <c r="A51" s="86" t="s">
        <v>48</v>
      </c>
      <c r="B51" s="540" t="s">
        <v>90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">
      <c r="A52" s="86" t="s">
        <v>48</v>
      </c>
      <c r="B52" s="540" t="s">
        <v>91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">
      <c r="A53" s="86" t="s">
        <v>48</v>
      </c>
      <c r="B53" s="540" t="s">
        <v>92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">
      <c r="A54" s="86" t="s">
        <v>48</v>
      </c>
      <c r="B54" s="540" t="s">
        <v>93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">
      <c r="A55" s="86" t="s">
        <v>48</v>
      </c>
      <c r="B55" s="540" t="s">
        <v>94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">
      <c r="A56" s="86" t="s">
        <v>48</v>
      </c>
      <c r="B56" s="540" t="s">
        <v>95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">
      <c r="A57" s="86" t="s">
        <v>48</v>
      </c>
      <c r="B57" s="540" t="s">
        <v>96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">
      <c r="A58" s="86" t="s">
        <v>48</v>
      </c>
      <c r="B58" s="540" t="s">
        <v>97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">
      <c r="A59" s="86" t="s">
        <v>48</v>
      </c>
      <c r="B59" s="540" t="s">
        <v>98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">
      <c r="A60" s="86" t="s">
        <v>48</v>
      </c>
      <c r="B60" s="540" t="s">
        <v>99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">
      <c r="A61" s="86" t="s">
        <v>48</v>
      </c>
      <c r="B61" s="540" t="s">
        <v>100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">
      <c r="A62" s="86" t="s">
        <v>48</v>
      </c>
      <c r="B62" s="540" t="s">
        <v>101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">
      <c r="A63" s="86" t="s">
        <v>48</v>
      </c>
      <c r="B63" s="540" t="s">
        <v>102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">
      <c r="A64" s="86" t="s">
        <v>48</v>
      </c>
      <c r="B64" s="540" t="s">
        <v>103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">
      <c r="A65" s="86" t="s">
        <v>48</v>
      </c>
      <c r="B65" s="540" t="s">
        <v>104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">
      <c r="A66" s="86" t="s">
        <v>48</v>
      </c>
      <c r="B66" s="540" t="s">
        <v>105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">
      <c r="A67" s="86" t="s">
        <v>48</v>
      </c>
      <c r="B67" s="540" t="s">
        <v>106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">
      <c r="A68" s="86" t="s">
        <v>48</v>
      </c>
      <c r="B68" s="540" t="s">
        <v>107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">
      <c r="A69" s="86" t="s">
        <v>48</v>
      </c>
      <c r="B69" s="540" t="s">
        <v>108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">
      <c r="A70" s="86" t="s">
        <v>48</v>
      </c>
      <c r="B70" s="540" t="s">
        <v>109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">
      <c r="A71" s="86" t="s">
        <v>48</v>
      </c>
      <c r="B71" s="540" t="s">
        <v>110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">
      <c r="A72" s="86" t="s">
        <v>48</v>
      </c>
      <c r="B72" s="540" t="s">
        <v>111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">
      <c r="A73" s="86" t="s">
        <v>48</v>
      </c>
      <c r="B73" s="540" t="s">
        <v>112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">
      <c r="A74" s="86" t="s">
        <v>48</v>
      </c>
      <c r="B74" s="540" t="s">
        <v>113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">
      <c r="A75" s="86" t="s">
        <v>48</v>
      </c>
      <c r="B75" s="540" t="s">
        <v>114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">
      <c r="A76" s="86" t="s">
        <v>48</v>
      </c>
      <c r="B76" s="540" t="s">
        <v>115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">
      <c r="A77" s="86" t="s">
        <v>48</v>
      </c>
      <c r="B77" s="540" t="s">
        <v>116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">
      <c r="A78" s="86" t="s">
        <v>48</v>
      </c>
      <c r="B78" s="540" t="s">
        <v>117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">
      <c r="A79" s="86" t="s">
        <v>48</v>
      </c>
      <c r="B79" s="540" t="s">
        <v>118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">
      <c r="A80" s="86" t="s">
        <v>48</v>
      </c>
      <c r="B80" s="540" t="s">
        <v>119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">
      <c r="A81" s="86" t="s">
        <v>48</v>
      </c>
      <c r="B81" s="540" t="s">
        <v>120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">
      <c r="A82" s="86" t="s">
        <v>48</v>
      </c>
      <c r="B82" s="540" t="s">
        <v>121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">
      <c r="A83" s="86" t="s">
        <v>48</v>
      </c>
      <c r="B83" s="540" t="s">
        <v>122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">
      <c r="A84" s="86" t="s">
        <v>48</v>
      </c>
      <c r="B84" s="540" t="s">
        <v>123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">
      <c r="A85" s="86" t="s">
        <v>48</v>
      </c>
      <c r="B85" s="540" t="s">
        <v>124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">
      <c r="A86" s="86" t="s">
        <v>48</v>
      </c>
      <c r="B86" s="540" t="s">
        <v>125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">
      <c r="A87" s="86" t="s">
        <v>48</v>
      </c>
      <c r="B87" s="540" t="s">
        <v>126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">
      <c r="A88" s="86" t="s">
        <v>48</v>
      </c>
      <c r="B88" s="540" t="s">
        <v>127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">
      <c r="A89" s="86" t="s">
        <v>48</v>
      </c>
      <c r="B89" s="540" t="s">
        <v>128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">
      <c r="A90" s="86" t="s">
        <v>48</v>
      </c>
      <c r="B90" s="540" t="s">
        <v>129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">
      <c r="A91" s="86" t="s">
        <v>48</v>
      </c>
      <c r="B91" s="540" t="s">
        <v>130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">
      <c r="A92" s="86" t="s">
        <v>48</v>
      </c>
      <c r="B92" s="540" t="s">
        <v>131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">
      <c r="A93" s="86" t="s">
        <v>48</v>
      </c>
      <c r="B93" s="540" t="s">
        <v>132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">
      <c r="A94" s="86" t="s">
        <v>48</v>
      </c>
      <c r="B94" s="540" t="s">
        <v>133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">
      <c r="A95" s="86" t="s">
        <v>48</v>
      </c>
      <c r="B95" s="540" t="s">
        <v>134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">
      <c r="A96" s="86" t="s">
        <v>48</v>
      </c>
      <c r="B96" s="540" t="s">
        <v>135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">
      <c r="A97" s="86" t="s">
        <v>48</v>
      </c>
      <c r="B97" s="540" t="s">
        <v>136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">
      <c r="A98" s="86" t="s">
        <v>48</v>
      </c>
      <c r="B98" s="540" t="s">
        <v>137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">
      <c r="A99" s="86" t="s">
        <v>48</v>
      </c>
      <c r="B99" s="540" t="s">
        <v>138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">
      <c r="A100" s="86" t="s">
        <v>48</v>
      </c>
      <c r="B100" s="540" t="s">
        <v>139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">
      <c r="A101" s="86" t="s">
        <v>48</v>
      </c>
      <c r="B101" s="540" t="s">
        <v>140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">
      <c r="A102" s="86" t="s">
        <v>48</v>
      </c>
      <c r="B102" s="540" t="s">
        <v>141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">
      <c r="A103" s="86" t="s">
        <v>48</v>
      </c>
      <c r="B103" s="540" t="s">
        <v>142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">
      <c r="A104" s="86" t="s">
        <v>48</v>
      </c>
      <c r="B104" s="540" t="s">
        <v>143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">
      <c r="A105" s="86" t="s">
        <v>48</v>
      </c>
      <c r="B105" s="540" t="s">
        <v>144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">
      <c r="A106" s="86" t="s">
        <v>48</v>
      </c>
      <c r="B106" s="540" t="s">
        <v>145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">
      <c r="A107" s="86" t="s">
        <v>48</v>
      </c>
      <c r="B107" s="540" t="s">
        <v>146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">
      <c r="A108" s="86" t="s">
        <v>48</v>
      </c>
      <c r="B108" s="540" t="s">
        <v>147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">
      <c r="A109" s="86" t="s">
        <v>48</v>
      </c>
      <c r="B109" s="540" t="s">
        <v>148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">
      <c r="A110" s="86" t="s">
        <v>48</v>
      </c>
      <c r="B110" s="540" t="s">
        <v>149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">
      <c r="A111" s="86" t="s">
        <v>48</v>
      </c>
      <c r="B111" s="540" t="s">
        <v>150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">
      <c r="A112" s="86" t="s">
        <v>48</v>
      </c>
      <c r="B112" s="540" t="s">
        <v>151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">
      <c r="A113" s="86" t="s">
        <v>48</v>
      </c>
      <c r="B113" s="540" t="s">
        <v>152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">
      <c r="A114" s="86" t="s">
        <v>48</v>
      </c>
      <c r="B114" s="540" t="s">
        <v>153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">
      <c r="A115" s="86" t="s">
        <v>48</v>
      </c>
      <c r="B115" s="540" t="s">
        <v>154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">
      <c r="A116" s="86" t="s">
        <v>48</v>
      </c>
      <c r="B116" s="540" t="s">
        <v>155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">
      <c r="A117" s="86" t="s">
        <v>48</v>
      </c>
      <c r="B117" s="540" t="s">
        <v>156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">
      <c r="A118" s="86" t="s">
        <v>48</v>
      </c>
      <c r="B118" s="540" t="s">
        <v>157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">
      <c r="A119" s="86" t="s">
        <v>48</v>
      </c>
      <c r="B119" s="540" t="s">
        <v>158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">
      <c r="A120" s="86" t="s">
        <v>48</v>
      </c>
      <c r="B120" s="540" t="s">
        <v>159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">
      <c r="A121" s="86" t="s">
        <v>48</v>
      </c>
      <c r="B121" s="540" t="s">
        <v>160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">
      <c r="A122" s="86" t="s">
        <v>48</v>
      </c>
      <c r="B122" s="540" t="s">
        <v>161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">
      <c r="A123" s="86" t="s">
        <v>48</v>
      </c>
      <c r="B123" s="540" t="s">
        <v>162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">
      <c r="A124" s="86" t="s">
        <v>48</v>
      </c>
      <c r="B124" s="540" t="s">
        <v>163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">
      <c r="A125" s="86" t="s">
        <v>48</v>
      </c>
      <c r="B125" s="540" t="s">
        <v>164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">
      <c r="A126" s="86" t="s">
        <v>48</v>
      </c>
      <c r="B126" s="540" t="s">
        <v>165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">
      <c r="A127" s="86" t="s">
        <v>48</v>
      </c>
      <c r="B127" s="540" t="s">
        <v>166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">
      <c r="A128" s="86" t="s">
        <v>48</v>
      </c>
      <c r="B128" s="540" t="s">
        <v>167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">
      <c r="A129" s="86" t="s">
        <v>48</v>
      </c>
      <c r="B129" s="540" t="s">
        <v>168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">
      <c r="A130" s="86" t="s">
        <v>48</v>
      </c>
      <c r="B130" s="540" t="s">
        <v>169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">
      <c r="A131" s="86" t="s">
        <v>48</v>
      </c>
      <c r="B131" s="540" t="s">
        <v>170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">
      <c r="A132" s="86" t="s">
        <v>48</v>
      </c>
      <c r="B132" s="540" t="s">
        <v>171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">
      <c r="A133" s="86" t="s">
        <v>48</v>
      </c>
      <c r="B133" s="540" t="s">
        <v>172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">
      <c r="A134" s="86" t="s">
        <v>48</v>
      </c>
      <c r="B134" s="540" t="s">
        <v>173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ht="15" x14ac:dyDescent="0.25">
      <c r="A135" s="111"/>
      <c r="B135" s="541"/>
      <c r="C135" s="111"/>
      <c r="D135" s="113">
        <f t="shared" ref="D135:L135" si="22">SUM(D29:D134)</f>
        <v>21895402</v>
      </c>
      <c r="E135" s="134">
        <f t="shared" si="22"/>
        <v>23324090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21895402</v>
      </c>
      <c r="J135" s="134">
        <f t="shared" si="22"/>
        <v>23324090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">
      <c r="A136" s="53" t="s">
        <v>27</v>
      </c>
      <c r="B136" s="542" t="s">
        <v>174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">
      <c r="A137" s="53" t="s">
        <v>27</v>
      </c>
      <c r="B137" s="543" t="s">
        <v>175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">
      <c r="A138" s="53" t="s">
        <v>27</v>
      </c>
      <c r="B138" s="543" t="s">
        <v>176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">
      <c r="A139" s="53" t="s">
        <v>27</v>
      </c>
      <c r="B139" s="543" t="s">
        <v>177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">
      <c r="A140" s="53" t="s">
        <v>27</v>
      </c>
      <c r="B140" s="543" t="s">
        <v>178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">
      <c r="A141" s="53" t="s">
        <v>27</v>
      </c>
      <c r="B141" s="543" t="s">
        <v>179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">
      <c r="A142" s="54" t="s">
        <v>27</v>
      </c>
      <c r="B142" s="544" t="s">
        <v>180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ht="15" x14ac:dyDescent="0.25">
      <c r="A143" s="115"/>
      <c r="B143" s="545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">
      <c r="A144" s="58" t="s">
        <v>30</v>
      </c>
      <c r="B144" s="542" t="s">
        <v>181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811">
        <f>G144+H144</f>
        <v>364103.61922965694</v>
      </c>
      <c r="G144" s="811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812">
        <f>SUM(M144:AD144)</f>
        <v>38954.196552201036</v>
      </c>
      <c r="L144" s="60">
        <f>SUM(CZ144:DQ144)</f>
        <v>37048.788099800979</v>
      </c>
      <c r="M144" s="812">
        <v>2017.8952120383037</v>
      </c>
      <c r="N144" s="812">
        <v>2031.4154300095463</v>
      </c>
      <c r="O144" s="812">
        <v>2025.5722779004586</v>
      </c>
      <c r="P144" s="812">
        <v>2036.6363244919048</v>
      </c>
      <c r="Q144" s="812">
        <v>2174.8657606103957</v>
      </c>
      <c r="R144" s="812">
        <v>2139.1275684252282</v>
      </c>
      <c r="S144" s="812">
        <v>2269.8788621098379</v>
      </c>
      <c r="T144" s="812">
        <v>2199.8731034482757</v>
      </c>
      <c r="U144" s="812">
        <v>2214.1918960244648</v>
      </c>
      <c r="V144" s="812">
        <v>2323.0202012443356</v>
      </c>
      <c r="W144" s="812">
        <v>2319.2258355916892</v>
      </c>
      <c r="X144" s="812">
        <v>2302.9974595842955</v>
      </c>
      <c r="Y144" s="812">
        <v>2256.5049293083684</v>
      </c>
      <c r="Z144" s="812">
        <v>2212.0418107754977</v>
      </c>
      <c r="AA144" s="812">
        <v>2229.1199141767324</v>
      </c>
      <c r="AB144" s="812">
        <v>2134.8894582108355</v>
      </c>
      <c r="AC144" s="812">
        <v>2012.6591474539725</v>
      </c>
      <c r="AD144" s="812">
        <v>2054.2813607968933</v>
      </c>
      <c r="AE144" s="812">
        <v>2265.0450211864404</v>
      </c>
      <c r="AF144" s="812">
        <v>2804.7232134687529</v>
      </c>
      <c r="AG144" s="812">
        <v>2878.6458486407055</v>
      </c>
      <c r="AH144" s="812">
        <v>2648.2416475163518</v>
      </c>
      <c r="AI144" s="812">
        <v>2812.8031562871206</v>
      </c>
      <c r="AJ144" s="812">
        <v>2819.1729711141679</v>
      </c>
      <c r="AK144" s="812">
        <v>2731.7522704339053</v>
      </c>
      <c r="AL144" s="812">
        <v>2754.8174718956493</v>
      </c>
      <c r="AM144" s="812">
        <v>2792.2450211225105</v>
      </c>
      <c r="AN144" s="812">
        <v>2709.9772329246935</v>
      </c>
      <c r="AO144" s="812">
        <v>2693.0545391183132</v>
      </c>
      <c r="AP144" s="812">
        <v>2739.741847362131</v>
      </c>
      <c r="AQ144" s="812">
        <v>2738.9105892047796</v>
      </c>
      <c r="AR144" s="812">
        <v>2711.0666008067833</v>
      </c>
      <c r="AS144" s="812">
        <v>2782.8070289619263</v>
      </c>
      <c r="AT144" s="812">
        <v>2691.3420944220152</v>
      </c>
      <c r="AU144" s="812">
        <v>2575.2371291098634</v>
      </c>
      <c r="AV144" s="812">
        <v>2616.3572226656024</v>
      </c>
      <c r="AW144" s="812">
        <v>2585.9089460686691</v>
      </c>
      <c r="AX144" s="812">
        <v>2533.264568094025</v>
      </c>
      <c r="AY144" s="812">
        <v>2413.1614349775782</v>
      </c>
      <c r="AZ144" s="812">
        <v>2431.4496314496314</v>
      </c>
      <c r="BA144" s="812">
        <v>2293.8903732491299</v>
      </c>
      <c r="BB144" s="812">
        <v>2344.819097470061</v>
      </c>
      <c r="BC144" s="812">
        <v>2403.7633319021038</v>
      </c>
      <c r="BD144" s="812">
        <v>2239.8626248466794</v>
      </c>
      <c r="BE144" s="812">
        <v>2047.4737312365976</v>
      </c>
      <c r="BF144" s="812">
        <v>2052.8353243075835</v>
      </c>
      <c r="BG144" s="812">
        <v>1984.3233076189651</v>
      </c>
      <c r="BH144" s="812">
        <v>1967.3126347206103</v>
      </c>
      <c r="BI144" s="812">
        <v>1977.5348837209303</v>
      </c>
      <c r="BJ144" s="812">
        <v>2084.857469993683</v>
      </c>
      <c r="BK144" s="812">
        <v>2131.2999446158715</v>
      </c>
      <c r="BL144" s="812">
        <v>2143.6819436775263</v>
      </c>
      <c r="BM144" s="812">
        <v>2073.8563380281689</v>
      </c>
      <c r="BN144" s="812">
        <v>2300.7910402197972</v>
      </c>
      <c r="BO144" s="812">
        <v>2326.6164287385909</v>
      </c>
      <c r="BP144" s="812">
        <v>2307.9060786106033</v>
      </c>
      <c r="BQ144" s="812">
        <v>2344.6145362640732</v>
      </c>
      <c r="BR144" s="812">
        <v>2368.012116504854</v>
      </c>
      <c r="BS144" s="812">
        <v>2252.978437722139</v>
      </c>
      <c r="BT144" s="812">
        <v>2241.3179516972359</v>
      </c>
      <c r="BU144" s="812">
        <v>2297.6054466954502</v>
      </c>
      <c r="BV144" s="812">
        <v>2198.0522088353414</v>
      </c>
      <c r="BW144" s="812">
        <v>2021.5031326614003</v>
      </c>
      <c r="BX144" s="812">
        <v>2002.5265144540601</v>
      </c>
      <c r="BY144" s="812">
        <v>1890.3538506703198</v>
      </c>
      <c r="BZ144" s="812">
        <v>1822.7951142631994</v>
      </c>
      <c r="CA144" s="812">
        <v>1687.8206664564279</v>
      </c>
      <c r="CB144" s="812">
        <v>1588.8602704443015</v>
      </c>
      <c r="CC144" s="812">
        <v>1552.3684032476319</v>
      </c>
      <c r="CD144" s="812">
        <v>1527.1244533743056</v>
      </c>
      <c r="CE144" s="812">
        <v>1273.9034871433603</v>
      </c>
      <c r="CF144" s="812">
        <v>1290.2680573978055</v>
      </c>
      <c r="CG144" s="812">
        <v>1292.323121170439</v>
      </c>
      <c r="CH144" s="812">
        <v>1203.3575933400607</v>
      </c>
      <c r="CI144" s="812">
        <v>1137.5975561687032</v>
      </c>
      <c r="CJ144" s="812">
        <v>1181.2559576345984</v>
      </c>
      <c r="CK144" s="812">
        <v>1033.272138554217</v>
      </c>
      <c r="CL144" s="812">
        <v>966.99722735674675</v>
      </c>
      <c r="CM144" s="812">
        <v>986.02355350742448</v>
      </c>
      <c r="CN144" s="812">
        <v>974.00968523002427</v>
      </c>
      <c r="CO144" s="812">
        <v>796.9</v>
      </c>
      <c r="CP144" s="812">
        <v>696.19117288466236</v>
      </c>
      <c r="CQ144" s="812">
        <v>621.99595857539782</v>
      </c>
      <c r="CR144" s="812">
        <v>600.77992957746471</v>
      </c>
      <c r="CS144" s="812">
        <v>583.85111740635818</v>
      </c>
      <c r="CT144" s="812">
        <v>522.79582712369597</v>
      </c>
      <c r="CU144" s="812">
        <v>452.41860465116281</v>
      </c>
      <c r="CV144" s="812">
        <v>372.84571129707109</v>
      </c>
      <c r="CW144" s="812">
        <v>312.34061135371184</v>
      </c>
      <c r="CX144" s="812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">
      <c r="A145" s="58" t="s">
        <v>30</v>
      </c>
      <c r="B145" s="543" t="s">
        <v>182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">
      <c r="A146" s="58" t="s">
        <v>30</v>
      </c>
      <c r="B146" s="543" t="s">
        <v>183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">
      <c r="A147" s="58" t="s">
        <v>30</v>
      </c>
      <c r="B147" s="543" t="s">
        <v>184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">
      <c r="A148" s="62" t="s">
        <v>30</v>
      </c>
      <c r="B148" s="544" t="s">
        <v>185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ht="15" x14ac:dyDescent="0.25">
      <c r="A149" s="115"/>
      <c r="B149" s="545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">
      <c r="A150" s="72" t="s">
        <v>25</v>
      </c>
      <c r="B150" s="546" t="s">
        <v>186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811">
        <f t="shared" ref="F150:F156" si="36">G150+H150</f>
        <v>6398497</v>
      </c>
      <c r="G150" s="811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812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">
      <c r="A151" s="63" t="s">
        <v>25</v>
      </c>
      <c r="B151" s="546" t="s">
        <v>187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">
      <c r="A152" s="63" t="s">
        <v>25</v>
      </c>
      <c r="B152" s="546" t="s">
        <v>188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">
      <c r="A153" s="63" t="s">
        <v>25</v>
      </c>
      <c r="B153" s="546" t="s">
        <v>189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">
      <c r="A154" s="63" t="s">
        <v>25</v>
      </c>
      <c r="B154" s="546" t="s">
        <v>190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">
      <c r="A155" s="63" t="s">
        <v>25</v>
      </c>
      <c r="B155" s="546" t="s">
        <v>191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">
      <c r="A156" s="138" t="s">
        <v>25</v>
      </c>
      <c r="B156" s="546" t="s">
        <v>192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ht="15" x14ac:dyDescent="0.25">
      <c r="A157" s="116"/>
      <c r="B157" s="547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810"/>
      <c r="O157" s="810"/>
      <c r="P157" s="810"/>
      <c r="Q157" s="810"/>
      <c r="R157" s="810"/>
      <c r="S157" s="810"/>
      <c r="T157" s="810"/>
      <c r="U157" s="810"/>
      <c r="V157" s="810"/>
      <c r="W157" s="810"/>
      <c r="X157" s="810"/>
      <c r="Y157" s="810"/>
      <c r="Z157" s="810"/>
      <c r="AA157" s="810"/>
      <c r="AB157" s="810"/>
      <c r="AC157" s="810"/>
      <c r="AD157" s="810"/>
      <c r="AE157" s="810"/>
      <c r="AF157" s="810"/>
      <c r="AG157" s="810"/>
      <c r="AH157" s="810"/>
      <c r="AI157" s="810"/>
      <c r="AJ157" s="810"/>
      <c r="AK157" s="810"/>
      <c r="AL157" s="810"/>
      <c r="AM157" s="810"/>
      <c r="AN157" s="810"/>
      <c r="AO157" s="810"/>
      <c r="AP157" s="810"/>
      <c r="AQ157" s="810"/>
      <c r="AR157" s="810"/>
      <c r="AS157" s="810"/>
      <c r="AT157" s="810"/>
      <c r="AU157" s="810"/>
      <c r="AV157" s="810"/>
      <c r="AW157" s="810"/>
      <c r="AX157" s="810"/>
      <c r="AY157" s="810"/>
      <c r="AZ157" s="810"/>
      <c r="BA157" s="810"/>
      <c r="BB157" s="810"/>
      <c r="BC157" s="810"/>
      <c r="BD157" s="810"/>
      <c r="BE157" s="810"/>
      <c r="BF157" s="810"/>
      <c r="BG157" s="810"/>
      <c r="BH157" s="810"/>
      <c r="BI157" s="810"/>
      <c r="BJ157" s="810"/>
      <c r="BK157" s="810"/>
      <c r="BL157" s="810"/>
      <c r="BM157" s="810"/>
      <c r="BN157" s="810"/>
      <c r="BO157" s="810"/>
      <c r="BP157" s="810"/>
      <c r="BQ157" s="810"/>
      <c r="BR157" s="810"/>
      <c r="BS157" s="810"/>
      <c r="BT157" s="810"/>
      <c r="BU157" s="810"/>
      <c r="BV157" s="810"/>
      <c r="BW157" s="810"/>
      <c r="BX157" s="810"/>
      <c r="BY157" s="810"/>
      <c r="BZ157" s="810"/>
      <c r="CA157" s="810"/>
      <c r="CB157" s="810"/>
      <c r="CC157" s="810"/>
      <c r="CD157" s="810"/>
      <c r="CE157" s="810"/>
      <c r="CF157" s="810"/>
      <c r="CG157" s="810"/>
      <c r="CH157" s="810"/>
      <c r="CI157" s="810"/>
      <c r="CJ157" s="810"/>
      <c r="CK157" s="810"/>
      <c r="CL157" s="810"/>
      <c r="CM157" s="810"/>
      <c r="CN157" s="810"/>
      <c r="CO157" s="810"/>
      <c r="CP157" s="810"/>
      <c r="CQ157" s="810"/>
      <c r="CR157" s="810"/>
      <c r="CS157" s="810"/>
      <c r="CT157" s="810"/>
      <c r="CU157" s="810"/>
      <c r="CV157" s="810"/>
      <c r="CW157" s="810"/>
      <c r="CX157" s="810"/>
      <c r="CY157" s="76"/>
      <c r="CZ157" s="117"/>
      <c r="DA157" s="810"/>
      <c r="DB157" s="810"/>
      <c r="DC157" s="810"/>
      <c r="DD157" s="810"/>
      <c r="DE157" s="810"/>
      <c r="DF157" s="810"/>
      <c r="DG157" s="810"/>
      <c r="DH157" s="810"/>
      <c r="DI157" s="810"/>
      <c r="DJ157" s="810"/>
      <c r="DK157" s="810"/>
      <c r="DL157" s="810"/>
      <c r="DM157" s="810"/>
      <c r="DN157" s="810"/>
      <c r="DO157" s="810"/>
      <c r="DP157" s="810"/>
      <c r="DQ157" s="810"/>
      <c r="DR157" s="810"/>
      <c r="DS157" s="810"/>
      <c r="DT157" s="810"/>
      <c r="DU157" s="810"/>
      <c r="DV157" s="810"/>
      <c r="DW157" s="810"/>
      <c r="DX157" s="810"/>
      <c r="DY157" s="810"/>
      <c r="DZ157" s="810"/>
      <c r="EA157" s="810"/>
      <c r="EB157" s="810"/>
      <c r="EC157" s="810"/>
      <c r="ED157" s="810"/>
      <c r="EE157" s="810"/>
      <c r="EF157" s="810"/>
      <c r="EG157" s="810"/>
      <c r="EH157" s="810"/>
      <c r="EI157" s="810"/>
      <c r="EJ157" s="810"/>
      <c r="EK157" s="810"/>
      <c r="EL157" s="810"/>
      <c r="EM157" s="810"/>
      <c r="EN157" s="810"/>
      <c r="EO157" s="810"/>
      <c r="EP157" s="810"/>
      <c r="EQ157" s="810"/>
      <c r="ER157" s="810"/>
      <c r="ES157" s="810"/>
      <c r="ET157" s="810"/>
      <c r="EU157" s="810"/>
      <c r="EV157" s="810"/>
      <c r="EW157" s="810"/>
      <c r="EX157" s="810"/>
      <c r="EY157" s="810"/>
      <c r="EZ157" s="810"/>
      <c r="FA157" s="810"/>
      <c r="FB157" s="810"/>
      <c r="FC157" s="810"/>
      <c r="FD157" s="810"/>
      <c r="FE157" s="810"/>
      <c r="FF157" s="810"/>
      <c r="FG157" s="810"/>
      <c r="FH157" s="810"/>
      <c r="FI157" s="810"/>
      <c r="FJ157" s="810"/>
      <c r="FK157" s="810"/>
      <c r="FL157" s="810"/>
      <c r="FM157" s="810"/>
      <c r="FN157" s="810"/>
      <c r="FO157" s="810"/>
      <c r="FP157" s="810"/>
      <c r="FQ157" s="810"/>
      <c r="FR157" s="810"/>
      <c r="FS157" s="810"/>
      <c r="FT157" s="810"/>
      <c r="FU157" s="810"/>
      <c r="FV157" s="810"/>
      <c r="FW157" s="810"/>
      <c r="FX157" s="810"/>
      <c r="FY157" s="810"/>
      <c r="FZ157" s="810"/>
      <c r="GA157" s="810"/>
      <c r="GB157" s="810"/>
      <c r="GC157" s="810"/>
      <c r="GD157" s="810"/>
      <c r="GE157" s="810"/>
      <c r="GF157" s="810"/>
      <c r="GG157" s="810"/>
      <c r="GH157" s="810"/>
      <c r="GI157" s="810"/>
      <c r="GJ157" s="810"/>
      <c r="GK157" s="810"/>
      <c r="GL157" s="76"/>
    </row>
    <row r="158" spans="1:194" s="1" customFormat="1" x14ac:dyDescent="0.2">
      <c r="A158" s="106" t="s">
        <v>17</v>
      </c>
      <c r="B158" s="548" t="s">
        <v>193</v>
      </c>
      <c r="C158" s="813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7">
        <f t="shared" ref="F158:F163" si="46">G158+H158</f>
        <v>953852</v>
      </c>
      <c r="G158" s="811">
        <f t="shared" ref="G158:G163" si="47">SUM(M158:CY158)</f>
        <v>470982</v>
      </c>
      <c r="H158" s="61">
        <f t="shared" ref="H158:H163" si="48">SUM(CZ158:GL158)</f>
        <v>482870</v>
      </c>
      <c r="I158" s="811">
        <f t="shared" ref="I158:I163" si="49">SUM(AE158:CY158)</f>
        <v>372192</v>
      </c>
      <c r="J158" s="102">
        <f t="shared" ref="J158:J163" si="50">SUM(DR158:GL158)</f>
        <v>388592</v>
      </c>
      <c r="K158" s="104">
        <f t="shared" ref="K158:K163" si="51">SUM(M158:AD158)</f>
        <v>98790</v>
      </c>
      <c r="L158" s="60">
        <f t="shared" ref="L158:L163" si="52">SUM(CZ158:DQ158)</f>
        <v>94278</v>
      </c>
      <c r="M158" s="104">
        <v>4647</v>
      </c>
      <c r="N158" s="812">
        <v>4706</v>
      </c>
      <c r="O158" s="812">
        <v>4907</v>
      </c>
      <c r="P158" s="812">
        <v>5108</v>
      </c>
      <c r="Q158" s="812">
        <v>5293</v>
      </c>
      <c r="R158" s="812">
        <v>5287</v>
      </c>
      <c r="S158" s="812">
        <v>5628</v>
      </c>
      <c r="T158" s="812">
        <v>5623</v>
      </c>
      <c r="U158" s="812">
        <v>5617</v>
      </c>
      <c r="V158" s="812">
        <v>5799</v>
      </c>
      <c r="W158" s="812">
        <v>6160</v>
      </c>
      <c r="X158" s="812">
        <v>6033</v>
      </c>
      <c r="Y158" s="812">
        <v>5955</v>
      </c>
      <c r="Z158" s="812">
        <v>5803</v>
      </c>
      <c r="AA158" s="812">
        <v>5710</v>
      </c>
      <c r="AB158" s="812">
        <v>5605</v>
      </c>
      <c r="AC158" s="812">
        <v>5496</v>
      </c>
      <c r="AD158" s="812">
        <v>5413</v>
      </c>
      <c r="AE158" s="812">
        <v>5967</v>
      </c>
      <c r="AF158" s="812">
        <v>6678</v>
      </c>
      <c r="AG158" s="812">
        <v>6216</v>
      </c>
      <c r="AH158" s="812">
        <v>5569</v>
      </c>
      <c r="AI158" s="812">
        <v>5932</v>
      </c>
      <c r="AJ158" s="812">
        <v>5961</v>
      </c>
      <c r="AK158" s="812">
        <v>5644</v>
      </c>
      <c r="AL158" s="812">
        <v>5569</v>
      </c>
      <c r="AM158" s="812">
        <v>5603</v>
      </c>
      <c r="AN158" s="812">
        <v>5436</v>
      </c>
      <c r="AO158" s="812">
        <v>5723</v>
      </c>
      <c r="AP158" s="812">
        <v>5509</v>
      </c>
      <c r="AQ158" s="812">
        <v>5906</v>
      </c>
      <c r="AR158" s="812">
        <v>5926</v>
      </c>
      <c r="AS158" s="812">
        <v>5999</v>
      </c>
      <c r="AT158" s="812">
        <v>5968</v>
      </c>
      <c r="AU158" s="812">
        <v>6124</v>
      </c>
      <c r="AV158" s="812">
        <v>6089</v>
      </c>
      <c r="AW158" s="812">
        <v>6037</v>
      </c>
      <c r="AX158" s="812">
        <v>5950</v>
      </c>
      <c r="AY158" s="812">
        <v>6029</v>
      </c>
      <c r="AZ158" s="812">
        <v>5880</v>
      </c>
      <c r="BA158" s="812">
        <v>5821</v>
      </c>
      <c r="BB158" s="812">
        <v>5960</v>
      </c>
      <c r="BC158" s="812">
        <v>6033</v>
      </c>
      <c r="BD158" s="812">
        <v>5922</v>
      </c>
      <c r="BE158" s="812">
        <v>5375</v>
      </c>
      <c r="BF158" s="812">
        <v>5274</v>
      </c>
      <c r="BG158" s="812">
        <v>5437</v>
      </c>
      <c r="BH158" s="812">
        <v>5820</v>
      </c>
      <c r="BI158" s="812">
        <v>5866</v>
      </c>
      <c r="BJ158" s="812">
        <v>6432</v>
      </c>
      <c r="BK158" s="812">
        <v>6631</v>
      </c>
      <c r="BL158" s="812">
        <v>6700</v>
      </c>
      <c r="BM158" s="812">
        <v>6536</v>
      </c>
      <c r="BN158" s="812">
        <v>6527</v>
      </c>
      <c r="BO158" s="812">
        <v>6586</v>
      </c>
      <c r="BP158" s="812">
        <v>6746</v>
      </c>
      <c r="BQ158" s="812">
        <v>6723</v>
      </c>
      <c r="BR158" s="812">
        <v>6887</v>
      </c>
      <c r="BS158" s="812">
        <v>6661</v>
      </c>
      <c r="BT158" s="812">
        <v>6550</v>
      </c>
      <c r="BU158" s="812">
        <v>6440</v>
      </c>
      <c r="BV158" s="812">
        <v>6192</v>
      </c>
      <c r="BW158" s="812">
        <v>5977</v>
      </c>
      <c r="BX158" s="812">
        <v>5691</v>
      </c>
      <c r="BY158" s="812">
        <v>5371</v>
      </c>
      <c r="BZ158" s="812">
        <v>5135</v>
      </c>
      <c r="CA158" s="812">
        <v>4863</v>
      </c>
      <c r="CB158" s="812">
        <v>4730</v>
      </c>
      <c r="CC158" s="812">
        <v>4797</v>
      </c>
      <c r="CD158" s="812">
        <v>4544</v>
      </c>
      <c r="CE158" s="812">
        <v>4485</v>
      </c>
      <c r="CF158" s="812">
        <v>4422</v>
      </c>
      <c r="CG158" s="812">
        <v>4421</v>
      </c>
      <c r="CH158" s="812">
        <v>4529</v>
      </c>
      <c r="CI158" s="812">
        <v>4861</v>
      </c>
      <c r="CJ158" s="812">
        <v>5197</v>
      </c>
      <c r="CK158" s="812">
        <v>3865</v>
      </c>
      <c r="CL158" s="812">
        <v>3773</v>
      </c>
      <c r="CM158" s="812">
        <v>3497</v>
      </c>
      <c r="CN158" s="812">
        <v>3141</v>
      </c>
      <c r="CO158" s="812">
        <v>2804</v>
      </c>
      <c r="CP158" s="812">
        <v>2380</v>
      </c>
      <c r="CQ158" s="812">
        <v>2335</v>
      </c>
      <c r="CR158" s="812">
        <v>2209</v>
      </c>
      <c r="CS158" s="812">
        <v>2008</v>
      </c>
      <c r="CT158" s="812">
        <v>1804</v>
      </c>
      <c r="CU158" s="812">
        <v>1625</v>
      </c>
      <c r="CV158" s="812">
        <v>1368</v>
      </c>
      <c r="CW158" s="812">
        <v>1144</v>
      </c>
      <c r="CX158" s="812">
        <v>1023</v>
      </c>
      <c r="CY158" s="60">
        <v>3359</v>
      </c>
      <c r="CZ158" s="104">
        <v>4395</v>
      </c>
      <c r="DA158" s="812">
        <v>4569</v>
      </c>
      <c r="DB158" s="812">
        <v>4724</v>
      </c>
      <c r="DC158" s="812">
        <v>4830</v>
      </c>
      <c r="DD158" s="812">
        <v>5033</v>
      </c>
      <c r="DE158" s="812">
        <v>5193</v>
      </c>
      <c r="DF158" s="812">
        <v>5362</v>
      </c>
      <c r="DG158" s="812">
        <v>5295</v>
      </c>
      <c r="DH158" s="812">
        <v>5344</v>
      </c>
      <c r="DI158" s="812">
        <v>5565</v>
      </c>
      <c r="DJ158" s="812">
        <v>5551</v>
      </c>
      <c r="DK158" s="812">
        <v>5719</v>
      </c>
      <c r="DL158" s="812">
        <v>5546</v>
      </c>
      <c r="DM158" s="812">
        <v>5549</v>
      </c>
      <c r="DN158" s="812">
        <v>5624</v>
      </c>
      <c r="DO158" s="812">
        <v>5574</v>
      </c>
      <c r="DP158" s="812">
        <v>5184</v>
      </c>
      <c r="DQ158" s="812">
        <v>5221</v>
      </c>
      <c r="DR158" s="812">
        <v>5415</v>
      </c>
      <c r="DS158" s="812">
        <v>5600</v>
      </c>
      <c r="DT158" s="812">
        <v>5189</v>
      </c>
      <c r="DU158" s="812">
        <v>4912</v>
      </c>
      <c r="DV158" s="812">
        <v>5426</v>
      </c>
      <c r="DW158" s="812">
        <v>5137</v>
      </c>
      <c r="DX158" s="812">
        <v>5128</v>
      </c>
      <c r="DY158" s="812">
        <v>5294</v>
      </c>
      <c r="DZ158" s="812">
        <v>5013</v>
      </c>
      <c r="EA158" s="812">
        <v>5302</v>
      </c>
      <c r="EB158" s="812">
        <v>5698</v>
      </c>
      <c r="EC158" s="812">
        <v>5815</v>
      </c>
      <c r="ED158" s="812">
        <v>5939</v>
      </c>
      <c r="EE158" s="812">
        <v>6272</v>
      </c>
      <c r="EF158" s="812">
        <v>6263</v>
      </c>
      <c r="EG158" s="812">
        <v>6313</v>
      </c>
      <c r="EH158" s="812">
        <v>6318</v>
      </c>
      <c r="EI158" s="812">
        <v>6535</v>
      </c>
      <c r="EJ158" s="812">
        <v>6131</v>
      </c>
      <c r="EK158" s="812">
        <v>6244</v>
      </c>
      <c r="EL158" s="812">
        <v>6165</v>
      </c>
      <c r="EM158" s="812">
        <v>5942</v>
      </c>
      <c r="EN158" s="812">
        <v>6211</v>
      </c>
      <c r="EO158" s="812">
        <v>6218</v>
      </c>
      <c r="EP158" s="812">
        <v>6104</v>
      </c>
      <c r="EQ158" s="812">
        <v>5799</v>
      </c>
      <c r="ER158" s="812">
        <v>5574</v>
      </c>
      <c r="ES158" s="812">
        <v>5586</v>
      </c>
      <c r="ET158" s="812">
        <v>5770</v>
      </c>
      <c r="EU158" s="812">
        <v>5831</v>
      </c>
      <c r="EV158" s="812">
        <v>6251</v>
      </c>
      <c r="EW158" s="812">
        <v>6563</v>
      </c>
      <c r="EX158" s="812">
        <v>6923</v>
      </c>
      <c r="EY158" s="812">
        <v>6736</v>
      </c>
      <c r="EZ158" s="812">
        <v>6661</v>
      </c>
      <c r="FA158" s="812">
        <v>6860</v>
      </c>
      <c r="FB158" s="812">
        <v>6795</v>
      </c>
      <c r="FC158" s="812">
        <v>7093</v>
      </c>
      <c r="FD158" s="812">
        <v>7056</v>
      </c>
      <c r="FE158" s="812">
        <v>6890</v>
      </c>
      <c r="FF158" s="812">
        <v>6926</v>
      </c>
      <c r="FG158" s="812">
        <v>6551</v>
      </c>
      <c r="FH158" s="812">
        <v>6513</v>
      </c>
      <c r="FI158" s="812">
        <v>6413</v>
      </c>
      <c r="FJ158" s="812">
        <v>5897</v>
      </c>
      <c r="FK158" s="812">
        <v>5838</v>
      </c>
      <c r="FL158" s="812">
        <v>5643</v>
      </c>
      <c r="FM158" s="812">
        <v>5384</v>
      </c>
      <c r="FN158" s="812">
        <v>5189</v>
      </c>
      <c r="FO158" s="812">
        <v>5034</v>
      </c>
      <c r="FP158" s="812">
        <v>5088</v>
      </c>
      <c r="FQ158" s="812">
        <v>5112</v>
      </c>
      <c r="FR158" s="812">
        <v>4845</v>
      </c>
      <c r="FS158" s="812">
        <v>4831</v>
      </c>
      <c r="FT158" s="812">
        <v>4917</v>
      </c>
      <c r="FU158" s="812">
        <v>5074</v>
      </c>
      <c r="FV158" s="812">
        <v>5409</v>
      </c>
      <c r="FW158" s="812">
        <v>5546</v>
      </c>
      <c r="FX158" s="812">
        <v>4375</v>
      </c>
      <c r="FY158" s="812">
        <v>4296</v>
      </c>
      <c r="FZ158" s="812">
        <v>4189</v>
      </c>
      <c r="GA158" s="812">
        <v>3718</v>
      </c>
      <c r="GB158" s="812">
        <v>3306</v>
      </c>
      <c r="GC158" s="812">
        <v>2846</v>
      </c>
      <c r="GD158" s="812">
        <v>2931</v>
      </c>
      <c r="GE158" s="812">
        <v>2828</v>
      </c>
      <c r="GF158" s="812">
        <v>2632</v>
      </c>
      <c r="GG158" s="812">
        <v>2327</v>
      </c>
      <c r="GH158" s="812">
        <v>2137</v>
      </c>
      <c r="GI158" s="812">
        <v>1982</v>
      </c>
      <c r="GJ158" s="812">
        <v>1693</v>
      </c>
      <c r="GK158" s="812">
        <v>1476</v>
      </c>
      <c r="GL158" s="60">
        <v>6674</v>
      </c>
    </row>
    <row r="159" spans="1:194" s="1" customFormat="1" x14ac:dyDescent="0.2">
      <c r="A159" s="108" t="s">
        <v>17</v>
      </c>
      <c r="B159" s="549" t="s">
        <v>194</v>
      </c>
      <c r="C159" s="135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1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3">
        <f t="shared" si="50"/>
        <v>395348</v>
      </c>
      <c r="K159" s="105">
        <f t="shared" si="51"/>
        <v>123163</v>
      </c>
      <c r="L159" s="50">
        <f t="shared" si="52"/>
        <v>116851</v>
      </c>
      <c r="M159" s="105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5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">
      <c r="A160" s="108" t="s">
        <v>17</v>
      </c>
      <c r="B160" s="549" t="s">
        <v>195</v>
      </c>
      <c r="C160" s="135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1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3">
        <f t="shared" si="50"/>
        <v>536150</v>
      </c>
      <c r="K160" s="105">
        <f t="shared" si="51"/>
        <v>171555</v>
      </c>
      <c r="L160" s="50">
        <f t="shared" si="52"/>
        <v>164204</v>
      </c>
      <c r="M160" s="105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5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">
      <c r="A161" s="108" t="s">
        <v>17</v>
      </c>
      <c r="B161" s="549" t="s">
        <v>196</v>
      </c>
      <c r="C161" s="135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1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3">
        <f t="shared" si="50"/>
        <v>481312</v>
      </c>
      <c r="K161" s="105">
        <f t="shared" si="51"/>
        <v>147819</v>
      </c>
      <c r="L161" s="50">
        <f t="shared" si="52"/>
        <v>139910</v>
      </c>
      <c r="M161" s="105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5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">
      <c r="A162" s="108" t="s">
        <v>17</v>
      </c>
      <c r="B162" s="549" t="s">
        <v>197</v>
      </c>
      <c r="C162" s="135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1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3">
        <f t="shared" si="50"/>
        <v>407039</v>
      </c>
      <c r="K162" s="105">
        <f t="shared" si="51"/>
        <v>99995</v>
      </c>
      <c r="L162" s="50">
        <f t="shared" si="52"/>
        <v>95118</v>
      </c>
      <c r="M162" s="105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5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">
      <c r="A163" s="108" t="s">
        <v>17</v>
      </c>
      <c r="B163" s="549" t="s">
        <v>198</v>
      </c>
      <c r="C163" s="135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1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3">
        <f t="shared" si="50"/>
        <v>726442</v>
      </c>
      <c r="K163" s="105">
        <f t="shared" si="51"/>
        <v>198146</v>
      </c>
      <c r="L163" s="50">
        <f t="shared" si="52"/>
        <v>187898</v>
      </c>
      <c r="M163" s="105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5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">
      <c r="A164" s="108" t="s">
        <v>17</v>
      </c>
      <c r="B164" s="549" t="s">
        <v>199</v>
      </c>
      <c r="C164" s="135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1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3">
        <f t="shared" ref="J164:J188" si="59">SUM(DR164:GL164)</f>
        <v>374124</v>
      </c>
      <c r="K164" s="105">
        <f t="shared" ref="K164:K188" si="60">SUM(M164:AD164)</f>
        <v>100356</v>
      </c>
      <c r="L164" s="50">
        <f t="shared" ref="L164:L188" si="61">SUM(CZ164:DQ164)</f>
        <v>95295</v>
      </c>
      <c r="M164" s="105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5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">
      <c r="A165" s="108" t="s">
        <v>17</v>
      </c>
      <c r="B165" s="549" t="s">
        <v>200</v>
      </c>
      <c r="C165" s="135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1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3">
        <f t="shared" si="59"/>
        <v>1059001</v>
      </c>
      <c r="K165" s="105">
        <f t="shared" si="60"/>
        <v>260431</v>
      </c>
      <c r="L165" s="50">
        <f t="shared" si="61"/>
        <v>246562</v>
      </c>
      <c r="M165" s="105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5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">
      <c r="A166" s="108" t="s">
        <v>17</v>
      </c>
      <c r="B166" s="549" t="s">
        <v>201</v>
      </c>
      <c r="C166" s="135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1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3">
        <f t="shared" si="59"/>
        <v>245842</v>
      </c>
      <c r="K166" s="105">
        <f t="shared" si="60"/>
        <v>54268</v>
      </c>
      <c r="L166" s="50">
        <f t="shared" si="61"/>
        <v>51491</v>
      </c>
      <c r="M166" s="105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5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">
      <c r="A167" s="108" t="s">
        <v>17</v>
      </c>
      <c r="B167" s="549" t="s">
        <v>202</v>
      </c>
      <c r="C167" s="135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1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3">
        <f t="shared" si="59"/>
        <v>386977</v>
      </c>
      <c r="K167" s="105">
        <f t="shared" si="60"/>
        <v>102916</v>
      </c>
      <c r="L167" s="50">
        <f t="shared" si="61"/>
        <v>98534</v>
      </c>
      <c r="M167" s="105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5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">
      <c r="A168" s="108" t="s">
        <v>17</v>
      </c>
      <c r="B168" s="549" t="s">
        <v>203</v>
      </c>
      <c r="C168" s="135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1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3">
        <f t="shared" si="59"/>
        <v>437823</v>
      </c>
      <c r="K168" s="105">
        <f t="shared" si="60"/>
        <v>108322</v>
      </c>
      <c r="L168" s="50">
        <f t="shared" si="61"/>
        <v>104205</v>
      </c>
      <c r="M168" s="105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5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">
      <c r="A169" s="108" t="s">
        <v>17</v>
      </c>
      <c r="B169" s="549" t="s">
        <v>204</v>
      </c>
      <c r="C169" s="135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1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3">
        <f t="shared" si="59"/>
        <v>522875</v>
      </c>
      <c r="K169" s="105">
        <f t="shared" si="60"/>
        <v>114913</v>
      </c>
      <c r="L169" s="50">
        <f t="shared" si="61"/>
        <v>108823</v>
      </c>
      <c r="M169" s="105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5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">
      <c r="A170" s="108" t="s">
        <v>17</v>
      </c>
      <c r="B170" s="549" t="s">
        <v>205</v>
      </c>
      <c r="C170" s="135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1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3">
        <f t="shared" si="59"/>
        <v>334681</v>
      </c>
      <c r="K170" s="105">
        <f t="shared" si="60"/>
        <v>71711</v>
      </c>
      <c r="L170" s="50">
        <f t="shared" si="61"/>
        <v>68247</v>
      </c>
      <c r="M170" s="105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5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">
      <c r="A171" s="108" t="s">
        <v>17</v>
      </c>
      <c r="B171" s="549" t="s">
        <v>206</v>
      </c>
      <c r="C171" s="135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1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3">
        <f t="shared" si="59"/>
        <v>305607</v>
      </c>
      <c r="K171" s="105">
        <f t="shared" si="60"/>
        <v>90835</v>
      </c>
      <c r="L171" s="50">
        <f t="shared" si="61"/>
        <v>85583</v>
      </c>
      <c r="M171" s="105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5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">
      <c r="A172" s="108" t="s">
        <v>17</v>
      </c>
      <c r="B172" s="549" t="s">
        <v>207</v>
      </c>
      <c r="C172" s="135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1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3">
        <f t="shared" si="59"/>
        <v>270225</v>
      </c>
      <c r="K172" s="105">
        <f t="shared" si="60"/>
        <v>65468</v>
      </c>
      <c r="L172" s="50">
        <f t="shared" si="61"/>
        <v>63286</v>
      </c>
      <c r="M172" s="105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5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">
      <c r="A173" s="108" t="s">
        <v>17</v>
      </c>
      <c r="B173" s="549" t="s">
        <v>208</v>
      </c>
      <c r="C173" s="135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1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3">
        <f t="shared" si="59"/>
        <v>1151812</v>
      </c>
      <c r="K173" s="105">
        <f t="shared" si="60"/>
        <v>339740</v>
      </c>
      <c r="L173" s="50">
        <f t="shared" si="61"/>
        <v>323202</v>
      </c>
      <c r="M173" s="105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5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">
      <c r="A174" s="108" t="s">
        <v>17</v>
      </c>
      <c r="B174" s="549" t="s">
        <v>209</v>
      </c>
      <c r="C174" s="135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1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3">
        <f t="shared" si="59"/>
        <v>762541</v>
      </c>
      <c r="K174" s="105">
        <f t="shared" si="60"/>
        <v>185217</v>
      </c>
      <c r="L174" s="50">
        <f t="shared" si="61"/>
        <v>176190</v>
      </c>
      <c r="M174" s="105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5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">
      <c r="A175" s="108" t="s">
        <v>17</v>
      </c>
      <c r="B175" s="549" t="s">
        <v>210</v>
      </c>
      <c r="C175" s="135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1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3">
        <f t="shared" si="59"/>
        <v>333199</v>
      </c>
      <c r="K175" s="105">
        <f t="shared" si="60"/>
        <v>78736</v>
      </c>
      <c r="L175" s="50">
        <f t="shared" si="61"/>
        <v>74229</v>
      </c>
      <c r="M175" s="105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5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">
      <c r="A176" s="108" t="s">
        <v>17</v>
      </c>
      <c r="B176" s="549" t="s">
        <v>211</v>
      </c>
      <c r="C176" s="135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1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3">
        <f t="shared" si="59"/>
        <v>606349</v>
      </c>
      <c r="K176" s="105">
        <f t="shared" si="60"/>
        <v>172939</v>
      </c>
      <c r="L176" s="50">
        <f t="shared" si="61"/>
        <v>164868</v>
      </c>
      <c r="M176" s="105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5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">
      <c r="A177" s="108" t="s">
        <v>17</v>
      </c>
      <c r="B177" s="549" t="s">
        <v>212</v>
      </c>
      <c r="C177" s="135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1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3">
        <f t="shared" si="59"/>
        <v>712297</v>
      </c>
      <c r="K177" s="105">
        <f t="shared" si="60"/>
        <v>168710</v>
      </c>
      <c r="L177" s="50">
        <f t="shared" si="61"/>
        <v>159739</v>
      </c>
      <c r="M177" s="105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5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">
      <c r="A178" s="108" t="s">
        <v>17</v>
      </c>
      <c r="B178" s="549" t="s">
        <v>213</v>
      </c>
      <c r="C178" s="135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1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3">
        <f t="shared" si="59"/>
        <v>762802</v>
      </c>
      <c r="K178" s="105">
        <f t="shared" si="60"/>
        <v>209246</v>
      </c>
      <c r="L178" s="50">
        <f t="shared" si="61"/>
        <v>198454</v>
      </c>
      <c r="M178" s="105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5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">
      <c r="A179" s="108" t="s">
        <v>17</v>
      </c>
      <c r="B179" s="549" t="s">
        <v>214</v>
      </c>
      <c r="C179" s="135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1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3">
        <f t="shared" si="59"/>
        <v>708629</v>
      </c>
      <c r="K179" s="105">
        <f t="shared" si="60"/>
        <v>181090</v>
      </c>
      <c r="L179" s="50">
        <f t="shared" si="61"/>
        <v>172950</v>
      </c>
      <c r="M179" s="105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5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">
      <c r="A180" s="108" t="s">
        <v>17</v>
      </c>
      <c r="B180" s="549" t="s">
        <v>215</v>
      </c>
      <c r="C180" s="135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1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3">
        <f t="shared" si="59"/>
        <v>457187</v>
      </c>
      <c r="K180" s="105">
        <f t="shared" si="60"/>
        <v>123171</v>
      </c>
      <c r="L180" s="50">
        <f t="shared" si="61"/>
        <v>115537</v>
      </c>
      <c r="M180" s="105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5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">
      <c r="A181" s="108" t="s">
        <v>17</v>
      </c>
      <c r="B181" s="549" t="s">
        <v>216</v>
      </c>
      <c r="C181" s="135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1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3">
        <f t="shared" si="59"/>
        <v>324135</v>
      </c>
      <c r="K181" s="105">
        <f t="shared" si="60"/>
        <v>74660</v>
      </c>
      <c r="L181" s="50">
        <f t="shared" si="61"/>
        <v>71352</v>
      </c>
      <c r="M181" s="105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5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">
      <c r="A182" s="108" t="s">
        <v>17</v>
      </c>
      <c r="B182" s="549" t="s">
        <v>217</v>
      </c>
      <c r="C182" s="135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1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3">
        <f t="shared" si="59"/>
        <v>491909</v>
      </c>
      <c r="K182" s="105">
        <f t="shared" si="60"/>
        <v>134343</v>
      </c>
      <c r="L182" s="50">
        <f t="shared" si="61"/>
        <v>127659</v>
      </c>
      <c r="M182" s="105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5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">
      <c r="A183" s="108" t="s">
        <v>17</v>
      </c>
      <c r="B183" s="549" t="s">
        <v>218</v>
      </c>
      <c r="C183" s="135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1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3">
        <f t="shared" si="59"/>
        <v>438783</v>
      </c>
      <c r="K183" s="105">
        <f t="shared" si="60"/>
        <v>97520</v>
      </c>
      <c r="L183" s="50">
        <f t="shared" si="61"/>
        <v>92577</v>
      </c>
      <c r="M183" s="105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5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">
      <c r="A184" s="108" t="s">
        <v>17</v>
      </c>
      <c r="B184" s="549" t="s">
        <v>219</v>
      </c>
      <c r="C184" s="135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1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3">
        <f t="shared" si="59"/>
        <v>593171</v>
      </c>
      <c r="K184" s="105">
        <f t="shared" si="60"/>
        <v>152005</v>
      </c>
      <c r="L184" s="50">
        <f t="shared" si="61"/>
        <v>146000</v>
      </c>
      <c r="M184" s="105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5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">
      <c r="A185" s="108" t="s">
        <v>17</v>
      </c>
      <c r="B185" s="549" t="s">
        <v>220</v>
      </c>
      <c r="C185" s="135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1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3">
        <f t="shared" si="59"/>
        <v>1245100</v>
      </c>
      <c r="K185" s="105">
        <f t="shared" si="60"/>
        <v>302986</v>
      </c>
      <c r="L185" s="50">
        <f t="shared" si="61"/>
        <v>287512</v>
      </c>
      <c r="M185" s="105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5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">
      <c r="A186" s="108" t="s">
        <v>17</v>
      </c>
      <c r="B186" s="549" t="s">
        <v>221</v>
      </c>
      <c r="C186" s="135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1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3">
        <f t="shared" si="59"/>
        <v>800228</v>
      </c>
      <c r="K186" s="105">
        <f t="shared" si="60"/>
        <v>237875</v>
      </c>
      <c r="L186" s="50">
        <f t="shared" si="61"/>
        <v>229218</v>
      </c>
      <c r="M186" s="105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5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">
      <c r="A187" s="108" t="s">
        <v>17</v>
      </c>
      <c r="B187" s="549" t="s">
        <v>222</v>
      </c>
      <c r="C187" s="135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1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3">
        <f>SUM(DR187:GL187)</f>
        <v>867923</v>
      </c>
      <c r="K187" s="105">
        <f>SUM(M187:AD187)</f>
        <v>223719</v>
      </c>
      <c r="L187" s="50">
        <f>SUM(CZ187:DQ187)</f>
        <v>212928</v>
      </c>
      <c r="M187" s="105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5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">
      <c r="A188" s="108" t="s">
        <v>17</v>
      </c>
      <c r="B188" s="549" t="s">
        <v>223</v>
      </c>
      <c r="C188" s="135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1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3">
        <f t="shared" si="59"/>
        <v>316259</v>
      </c>
      <c r="K188" s="105">
        <f t="shared" si="60"/>
        <v>88599</v>
      </c>
      <c r="L188" s="50">
        <f t="shared" si="61"/>
        <v>85015</v>
      </c>
      <c r="M188" s="105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5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">
      <c r="A189" s="108" t="s">
        <v>17</v>
      </c>
      <c r="B189" s="549" t="s">
        <v>224</v>
      </c>
      <c r="C189" s="135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1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3">
        <f>SUM(DR189:GL189)</f>
        <v>478147</v>
      </c>
      <c r="K189" s="105">
        <f>SUM(M189:AD189)</f>
        <v>119490</v>
      </c>
      <c r="L189" s="50">
        <f>SUM(CZ189:DQ189)</f>
        <v>113731</v>
      </c>
      <c r="M189" s="105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5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">
      <c r="A190" s="108" t="s">
        <v>17</v>
      </c>
      <c r="B190" s="549" t="s">
        <v>225</v>
      </c>
      <c r="C190" s="135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1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3">
        <f>SUM(DR190:GL190)</f>
        <v>212592</v>
      </c>
      <c r="K190" s="105">
        <f>SUM(M190:AD190)</f>
        <v>51864</v>
      </c>
      <c r="L190" s="50">
        <f>SUM(CZ190:DQ190)</f>
        <v>49260</v>
      </c>
      <c r="M190" s="105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5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">
      <c r="A191" s="108" t="s">
        <v>17</v>
      </c>
      <c r="B191" s="549" t="s">
        <v>226</v>
      </c>
      <c r="C191" s="135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1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3">
        <f>SUM(DR191:GL191)</f>
        <v>240687</v>
      </c>
      <c r="K191" s="105">
        <f>SUM(M191:AD191)</f>
        <v>56523</v>
      </c>
      <c r="L191" s="50">
        <f>SUM(CZ191:DQ191)</f>
        <v>53989</v>
      </c>
      <c r="M191" s="105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5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">
      <c r="A192" s="108" t="s">
        <v>17</v>
      </c>
      <c r="B192" s="549" t="s">
        <v>227</v>
      </c>
      <c r="C192" s="135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1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3">
        <f>SUM(DR192:GL192)</f>
        <v>749378</v>
      </c>
      <c r="K192" s="105">
        <f>SUM(M192:AD192)</f>
        <v>188145</v>
      </c>
      <c r="L192" s="50">
        <f>SUM(CZ192:DQ192)</f>
        <v>180944</v>
      </c>
      <c r="M192" s="105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5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">
      <c r="A193" s="108" t="s">
        <v>17</v>
      </c>
      <c r="B193" s="549" t="s">
        <v>228</v>
      </c>
      <c r="C193" s="135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1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3">
        <f>SUM(DR193:GL193)</f>
        <v>624396</v>
      </c>
      <c r="K193" s="105">
        <f>SUM(M193:AD193)</f>
        <v>166650</v>
      </c>
      <c r="L193" s="50">
        <f>SUM(CZ193:DQ193)</f>
        <v>159378</v>
      </c>
      <c r="M193" s="105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5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">
      <c r="A194" s="108" t="s">
        <v>17</v>
      </c>
      <c r="B194" s="549" t="s">
        <v>229</v>
      </c>
      <c r="C194" s="135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1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3">
        <f t="shared" ref="J194:J199" si="69">SUM(DR194:GL194)</f>
        <v>564398</v>
      </c>
      <c r="K194" s="105">
        <f t="shared" ref="K194:K199" si="70">SUM(M194:AD194)</f>
        <v>146773</v>
      </c>
      <c r="L194" s="50">
        <f t="shared" ref="L194:L199" si="71">SUM(CZ194:DQ194)</f>
        <v>139975</v>
      </c>
      <c r="M194" s="105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5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">
      <c r="A195" s="108" t="s">
        <v>17</v>
      </c>
      <c r="B195" s="549" t="s">
        <v>230</v>
      </c>
      <c r="C195" s="135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1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3">
        <f t="shared" si="69"/>
        <v>466226</v>
      </c>
      <c r="K195" s="105">
        <f t="shared" si="70"/>
        <v>117384</v>
      </c>
      <c r="L195" s="50">
        <f t="shared" si="71"/>
        <v>112574</v>
      </c>
      <c r="M195" s="105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5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">
      <c r="A196" s="108" t="s">
        <v>17</v>
      </c>
      <c r="B196" s="549" t="s">
        <v>231</v>
      </c>
      <c r="C196" s="135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1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3">
        <f t="shared" si="69"/>
        <v>412336</v>
      </c>
      <c r="K196" s="105">
        <f t="shared" si="70"/>
        <v>100012</v>
      </c>
      <c r="L196" s="50">
        <f t="shared" si="71"/>
        <v>95169</v>
      </c>
      <c r="M196" s="105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5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">
      <c r="A197" s="108" t="s">
        <v>17</v>
      </c>
      <c r="B197" s="549" t="s">
        <v>232</v>
      </c>
      <c r="C197" s="135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1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3">
        <f t="shared" si="69"/>
        <v>429149</v>
      </c>
      <c r="K197" s="105">
        <f t="shared" si="70"/>
        <v>117646</v>
      </c>
      <c r="L197" s="50">
        <f t="shared" si="71"/>
        <v>112791</v>
      </c>
      <c r="M197" s="105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5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">
      <c r="A198" s="108" t="s">
        <v>17</v>
      </c>
      <c r="B198" s="549" t="s">
        <v>233</v>
      </c>
      <c r="C198" s="135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1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3">
        <f t="shared" si="69"/>
        <v>728176</v>
      </c>
      <c r="K198" s="105">
        <f t="shared" si="70"/>
        <v>167654</v>
      </c>
      <c r="L198" s="50">
        <f t="shared" si="71"/>
        <v>159132</v>
      </c>
      <c r="M198" s="105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5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">
      <c r="A199" s="108" t="s">
        <v>17</v>
      </c>
      <c r="B199" s="549" t="s">
        <v>234</v>
      </c>
      <c r="C199" s="135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1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3">
        <f t="shared" si="69"/>
        <v>974243</v>
      </c>
      <c r="K199" s="105">
        <f t="shared" si="70"/>
        <v>276503</v>
      </c>
      <c r="L199" s="50">
        <f t="shared" si="71"/>
        <v>264360</v>
      </c>
      <c r="M199" s="105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5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ht="15" x14ac:dyDescent="0.25">
      <c r="A200" s="111"/>
      <c r="B200" s="550"/>
      <c r="C200" s="118"/>
      <c r="D200" s="133">
        <f t="shared" ref="D200:L200" si="72">SUM(D158:D199)</f>
        <v>21895402</v>
      </c>
      <c r="E200" s="133">
        <f t="shared" si="72"/>
        <v>23324090</v>
      </c>
      <c r="F200" s="133">
        <f t="shared" si="72"/>
        <v>57106398</v>
      </c>
      <c r="G200" s="133">
        <f t="shared" si="72"/>
        <v>27983290</v>
      </c>
      <c r="H200" s="133">
        <f t="shared" si="72"/>
        <v>29123108</v>
      </c>
      <c r="I200" s="133">
        <f t="shared" si="72"/>
        <v>21895402</v>
      </c>
      <c r="J200" s="133">
        <f t="shared" si="72"/>
        <v>23324090</v>
      </c>
      <c r="K200" s="133">
        <f t="shared" si="72"/>
        <v>6087888</v>
      </c>
      <c r="L200" s="133">
        <f t="shared" si="72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">
      <c r="A201" s="30" t="s">
        <v>46</v>
      </c>
      <c r="B201" s="1" t="s">
        <v>235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811">
        <f t="shared" ref="F201:F265" si="75">G201+H201</f>
        <v>64688</v>
      </c>
      <c r="G201" s="811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">
      <c r="A202" s="30" t="s">
        <v>46</v>
      </c>
      <c r="B202" s="1" t="s">
        <v>236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">
      <c r="A203" s="30" t="s">
        <v>46</v>
      </c>
      <c r="B203" s="1" t="s">
        <v>237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">
      <c r="A204" s="30" t="s">
        <v>46</v>
      </c>
      <c r="B204" s="1" t="s">
        <v>238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">
      <c r="A205" s="30" t="s">
        <v>46</v>
      </c>
      <c r="B205" s="1" t="s">
        <v>239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">
      <c r="A206" s="30" t="s">
        <v>46</v>
      </c>
      <c r="B206" s="1" t="s">
        <v>240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">
      <c r="A207" s="30" t="s">
        <v>46</v>
      </c>
      <c r="B207" s="1" t="s">
        <v>241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">
      <c r="A208" s="30" t="s">
        <v>46</v>
      </c>
      <c r="B208" s="1" t="s">
        <v>242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">
      <c r="A209" s="30" t="s">
        <v>46</v>
      </c>
      <c r="B209" s="1" t="s">
        <v>243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">
      <c r="A210" s="30" t="s">
        <v>46</v>
      </c>
      <c r="B210" s="1" t="s">
        <v>244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">
      <c r="A211" s="30" t="s">
        <v>46</v>
      </c>
      <c r="B211" s="1" t="s">
        <v>245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">
      <c r="A212" s="30" t="s">
        <v>46</v>
      </c>
      <c r="B212" s="1" t="s">
        <v>246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">
      <c r="A213" s="30" t="s">
        <v>46</v>
      </c>
      <c r="B213" s="1" t="s">
        <v>247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">
      <c r="A214" s="30" t="s">
        <v>46</v>
      </c>
      <c r="B214" s="1" t="s">
        <v>248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">
      <c r="A215" s="30" t="s">
        <v>46</v>
      </c>
      <c r="B215" s="1" t="s">
        <v>249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">
      <c r="A216" s="30" t="s">
        <v>46</v>
      </c>
      <c r="B216" s="1" t="s">
        <v>250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">
      <c r="A217" s="30" t="s">
        <v>46</v>
      </c>
      <c r="B217" s="1" t="s">
        <v>251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">
      <c r="A218" s="30" t="s">
        <v>46</v>
      </c>
      <c r="B218" s="1" t="s">
        <v>252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">
      <c r="A219" s="30" t="s">
        <v>46</v>
      </c>
      <c r="B219" s="1" t="s">
        <v>253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">
      <c r="A220" s="30" t="s">
        <v>46</v>
      </c>
      <c r="B220" s="1" t="s">
        <v>254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">
      <c r="A221" s="30" t="s">
        <v>46</v>
      </c>
      <c r="B221" s="1" t="s">
        <v>255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">
      <c r="A222" s="30" t="s">
        <v>46</v>
      </c>
      <c r="B222" s="1" t="s">
        <v>256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">
      <c r="A223" s="30" t="s">
        <v>46</v>
      </c>
      <c r="B223" s="1" t="s">
        <v>257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">
      <c r="A224" s="30" t="s">
        <v>46</v>
      </c>
      <c r="B224" s="1" t="s">
        <v>258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">
      <c r="A225" s="30" t="s">
        <v>46</v>
      </c>
      <c r="B225" s="1" t="s">
        <v>259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">
      <c r="A226" s="30" t="s">
        <v>46</v>
      </c>
      <c r="B226" s="1" t="s">
        <v>260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">
      <c r="A227" s="30" t="s">
        <v>46</v>
      </c>
      <c r="B227" s="1" t="s">
        <v>261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">
      <c r="A228" s="30" t="s">
        <v>46</v>
      </c>
      <c r="B228" s="1" t="s">
        <v>262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">
      <c r="A229" s="30" t="s">
        <v>46</v>
      </c>
      <c r="B229" s="1" t="s">
        <v>263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">
      <c r="A230" s="30" t="s">
        <v>46</v>
      </c>
      <c r="B230" s="1" t="s">
        <v>264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">
      <c r="A231" s="30" t="s">
        <v>46</v>
      </c>
      <c r="B231" s="1" t="s">
        <v>265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">
      <c r="A232" s="30" t="s">
        <v>46</v>
      </c>
      <c r="B232" s="1" t="s">
        <v>266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">
      <c r="A233" s="30" t="s">
        <v>46</v>
      </c>
      <c r="B233" s="1" t="s">
        <v>267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">
      <c r="A234" s="30" t="s">
        <v>46</v>
      </c>
      <c r="B234" s="1" t="s">
        <v>268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">
      <c r="A235" s="30" t="s">
        <v>46</v>
      </c>
      <c r="B235" s="1" t="s">
        <v>269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">
      <c r="A236" s="30" t="s">
        <v>46</v>
      </c>
      <c r="B236" s="1" t="s">
        <v>270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">
      <c r="A237" s="30" t="s">
        <v>46</v>
      </c>
      <c r="B237" s="1" t="s">
        <v>271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">
      <c r="A238" s="30" t="s">
        <v>46</v>
      </c>
      <c r="B238" s="1" t="s">
        <v>272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">
      <c r="A239" s="30" t="s">
        <v>46</v>
      </c>
      <c r="B239" s="1" t="s">
        <v>273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">
      <c r="A240" s="30" t="s">
        <v>46</v>
      </c>
      <c r="B240" s="1" t="s">
        <v>274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">
      <c r="A241" s="30" t="s">
        <v>46</v>
      </c>
      <c r="B241" s="1" t="s">
        <v>275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">
      <c r="A242" s="30" t="s">
        <v>46</v>
      </c>
      <c r="B242" s="1" t="s">
        <v>276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">
      <c r="A243" s="30" t="s">
        <v>46</v>
      </c>
      <c r="B243" s="1" t="s">
        <v>277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">
      <c r="A244" s="30" t="s">
        <v>46</v>
      </c>
      <c r="B244" s="1" t="s">
        <v>278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">
      <c r="A245" s="30" t="s">
        <v>46</v>
      </c>
      <c r="B245" s="1" t="s">
        <v>279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">
      <c r="A246" s="30" t="s">
        <v>46</v>
      </c>
      <c r="B246" s="1" t="s">
        <v>280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">
      <c r="A247" s="30" t="s">
        <v>46</v>
      </c>
      <c r="B247" s="1" t="s">
        <v>281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">
      <c r="A248" s="30" t="s">
        <v>46</v>
      </c>
      <c r="B248" s="1" t="s">
        <v>282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">
      <c r="A249" s="30" t="s">
        <v>46</v>
      </c>
      <c r="B249" s="1" t="s">
        <v>283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">
      <c r="A250" s="30" t="s">
        <v>46</v>
      </c>
      <c r="B250" s="1" t="s">
        <v>284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">
      <c r="A251" s="30" t="s">
        <v>46</v>
      </c>
      <c r="B251" s="1" t="s">
        <v>285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">
      <c r="A252" s="30" t="s">
        <v>46</v>
      </c>
      <c r="B252" s="1" t="s">
        <v>286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">
      <c r="A253" s="30" t="s">
        <v>46</v>
      </c>
      <c r="B253" s="1" t="s">
        <v>287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">
      <c r="A254" s="30" t="s">
        <v>46</v>
      </c>
      <c r="B254" s="1" t="s">
        <v>288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">
      <c r="A255" s="30" t="s">
        <v>46</v>
      </c>
      <c r="B255" s="1" t="s">
        <v>289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">
      <c r="A256" s="30" t="s">
        <v>46</v>
      </c>
      <c r="B256" s="1" t="s">
        <v>290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">
      <c r="A257" s="30" t="s">
        <v>46</v>
      </c>
      <c r="B257" s="1" t="s">
        <v>291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">
      <c r="A258" s="30" t="s">
        <v>46</v>
      </c>
      <c r="B258" s="1" t="s">
        <v>292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">
      <c r="A259" s="30" t="s">
        <v>46</v>
      </c>
      <c r="B259" s="1" t="s">
        <v>293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">
      <c r="A260" s="30" t="s">
        <v>46</v>
      </c>
      <c r="B260" s="1" t="s">
        <v>294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">
      <c r="A261" s="30" t="s">
        <v>46</v>
      </c>
      <c r="B261" s="1" t="s">
        <v>295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">
      <c r="A262" s="30" t="s">
        <v>46</v>
      </c>
      <c r="B262" s="1" t="s">
        <v>296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">
      <c r="A263" s="30" t="s">
        <v>46</v>
      </c>
      <c r="B263" s="1" t="s">
        <v>297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">
      <c r="A264" s="30" t="s">
        <v>46</v>
      </c>
      <c r="B264" s="1" t="s">
        <v>298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">
      <c r="A265" s="30" t="s">
        <v>46</v>
      </c>
      <c r="B265" s="1" t="s">
        <v>299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">
      <c r="A266" s="30" t="s">
        <v>46</v>
      </c>
      <c r="B266" s="1" t="s">
        <v>300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">
      <c r="A267" s="30" t="s">
        <v>46</v>
      </c>
      <c r="B267" s="1" t="s">
        <v>301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">
      <c r="A268" s="30" t="s">
        <v>46</v>
      </c>
      <c r="B268" s="1" t="s">
        <v>302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">
      <c r="A269" s="30" t="s">
        <v>46</v>
      </c>
      <c r="B269" s="1" t="s">
        <v>303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">
      <c r="A270" s="30" t="s">
        <v>46</v>
      </c>
      <c r="B270" s="1" t="s">
        <v>304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">
      <c r="A271" s="30" t="s">
        <v>46</v>
      </c>
      <c r="B271" s="1" t="s">
        <v>305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">
      <c r="A272" s="30" t="s">
        <v>46</v>
      </c>
      <c r="B272" s="1" t="s">
        <v>306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">
      <c r="A273" s="30" t="s">
        <v>46</v>
      </c>
      <c r="B273" s="1" t="s">
        <v>307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">
      <c r="A274" s="30" t="s">
        <v>46</v>
      </c>
      <c r="B274" s="1" t="s">
        <v>308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">
      <c r="A275" s="30" t="s">
        <v>46</v>
      </c>
      <c r="B275" s="1" t="s">
        <v>309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">
      <c r="A276" s="30" t="s">
        <v>46</v>
      </c>
      <c r="B276" s="1" t="s">
        <v>310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">
      <c r="A277" s="30" t="s">
        <v>46</v>
      </c>
      <c r="B277" s="1" t="s">
        <v>311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">
      <c r="A278" s="30" t="s">
        <v>46</v>
      </c>
      <c r="B278" s="1" t="s">
        <v>312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">
      <c r="A279" s="30" t="s">
        <v>46</v>
      </c>
      <c r="B279" s="1" t="s">
        <v>313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">
      <c r="A280" s="30" t="s">
        <v>46</v>
      </c>
      <c r="B280" s="1" t="s">
        <v>314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">
      <c r="A281" s="30" t="s">
        <v>46</v>
      </c>
      <c r="B281" s="1" t="s">
        <v>315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">
      <c r="A282" s="30" t="s">
        <v>46</v>
      </c>
      <c r="B282" s="1" t="s">
        <v>316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">
      <c r="A283" s="30" t="s">
        <v>46</v>
      </c>
      <c r="B283" s="1" t="s">
        <v>317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">
      <c r="A284" s="30" t="s">
        <v>46</v>
      </c>
      <c r="B284" s="1" t="s">
        <v>318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">
      <c r="A285" s="30" t="s">
        <v>46</v>
      </c>
      <c r="B285" s="1" t="s">
        <v>319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">
      <c r="A286" s="30" t="s">
        <v>46</v>
      </c>
      <c r="B286" s="1" t="s">
        <v>320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">
      <c r="A287" s="30" t="s">
        <v>46</v>
      </c>
      <c r="B287" s="1" t="s">
        <v>321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">
      <c r="A288" s="30" t="s">
        <v>46</v>
      </c>
      <c r="B288" s="1" t="s">
        <v>322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">
      <c r="A289" s="30" t="s">
        <v>46</v>
      </c>
      <c r="B289" s="1" t="s">
        <v>323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">
      <c r="A290" s="30" t="s">
        <v>46</v>
      </c>
      <c r="B290" s="1" t="s">
        <v>324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">
      <c r="A291" s="30" t="s">
        <v>46</v>
      </c>
      <c r="B291" s="1" t="s">
        <v>325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">
      <c r="A292" s="30" t="s">
        <v>46</v>
      </c>
      <c r="B292" s="1" t="s">
        <v>326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">
      <c r="A293" s="30" t="s">
        <v>46</v>
      </c>
      <c r="B293" s="1" t="s">
        <v>327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">
      <c r="A294" s="30" t="s">
        <v>46</v>
      </c>
      <c r="B294" s="1" t="s">
        <v>328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">
      <c r="A295" s="30" t="s">
        <v>46</v>
      </c>
      <c r="B295" s="1" t="s">
        <v>329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">
      <c r="A296" s="30" t="s">
        <v>46</v>
      </c>
      <c r="B296" s="1" t="s">
        <v>330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">
      <c r="A297" s="30" t="s">
        <v>46</v>
      </c>
      <c r="B297" s="1" t="s">
        <v>331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">
      <c r="A298" s="30" t="s">
        <v>46</v>
      </c>
      <c r="B298" s="1" t="s">
        <v>332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">
      <c r="A299" s="30" t="s">
        <v>46</v>
      </c>
      <c r="B299" s="1" t="s">
        <v>333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">
      <c r="A300" s="30" t="s">
        <v>46</v>
      </c>
      <c r="B300" s="1" t="s">
        <v>334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">
      <c r="A301" s="30" t="s">
        <v>46</v>
      </c>
      <c r="B301" s="1" t="s">
        <v>335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">
      <c r="A302" s="30" t="s">
        <v>46</v>
      </c>
      <c r="B302" s="1" t="s">
        <v>336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">
      <c r="A303" s="30" t="s">
        <v>46</v>
      </c>
      <c r="B303" s="1" t="s">
        <v>337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">
      <c r="A304" s="30" t="s">
        <v>46</v>
      </c>
      <c r="B304" s="1" t="s">
        <v>338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">
      <c r="A305" s="30" t="s">
        <v>46</v>
      </c>
      <c r="B305" s="1" t="s">
        <v>339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">
      <c r="A306" s="30" t="s">
        <v>46</v>
      </c>
      <c r="B306" s="1" t="s">
        <v>340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">
      <c r="A307" s="30" t="s">
        <v>46</v>
      </c>
      <c r="B307" s="1" t="s">
        <v>341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">
      <c r="A308" s="30" t="s">
        <v>46</v>
      </c>
      <c r="B308" s="1" t="s">
        <v>342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">
      <c r="A309" s="30" t="s">
        <v>46</v>
      </c>
      <c r="B309" s="1" t="s">
        <v>343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">
      <c r="A310" s="30" t="s">
        <v>46</v>
      </c>
      <c r="B310" s="1" t="s">
        <v>344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">
      <c r="A311" s="30" t="s">
        <v>46</v>
      </c>
      <c r="B311" s="1" t="s">
        <v>345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">
      <c r="A312" s="30" t="s">
        <v>46</v>
      </c>
      <c r="B312" s="1" t="s">
        <v>346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">
      <c r="A313" s="30" t="s">
        <v>46</v>
      </c>
      <c r="B313" s="1" t="s">
        <v>347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">
      <c r="A314" s="30" t="s">
        <v>46</v>
      </c>
      <c r="B314" s="1" t="s">
        <v>348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">
      <c r="A315" s="30" t="s">
        <v>46</v>
      </c>
      <c r="B315" s="1" t="s">
        <v>349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">
      <c r="A316" s="30" t="s">
        <v>46</v>
      </c>
      <c r="B316" s="1" t="s">
        <v>350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">
      <c r="A317" s="30" t="s">
        <v>46</v>
      </c>
      <c r="B317" s="1" t="s">
        <v>351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">
      <c r="A318" s="30" t="s">
        <v>46</v>
      </c>
      <c r="B318" s="1" t="s">
        <v>352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">
      <c r="A319" s="30" t="s">
        <v>46</v>
      </c>
      <c r="B319" s="1" t="s">
        <v>353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">
      <c r="A320" s="30" t="s">
        <v>46</v>
      </c>
      <c r="B320" s="1" t="s">
        <v>354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">
      <c r="A321" s="30" t="s">
        <v>46</v>
      </c>
      <c r="B321" s="1" t="s">
        <v>355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">
      <c r="A322" s="30" t="s">
        <v>46</v>
      </c>
      <c r="B322" s="1" t="s">
        <v>356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">
      <c r="A323" s="30" t="s">
        <v>46</v>
      </c>
      <c r="B323" s="1" t="s">
        <v>357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">
      <c r="A324" s="30" t="s">
        <v>46</v>
      </c>
      <c r="B324" s="1" t="s">
        <v>358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">
      <c r="A325" s="30" t="s">
        <v>46</v>
      </c>
      <c r="B325" s="1" t="s">
        <v>359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">
      <c r="A326" s="30" t="s">
        <v>46</v>
      </c>
      <c r="B326" s="1" t="s">
        <v>360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">
      <c r="A327" s="30" t="s">
        <v>46</v>
      </c>
      <c r="B327" s="1" t="s">
        <v>361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">
      <c r="A328" s="30" t="s">
        <v>46</v>
      </c>
      <c r="B328" s="1" t="s">
        <v>362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">
      <c r="A329" s="30" t="s">
        <v>46</v>
      </c>
      <c r="B329" s="1" t="s">
        <v>363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">
      <c r="A330" s="30" t="s">
        <v>46</v>
      </c>
      <c r="B330" s="1" t="s">
        <v>364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">
      <c r="A331" s="30" t="s">
        <v>46</v>
      </c>
      <c r="B331" s="1" t="s">
        <v>365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">
      <c r="A332" s="30" t="s">
        <v>46</v>
      </c>
      <c r="B332" s="1" t="s">
        <v>366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">
      <c r="A333" s="30" t="s">
        <v>46</v>
      </c>
      <c r="B333" s="1" t="s">
        <v>367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">
      <c r="A334" s="30" t="s">
        <v>46</v>
      </c>
      <c r="B334" s="1" t="s">
        <v>368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">
      <c r="A335" s="30" t="s">
        <v>46</v>
      </c>
      <c r="B335" s="1" t="s">
        <v>369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">
      <c r="A336" s="30" t="s">
        <v>46</v>
      </c>
      <c r="B336" s="1" t="s">
        <v>370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">
      <c r="A337" s="30" t="s">
        <v>46</v>
      </c>
      <c r="B337" s="1" t="s">
        <v>371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">
      <c r="A338" s="30" t="s">
        <v>46</v>
      </c>
      <c r="B338" s="1" t="s">
        <v>372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">
      <c r="A339" s="30" t="s">
        <v>46</v>
      </c>
      <c r="B339" s="1" t="s">
        <v>373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">
      <c r="A340" s="30" t="s">
        <v>46</v>
      </c>
      <c r="B340" s="1" t="s">
        <v>374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">
      <c r="A341" s="30" t="s">
        <v>46</v>
      </c>
      <c r="B341" s="1" t="s">
        <v>375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">
      <c r="A342" s="30" t="s">
        <v>46</v>
      </c>
      <c r="B342" s="1" t="s">
        <v>376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">
      <c r="A343" s="30" t="s">
        <v>46</v>
      </c>
      <c r="B343" s="1" t="s">
        <v>377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">
      <c r="A344" s="30" t="s">
        <v>46</v>
      </c>
      <c r="B344" s="1" t="s">
        <v>378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">
      <c r="A345" s="30" t="s">
        <v>46</v>
      </c>
      <c r="B345" s="1" t="s">
        <v>379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">
      <c r="A346" s="30" t="s">
        <v>46</v>
      </c>
      <c r="B346" s="1" t="s">
        <v>380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">
      <c r="A347" s="30" t="s">
        <v>46</v>
      </c>
      <c r="B347" s="1" t="s">
        <v>381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">
      <c r="A348" s="30" t="s">
        <v>46</v>
      </c>
      <c r="B348" s="1" t="s">
        <v>382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">
      <c r="A349" s="30" t="s">
        <v>46</v>
      </c>
      <c r="B349" s="1" t="s">
        <v>383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">
      <c r="A350" s="30" t="s">
        <v>46</v>
      </c>
      <c r="B350" s="1" t="s">
        <v>384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">
      <c r="A351" s="30" t="s">
        <v>46</v>
      </c>
      <c r="B351" s="1" t="s">
        <v>385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">
      <c r="A352" s="30" t="s">
        <v>46</v>
      </c>
      <c r="B352" s="1" t="s">
        <v>386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">
      <c r="A353" s="30" t="s">
        <v>46</v>
      </c>
      <c r="B353" s="1" t="s">
        <v>387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">
      <c r="A354" s="30" t="s">
        <v>46</v>
      </c>
      <c r="B354" s="1" t="s">
        <v>388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">
      <c r="A355" s="30" t="s">
        <v>46</v>
      </c>
      <c r="B355" s="1" t="s">
        <v>389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">
      <c r="A356" s="30" t="s">
        <v>46</v>
      </c>
      <c r="B356" s="1" t="s">
        <v>390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">
      <c r="A357" s="30" t="s">
        <v>46</v>
      </c>
      <c r="B357" s="1" t="s">
        <v>391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">
      <c r="A358" s="30" t="s">
        <v>46</v>
      </c>
      <c r="B358" s="1" t="s">
        <v>392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">
      <c r="A359" s="30" t="s">
        <v>46</v>
      </c>
      <c r="B359" s="1" t="s">
        <v>393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">
      <c r="A360" s="30" t="s">
        <v>46</v>
      </c>
      <c r="B360" s="1" t="s">
        <v>394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">
      <c r="A361" s="30" t="s">
        <v>46</v>
      </c>
      <c r="B361" s="1" t="s">
        <v>395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">
      <c r="A362" s="30" t="s">
        <v>46</v>
      </c>
      <c r="B362" s="1" t="s">
        <v>396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">
      <c r="A363" s="30" t="s">
        <v>46</v>
      </c>
      <c r="B363" s="1" t="s">
        <v>397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">
      <c r="A364" s="30" t="s">
        <v>46</v>
      </c>
      <c r="B364" s="1" t="s">
        <v>398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">
      <c r="A365" s="30" t="s">
        <v>46</v>
      </c>
      <c r="B365" s="1" t="s">
        <v>399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">
      <c r="A366" s="30" t="s">
        <v>46</v>
      </c>
      <c r="B366" s="1" t="s">
        <v>400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">
      <c r="A367" s="30" t="s">
        <v>46</v>
      </c>
      <c r="B367" s="1" t="s">
        <v>401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">
      <c r="A368" s="30" t="s">
        <v>46</v>
      </c>
      <c r="B368" s="1" t="s">
        <v>402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">
      <c r="A369" s="30" t="s">
        <v>46</v>
      </c>
      <c r="B369" s="1" t="s">
        <v>403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">
      <c r="A370" s="30" t="s">
        <v>46</v>
      </c>
      <c r="B370" s="1" t="s">
        <v>404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">
      <c r="A371" s="30" t="s">
        <v>46</v>
      </c>
      <c r="B371" s="1" t="s">
        <v>405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">
      <c r="A372" s="30" t="s">
        <v>46</v>
      </c>
      <c r="B372" s="1" t="s">
        <v>406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">
      <c r="A373" s="30" t="s">
        <v>46</v>
      </c>
      <c r="B373" s="1" t="s">
        <v>407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">
      <c r="A374" s="30" t="s">
        <v>46</v>
      </c>
      <c r="B374" s="1" t="s">
        <v>408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">
      <c r="A375" s="30" t="s">
        <v>46</v>
      </c>
      <c r="B375" s="1" t="s">
        <v>409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">
      <c r="A376" s="30" t="s">
        <v>46</v>
      </c>
      <c r="B376" s="1" t="s">
        <v>410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">
      <c r="A377" s="30" t="s">
        <v>46</v>
      </c>
      <c r="B377" s="1" t="s">
        <v>411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">
      <c r="A378" s="30" t="s">
        <v>46</v>
      </c>
      <c r="B378" s="1" t="s">
        <v>412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">
      <c r="A379" s="30" t="s">
        <v>46</v>
      </c>
      <c r="B379" s="1" t="s">
        <v>413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">
      <c r="A380" s="30" t="s">
        <v>46</v>
      </c>
      <c r="B380" s="1" t="s">
        <v>414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">
      <c r="A381" s="30" t="s">
        <v>46</v>
      </c>
      <c r="B381" s="1" t="s">
        <v>415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">
      <c r="A382" s="30" t="s">
        <v>46</v>
      </c>
      <c r="B382" s="1" t="s">
        <v>416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">
      <c r="A383" s="30" t="s">
        <v>46</v>
      </c>
      <c r="B383" s="1" t="s">
        <v>417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">
      <c r="A384" s="30" t="s">
        <v>46</v>
      </c>
      <c r="B384" s="1" t="s">
        <v>418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">
      <c r="A385" s="30" t="s">
        <v>46</v>
      </c>
      <c r="B385" s="1" t="s">
        <v>419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">
      <c r="A386" s="30" t="s">
        <v>46</v>
      </c>
      <c r="B386" s="1" t="s">
        <v>420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">
      <c r="A387" s="30" t="s">
        <v>46</v>
      </c>
      <c r="B387" s="1" t="s">
        <v>421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">
      <c r="A388" s="30" t="s">
        <v>46</v>
      </c>
      <c r="B388" s="1" t="s">
        <v>422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">
      <c r="A389" s="30" t="s">
        <v>46</v>
      </c>
      <c r="B389" s="1" t="s">
        <v>423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">
      <c r="A390" s="30" t="s">
        <v>46</v>
      </c>
      <c r="B390" s="1" t="s">
        <v>424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">
      <c r="A391" s="30" t="s">
        <v>46</v>
      </c>
      <c r="B391" s="1" t="s">
        <v>425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">
      <c r="A392" s="30" t="s">
        <v>46</v>
      </c>
      <c r="B392" s="1" t="s">
        <v>426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">
      <c r="A393" s="30" t="s">
        <v>46</v>
      </c>
      <c r="B393" s="1" t="s">
        <v>427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">
      <c r="A394" s="30" t="s">
        <v>46</v>
      </c>
      <c r="B394" s="1" t="s">
        <v>428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">
      <c r="A395" s="30" t="s">
        <v>46</v>
      </c>
      <c r="B395" s="1" t="s">
        <v>429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">
      <c r="A396" s="30" t="s">
        <v>46</v>
      </c>
      <c r="B396" s="1" t="s">
        <v>430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">
      <c r="A397" s="30" t="s">
        <v>46</v>
      </c>
      <c r="B397" s="1" t="s">
        <v>431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">
      <c r="A398" s="30" t="s">
        <v>46</v>
      </c>
      <c r="B398" s="1" t="s">
        <v>432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">
      <c r="A399" s="30" t="s">
        <v>46</v>
      </c>
      <c r="B399" s="1" t="s">
        <v>433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">
      <c r="A400" s="30" t="s">
        <v>46</v>
      </c>
      <c r="B400" s="1" t="s">
        <v>434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">
      <c r="A401" s="30" t="s">
        <v>46</v>
      </c>
      <c r="B401" s="1" t="s">
        <v>435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">
      <c r="A402" s="30" t="s">
        <v>46</v>
      </c>
      <c r="B402" s="1" t="s">
        <v>436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">
      <c r="A403" s="30" t="s">
        <v>46</v>
      </c>
      <c r="B403" s="1" t="s">
        <v>437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">
      <c r="A404" s="30" t="s">
        <v>46</v>
      </c>
      <c r="B404" s="1" t="s">
        <v>438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">
      <c r="A405" s="30" t="s">
        <v>46</v>
      </c>
      <c r="B405" s="1" t="s">
        <v>439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">
      <c r="A406" s="30" t="s">
        <v>46</v>
      </c>
      <c r="B406" s="1" t="s">
        <v>440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">
      <c r="A407" s="30" t="s">
        <v>46</v>
      </c>
      <c r="B407" s="1" t="s">
        <v>441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">
      <c r="A408" s="30" t="s">
        <v>46</v>
      </c>
      <c r="B408" s="1" t="s">
        <v>442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">
      <c r="A409" s="30" t="s">
        <v>46</v>
      </c>
      <c r="B409" s="1" t="s">
        <v>443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">
      <c r="A410" s="30" t="s">
        <v>46</v>
      </c>
      <c r="B410" s="1" t="s">
        <v>444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">
      <c r="A411" s="30" t="s">
        <v>46</v>
      </c>
      <c r="B411" s="1" t="s">
        <v>445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">
      <c r="A412" s="30" t="s">
        <v>46</v>
      </c>
      <c r="B412" s="1" t="s">
        <v>446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">
      <c r="A413" s="30" t="s">
        <v>46</v>
      </c>
      <c r="B413" s="1" t="s">
        <v>447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">
      <c r="A414" s="30" t="s">
        <v>46</v>
      </c>
      <c r="B414" s="1" t="s">
        <v>448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">
      <c r="A415" s="30" t="s">
        <v>46</v>
      </c>
      <c r="B415" s="1" t="s">
        <v>449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">
      <c r="A416" s="30" t="s">
        <v>46</v>
      </c>
      <c r="B416" s="1" t="s">
        <v>450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">
      <c r="A417" s="30" t="s">
        <v>46</v>
      </c>
      <c r="B417" s="1" t="s">
        <v>451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">
      <c r="A418" s="30" t="s">
        <v>46</v>
      </c>
      <c r="B418" s="1" t="s">
        <v>452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">
      <c r="A419" s="30" t="s">
        <v>46</v>
      </c>
      <c r="B419" s="1" t="s">
        <v>453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">
      <c r="A420" s="30" t="s">
        <v>46</v>
      </c>
      <c r="B420" s="1" t="s">
        <v>454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">
      <c r="A421" s="30" t="s">
        <v>46</v>
      </c>
      <c r="B421" s="1" t="s">
        <v>455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">
      <c r="A422" s="30" t="s">
        <v>46</v>
      </c>
      <c r="B422" s="1" t="s">
        <v>456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">
      <c r="A423" s="30" t="s">
        <v>46</v>
      </c>
      <c r="B423" s="1" t="s">
        <v>457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">
      <c r="A424" s="30" t="s">
        <v>46</v>
      </c>
      <c r="B424" s="1" t="s">
        <v>458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">
      <c r="A425" s="30" t="s">
        <v>46</v>
      </c>
      <c r="B425" s="1" t="s">
        <v>459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">
      <c r="A426" s="30" t="s">
        <v>46</v>
      </c>
      <c r="B426" s="1" t="s">
        <v>460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">
      <c r="A427" s="30" t="s">
        <v>46</v>
      </c>
      <c r="B427" s="1" t="s">
        <v>461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">
      <c r="A428" s="30" t="s">
        <v>46</v>
      </c>
      <c r="B428" s="1" t="s">
        <v>462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">
      <c r="A429" s="30" t="s">
        <v>46</v>
      </c>
      <c r="B429" s="1" t="s">
        <v>463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">
      <c r="A430" s="30" t="s">
        <v>46</v>
      </c>
      <c r="B430" s="1" t="s">
        <v>464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">
      <c r="A431" s="30" t="s">
        <v>46</v>
      </c>
      <c r="B431" s="1" t="s">
        <v>465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">
      <c r="A432" s="30" t="s">
        <v>46</v>
      </c>
      <c r="B432" s="1" t="s">
        <v>466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">
      <c r="A433" s="30" t="s">
        <v>46</v>
      </c>
      <c r="B433" s="1" t="s">
        <v>467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">
      <c r="A434" s="30" t="s">
        <v>46</v>
      </c>
      <c r="B434" s="1" t="s">
        <v>468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">
      <c r="A435" s="30" t="s">
        <v>46</v>
      </c>
      <c r="B435" s="1" t="s">
        <v>469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">
      <c r="A436" s="30" t="s">
        <v>46</v>
      </c>
      <c r="B436" s="1" t="s">
        <v>470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">
      <c r="A437" s="30" t="s">
        <v>46</v>
      </c>
      <c r="B437" s="1" t="s">
        <v>471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">
      <c r="A438" s="30" t="s">
        <v>46</v>
      </c>
      <c r="B438" s="1" t="s">
        <v>472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">
      <c r="A439" s="30" t="s">
        <v>46</v>
      </c>
      <c r="B439" s="1" t="s">
        <v>473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">
      <c r="A440" s="30" t="s">
        <v>46</v>
      </c>
      <c r="B440" s="1" t="s">
        <v>474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">
      <c r="A441" s="30" t="s">
        <v>46</v>
      </c>
      <c r="B441" s="1" t="s">
        <v>475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">
      <c r="A442" s="30" t="s">
        <v>46</v>
      </c>
      <c r="B442" s="1" t="s">
        <v>476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">
      <c r="A443" s="30" t="s">
        <v>46</v>
      </c>
      <c r="B443" s="1" t="s">
        <v>477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">
      <c r="A444" s="30" t="s">
        <v>46</v>
      </c>
      <c r="B444" s="1" t="s">
        <v>478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">
      <c r="A445" s="30" t="s">
        <v>46</v>
      </c>
      <c r="B445" s="1" t="s">
        <v>479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">
      <c r="A446" s="30" t="s">
        <v>46</v>
      </c>
      <c r="B446" s="1" t="s">
        <v>480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">
      <c r="A447" s="30" t="s">
        <v>46</v>
      </c>
      <c r="B447" s="1" t="s">
        <v>481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">
      <c r="A448" s="30" t="s">
        <v>46</v>
      </c>
      <c r="B448" s="1" t="s">
        <v>482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">
      <c r="A449" s="30" t="s">
        <v>46</v>
      </c>
      <c r="B449" s="1" t="s">
        <v>483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">
      <c r="A450" s="30" t="s">
        <v>46</v>
      </c>
      <c r="B450" s="1" t="s">
        <v>484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">
      <c r="A451" s="30" t="s">
        <v>46</v>
      </c>
      <c r="B451" s="1" t="s">
        <v>485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">
      <c r="A452" s="30" t="s">
        <v>46</v>
      </c>
      <c r="B452" s="1" t="s">
        <v>486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">
      <c r="A453" s="30" t="s">
        <v>46</v>
      </c>
      <c r="B453" s="1" t="s">
        <v>487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">
      <c r="A454" s="30" t="s">
        <v>46</v>
      </c>
      <c r="B454" s="1" t="s">
        <v>488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">
      <c r="A455" s="30" t="s">
        <v>46</v>
      </c>
      <c r="B455" s="1" t="s">
        <v>489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">
      <c r="A456" s="30" t="s">
        <v>46</v>
      </c>
      <c r="B456" s="1" t="s">
        <v>490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">
      <c r="A457" s="30" t="s">
        <v>46</v>
      </c>
      <c r="B457" s="1" t="s">
        <v>491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">
      <c r="A458" s="30" t="s">
        <v>46</v>
      </c>
      <c r="B458" s="1" t="s">
        <v>492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">
      <c r="A459" s="30" t="s">
        <v>46</v>
      </c>
      <c r="B459" s="1" t="s">
        <v>493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">
      <c r="A460" s="30" t="s">
        <v>46</v>
      </c>
      <c r="B460" s="1" t="s">
        <v>494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">
      <c r="A461" s="30" t="s">
        <v>46</v>
      </c>
      <c r="B461" s="1" t="s">
        <v>495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">
      <c r="A462" s="30" t="s">
        <v>46</v>
      </c>
      <c r="B462" s="1" t="s">
        <v>496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">
      <c r="A463" s="30" t="s">
        <v>46</v>
      </c>
      <c r="B463" s="1" t="s">
        <v>497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">
      <c r="A464" s="30" t="s">
        <v>46</v>
      </c>
      <c r="B464" s="1" t="s">
        <v>498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">
      <c r="A465" s="30" t="s">
        <v>46</v>
      </c>
      <c r="B465" s="1" t="s">
        <v>499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">
      <c r="A466" s="30" t="s">
        <v>46</v>
      </c>
      <c r="B466" s="1" t="s">
        <v>500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">
      <c r="A467" s="30" t="s">
        <v>46</v>
      </c>
      <c r="B467" s="1" t="s">
        <v>501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">
      <c r="A468" s="30" t="s">
        <v>46</v>
      </c>
      <c r="B468" s="1" t="s">
        <v>502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">
      <c r="A469" s="30" t="s">
        <v>46</v>
      </c>
      <c r="B469" s="1" t="s">
        <v>503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">
      <c r="A470" s="30" t="s">
        <v>46</v>
      </c>
      <c r="B470" s="1" t="s">
        <v>504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">
      <c r="A471" s="30" t="s">
        <v>46</v>
      </c>
      <c r="B471" s="1" t="s">
        <v>505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">
      <c r="A472" s="30" t="s">
        <v>46</v>
      </c>
      <c r="B472" s="1" t="s">
        <v>506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">
      <c r="A473" s="30" t="s">
        <v>46</v>
      </c>
      <c r="B473" s="1" t="s">
        <v>507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">
      <c r="A474" s="30" t="s">
        <v>46</v>
      </c>
      <c r="B474" s="1" t="s">
        <v>508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">
      <c r="A475" s="30" t="s">
        <v>46</v>
      </c>
      <c r="B475" s="1" t="s">
        <v>509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">
      <c r="A476" s="30" t="s">
        <v>46</v>
      </c>
      <c r="B476" s="1" t="s">
        <v>510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">
      <c r="A477" s="30" t="s">
        <v>46</v>
      </c>
      <c r="B477" s="1" t="s">
        <v>511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">
      <c r="A478" s="30" t="s">
        <v>46</v>
      </c>
      <c r="B478" s="1" t="s">
        <v>512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">
      <c r="A479" s="30" t="s">
        <v>46</v>
      </c>
      <c r="B479" s="1" t="s">
        <v>513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">
      <c r="A480" s="30" t="s">
        <v>46</v>
      </c>
      <c r="B480" s="1" t="s">
        <v>514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">
      <c r="A481" s="30" t="s">
        <v>46</v>
      </c>
      <c r="B481" s="1" t="s">
        <v>515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">
      <c r="A482" s="30" t="s">
        <v>46</v>
      </c>
      <c r="B482" s="1" t="s">
        <v>516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">
      <c r="A483" s="30" t="s">
        <v>46</v>
      </c>
      <c r="B483" s="1" t="s">
        <v>517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">
      <c r="A484" s="30" t="s">
        <v>46</v>
      </c>
      <c r="B484" s="1" t="s">
        <v>518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">
      <c r="A485" s="30" t="s">
        <v>46</v>
      </c>
      <c r="B485" s="1" t="s">
        <v>519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">
      <c r="A486" s="30" t="s">
        <v>46</v>
      </c>
      <c r="B486" s="1" t="s">
        <v>520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">
      <c r="A487" s="30" t="s">
        <v>46</v>
      </c>
      <c r="B487" s="1" t="s">
        <v>521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">
      <c r="A488" s="30" t="s">
        <v>46</v>
      </c>
      <c r="B488" s="1" t="s">
        <v>522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">
      <c r="A489" s="30" t="s">
        <v>46</v>
      </c>
      <c r="B489" s="1" t="s">
        <v>523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">
      <c r="A490" s="30" t="s">
        <v>46</v>
      </c>
      <c r="B490" s="1" t="s">
        <v>524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">
      <c r="A491" s="30" t="s">
        <v>46</v>
      </c>
      <c r="B491" s="1" t="s">
        <v>525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">
      <c r="A492" s="30" t="s">
        <v>46</v>
      </c>
      <c r="B492" s="1" t="s">
        <v>526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">
      <c r="A493" s="30" t="s">
        <v>46</v>
      </c>
      <c r="B493" s="1" t="s">
        <v>527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">
      <c r="A494" s="30" t="s">
        <v>46</v>
      </c>
      <c r="B494" s="1" t="s">
        <v>528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">
      <c r="A495" s="30" t="s">
        <v>46</v>
      </c>
      <c r="B495" s="1" t="s">
        <v>529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">
      <c r="A496" s="30" t="s">
        <v>46</v>
      </c>
      <c r="B496" s="1" t="s">
        <v>530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ht="15" x14ac:dyDescent="0.25">
      <c r="A497" s="111"/>
      <c r="B497" s="118"/>
      <c r="C497" s="111"/>
      <c r="D497" s="134">
        <f t="shared" ref="D497:L497" si="123">SUM(D201:D496)</f>
        <v>21895402</v>
      </c>
      <c r="E497" s="134">
        <f t="shared" si="123"/>
        <v>23324090</v>
      </c>
      <c r="F497" s="134">
        <f t="shared" si="123"/>
        <v>57106398</v>
      </c>
      <c r="G497" s="134">
        <f t="shared" si="123"/>
        <v>27983290</v>
      </c>
      <c r="H497" s="134">
        <f t="shared" si="123"/>
        <v>29123108</v>
      </c>
      <c r="I497" s="134">
        <f t="shared" si="123"/>
        <v>21895402</v>
      </c>
      <c r="J497" s="134">
        <f t="shared" si="123"/>
        <v>23324090</v>
      </c>
      <c r="K497" s="134">
        <f t="shared" si="123"/>
        <v>6087888</v>
      </c>
      <c r="L497" s="134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">
      <c r="A498" s="30" t="s">
        <v>531</v>
      </c>
      <c r="B498" s="1" t="s">
        <v>532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535">
        <v>391</v>
      </c>
      <c r="N498" s="535">
        <v>334</v>
      </c>
      <c r="O498" s="535">
        <v>374</v>
      </c>
      <c r="P498" s="535">
        <v>393</v>
      </c>
      <c r="Q498" s="535">
        <v>365</v>
      </c>
      <c r="R498" s="535">
        <v>333</v>
      </c>
      <c r="S498" s="535">
        <v>365</v>
      </c>
      <c r="T498" s="535">
        <v>388</v>
      </c>
      <c r="U498" s="535">
        <v>394</v>
      </c>
      <c r="V498" s="535">
        <v>392</v>
      </c>
      <c r="W498" s="535">
        <v>375</v>
      </c>
      <c r="X498" s="535">
        <v>423</v>
      </c>
      <c r="Y498" s="535">
        <v>403</v>
      </c>
      <c r="Z498" s="535">
        <v>425</v>
      </c>
      <c r="AA498" s="535">
        <v>394</v>
      </c>
      <c r="AB498" s="535">
        <v>319</v>
      </c>
      <c r="AC498" s="535">
        <v>337</v>
      </c>
      <c r="AD498" s="535">
        <v>363</v>
      </c>
      <c r="AE498" s="535">
        <v>363</v>
      </c>
      <c r="AF498" s="535">
        <v>317</v>
      </c>
      <c r="AG498" s="535">
        <v>288</v>
      </c>
      <c r="AH498" s="535">
        <v>332</v>
      </c>
      <c r="AI498" s="535">
        <v>374</v>
      </c>
      <c r="AJ498" s="535">
        <v>338</v>
      </c>
      <c r="AK498" s="535">
        <v>389</v>
      </c>
      <c r="AL498" s="535">
        <v>412</v>
      </c>
      <c r="AM498" s="535">
        <v>367</v>
      </c>
      <c r="AN498" s="535">
        <v>361</v>
      </c>
      <c r="AO498" s="535">
        <v>441</v>
      </c>
      <c r="AP498" s="535">
        <v>438</v>
      </c>
      <c r="AQ498" s="535">
        <v>468</v>
      </c>
      <c r="AR498" s="535">
        <v>465</v>
      </c>
      <c r="AS498" s="535">
        <v>442</v>
      </c>
      <c r="AT498" s="535">
        <v>467</v>
      </c>
      <c r="AU498" s="535">
        <v>398</v>
      </c>
      <c r="AV498" s="535">
        <v>423</v>
      </c>
      <c r="AW498" s="535">
        <v>418</v>
      </c>
      <c r="AX498" s="535">
        <v>449</v>
      </c>
      <c r="AY498" s="535">
        <v>389</v>
      </c>
      <c r="AZ498" s="535">
        <v>409</v>
      </c>
      <c r="BA498" s="535">
        <v>365</v>
      </c>
      <c r="BB498" s="535">
        <v>396</v>
      </c>
      <c r="BC498" s="535">
        <v>373</v>
      </c>
      <c r="BD498" s="535">
        <v>369</v>
      </c>
      <c r="BE498" s="535">
        <v>348</v>
      </c>
      <c r="BF498" s="535">
        <v>299</v>
      </c>
      <c r="BG498" s="535">
        <v>345</v>
      </c>
      <c r="BH498" s="535">
        <v>417</v>
      </c>
      <c r="BI498" s="535">
        <v>386</v>
      </c>
      <c r="BJ498" s="535">
        <v>430</v>
      </c>
      <c r="BK498" s="535">
        <v>495</v>
      </c>
      <c r="BL498" s="535">
        <v>469</v>
      </c>
      <c r="BM498" s="535">
        <v>471</v>
      </c>
      <c r="BN498" s="535">
        <v>521</v>
      </c>
      <c r="BO498" s="535">
        <v>498</v>
      </c>
      <c r="BP498" s="535">
        <v>491</v>
      </c>
      <c r="BQ498" s="535">
        <v>525</v>
      </c>
      <c r="BR498" s="535">
        <v>529</v>
      </c>
      <c r="BS498" s="535">
        <v>512</v>
      </c>
      <c r="BT498" s="535">
        <v>493</v>
      </c>
      <c r="BU498" s="535">
        <v>503</v>
      </c>
      <c r="BV498" s="535">
        <v>432</v>
      </c>
      <c r="BW498" s="535">
        <v>445</v>
      </c>
      <c r="BX498" s="535">
        <v>434</v>
      </c>
      <c r="BY498" s="535">
        <v>364</v>
      </c>
      <c r="BZ498" s="535">
        <v>441</v>
      </c>
      <c r="CA498" s="535">
        <v>389</v>
      </c>
      <c r="CB498" s="535">
        <v>372</v>
      </c>
      <c r="CC498" s="535">
        <v>364</v>
      </c>
      <c r="CD498" s="535">
        <v>375</v>
      </c>
      <c r="CE498" s="535">
        <v>341</v>
      </c>
      <c r="CF498" s="535">
        <v>358</v>
      </c>
      <c r="CG498" s="535">
        <v>351</v>
      </c>
      <c r="CH498" s="535">
        <v>359</v>
      </c>
      <c r="CI498" s="535">
        <v>343</v>
      </c>
      <c r="CJ498" s="535">
        <v>401</v>
      </c>
      <c r="CK498" s="535">
        <v>297</v>
      </c>
      <c r="CL498" s="535">
        <v>262</v>
      </c>
      <c r="CM498" s="535">
        <v>235</v>
      </c>
      <c r="CN498" s="535">
        <v>261</v>
      </c>
      <c r="CO498" s="535">
        <v>210</v>
      </c>
      <c r="CP498" s="535">
        <v>179</v>
      </c>
      <c r="CQ498" s="535">
        <v>155</v>
      </c>
      <c r="CR498" s="535">
        <v>164</v>
      </c>
      <c r="CS498" s="535">
        <v>135</v>
      </c>
      <c r="CT498" s="535">
        <v>101</v>
      </c>
      <c r="CU498" s="535">
        <v>100</v>
      </c>
      <c r="CV498" s="535">
        <v>87</v>
      </c>
      <c r="CW498" s="535">
        <v>55</v>
      </c>
      <c r="CX498" s="535">
        <v>58</v>
      </c>
      <c r="CY498" s="535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">
      <c r="A499" s="30" t="s">
        <v>34</v>
      </c>
      <c r="B499" s="1" t="s">
        <v>533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535">
        <v>731</v>
      </c>
      <c r="N499" s="535">
        <v>689</v>
      </c>
      <c r="O499" s="535">
        <v>714</v>
      </c>
      <c r="P499" s="535">
        <v>751</v>
      </c>
      <c r="Q499" s="535">
        <v>788</v>
      </c>
      <c r="R499" s="535">
        <v>823</v>
      </c>
      <c r="S499" s="535">
        <v>811</v>
      </c>
      <c r="T499" s="535">
        <v>852</v>
      </c>
      <c r="U499" s="535">
        <v>862</v>
      </c>
      <c r="V499" s="535">
        <v>879</v>
      </c>
      <c r="W499" s="535">
        <v>884</v>
      </c>
      <c r="X499" s="535">
        <v>978</v>
      </c>
      <c r="Y499" s="535">
        <v>895</v>
      </c>
      <c r="Z499" s="535">
        <v>924</v>
      </c>
      <c r="AA499" s="535">
        <v>890</v>
      </c>
      <c r="AB499" s="535">
        <v>868</v>
      </c>
      <c r="AC499" s="535">
        <v>836</v>
      </c>
      <c r="AD499" s="535">
        <v>905</v>
      </c>
      <c r="AE499" s="535">
        <v>777</v>
      </c>
      <c r="AF499" s="535">
        <v>641</v>
      </c>
      <c r="AG499" s="535">
        <v>674</v>
      </c>
      <c r="AH499" s="535">
        <v>686</v>
      </c>
      <c r="AI499" s="535">
        <v>727</v>
      </c>
      <c r="AJ499" s="535">
        <v>840</v>
      </c>
      <c r="AK499" s="535">
        <v>858</v>
      </c>
      <c r="AL499" s="535">
        <v>945</v>
      </c>
      <c r="AM499" s="535">
        <v>890</v>
      </c>
      <c r="AN499" s="535">
        <v>816</v>
      </c>
      <c r="AO499" s="535">
        <v>944</v>
      </c>
      <c r="AP499" s="535">
        <v>857</v>
      </c>
      <c r="AQ499" s="535">
        <v>968</v>
      </c>
      <c r="AR499" s="535">
        <v>910</v>
      </c>
      <c r="AS499" s="535">
        <v>982</v>
      </c>
      <c r="AT499" s="535">
        <v>986</v>
      </c>
      <c r="AU499" s="535">
        <v>996</v>
      </c>
      <c r="AV499" s="535">
        <v>984</v>
      </c>
      <c r="AW499" s="535">
        <v>944</v>
      </c>
      <c r="AX499" s="535">
        <v>937</v>
      </c>
      <c r="AY499" s="535">
        <v>874</v>
      </c>
      <c r="AZ499" s="535">
        <v>882</v>
      </c>
      <c r="BA499" s="535">
        <v>860</v>
      </c>
      <c r="BB499" s="535">
        <v>916</v>
      </c>
      <c r="BC499" s="535">
        <v>935</v>
      </c>
      <c r="BD499" s="535">
        <v>885</v>
      </c>
      <c r="BE499" s="535">
        <v>798</v>
      </c>
      <c r="BF499" s="535">
        <v>764</v>
      </c>
      <c r="BG499" s="535">
        <v>821</v>
      </c>
      <c r="BH499" s="535">
        <v>816</v>
      </c>
      <c r="BI499" s="535">
        <v>884</v>
      </c>
      <c r="BJ499" s="535">
        <v>901</v>
      </c>
      <c r="BK499" s="535">
        <v>1009</v>
      </c>
      <c r="BL499" s="535">
        <v>1091</v>
      </c>
      <c r="BM499" s="535">
        <v>977</v>
      </c>
      <c r="BN499" s="535">
        <v>1017</v>
      </c>
      <c r="BO499" s="535">
        <v>1078</v>
      </c>
      <c r="BP499" s="535">
        <v>1056</v>
      </c>
      <c r="BQ499" s="535">
        <v>1081</v>
      </c>
      <c r="BR499" s="535">
        <v>1062</v>
      </c>
      <c r="BS499" s="535">
        <v>1067</v>
      </c>
      <c r="BT499" s="535">
        <v>1000</v>
      </c>
      <c r="BU499" s="535">
        <v>1035</v>
      </c>
      <c r="BV499" s="535">
        <v>984</v>
      </c>
      <c r="BW499" s="535">
        <v>918</v>
      </c>
      <c r="BX499" s="535">
        <v>903</v>
      </c>
      <c r="BY499" s="535">
        <v>907</v>
      </c>
      <c r="BZ499" s="535">
        <v>835</v>
      </c>
      <c r="CA499" s="535">
        <v>831</v>
      </c>
      <c r="CB499" s="535">
        <v>766</v>
      </c>
      <c r="CC499" s="535">
        <v>742</v>
      </c>
      <c r="CD499" s="535">
        <v>776</v>
      </c>
      <c r="CE499" s="535">
        <v>736</v>
      </c>
      <c r="CF499" s="535">
        <v>767</v>
      </c>
      <c r="CG499" s="535">
        <v>726</v>
      </c>
      <c r="CH499" s="535">
        <v>780</v>
      </c>
      <c r="CI499" s="535">
        <v>754</v>
      </c>
      <c r="CJ499" s="535">
        <v>809</v>
      </c>
      <c r="CK499" s="535">
        <v>632</v>
      </c>
      <c r="CL499" s="535">
        <v>617</v>
      </c>
      <c r="CM499" s="535">
        <v>572</v>
      </c>
      <c r="CN499" s="535">
        <v>506</v>
      </c>
      <c r="CO499" s="535">
        <v>443</v>
      </c>
      <c r="CP499" s="535">
        <v>449</v>
      </c>
      <c r="CQ499" s="535">
        <v>367</v>
      </c>
      <c r="CR499" s="535">
        <v>336</v>
      </c>
      <c r="CS499" s="535">
        <v>314</v>
      </c>
      <c r="CT499" s="535">
        <v>257</v>
      </c>
      <c r="CU499" s="535">
        <v>226</v>
      </c>
      <c r="CV499" s="535">
        <v>223</v>
      </c>
      <c r="CW499" s="535">
        <v>154</v>
      </c>
      <c r="CX499" s="535">
        <v>144</v>
      </c>
      <c r="CY499" s="535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">
      <c r="A500" s="30" t="s">
        <v>34</v>
      </c>
      <c r="B500" s="1" t="s">
        <v>534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535">
        <v>834</v>
      </c>
      <c r="N500" s="535">
        <v>824</v>
      </c>
      <c r="O500" s="535">
        <v>908</v>
      </c>
      <c r="P500" s="535">
        <v>935</v>
      </c>
      <c r="Q500" s="535">
        <v>1007</v>
      </c>
      <c r="R500" s="535">
        <v>996</v>
      </c>
      <c r="S500" s="535">
        <v>1029</v>
      </c>
      <c r="T500" s="535">
        <v>1072</v>
      </c>
      <c r="U500" s="535">
        <v>1068</v>
      </c>
      <c r="V500" s="535">
        <v>1056</v>
      </c>
      <c r="W500" s="535">
        <v>1069</v>
      </c>
      <c r="X500" s="535">
        <v>1095</v>
      </c>
      <c r="Y500" s="535">
        <v>1148</v>
      </c>
      <c r="Z500" s="535">
        <v>1126</v>
      </c>
      <c r="AA500" s="535">
        <v>1141</v>
      </c>
      <c r="AB500" s="535">
        <v>1053</v>
      </c>
      <c r="AC500" s="535">
        <v>1026</v>
      </c>
      <c r="AD500" s="535">
        <v>1028</v>
      </c>
      <c r="AE500" s="535">
        <v>1108</v>
      </c>
      <c r="AF500" s="535">
        <v>875</v>
      </c>
      <c r="AG500" s="535">
        <v>817</v>
      </c>
      <c r="AH500" s="535">
        <v>888</v>
      </c>
      <c r="AI500" s="535">
        <v>942</v>
      </c>
      <c r="AJ500" s="535">
        <v>891</v>
      </c>
      <c r="AK500" s="535">
        <v>901</v>
      </c>
      <c r="AL500" s="535">
        <v>1103</v>
      </c>
      <c r="AM500" s="535">
        <v>1005</v>
      </c>
      <c r="AN500" s="535">
        <v>987</v>
      </c>
      <c r="AO500" s="535">
        <v>1032</v>
      </c>
      <c r="AP500" s="535">
        <v>1030</v>
      </c>
      <c r="AQ500" s="535">
        <v>1074</v>
      </c>
      <c r="AR500" s="535">
        <v>1182</v>
      </c>
      <c r="AS500" s="535">
        <v>1115</v>
      </c>
      <c r="AT500" s="535">
        <v>1132</v>
      </c>
      <c r="AU500" s="535">
        <v>1167</v>
      </c>
      <c r="AV500" s="535">
        <v>1071</v>
      </c>
      <c r="AW500" s="535">
        <v>1140</v>
      </c>
      <c r="AX500" s="535">
        <v>1077</v>
      </c>
      <c r="AY500" s="535">
        <v>1079</v>
      </c>
      <c r="AZ500" s="535">
        <v>1060</v>
      </c>
      <c r="BA500" s="535">
        <v>1012</v>
      </c>
      <c r="BB500" s="535">
        <v>1070</v>
      </c>
      <c r="BC500" s="535">
        <v>1085</v>
      </c>
      <c r="BD500" s="535">
        <v>1002</v>
      </c>
      <c r="BE500" s="535">
        <v>958</v>
      </c>
      <c r="BF500" s="535">
        <v>997</v>
      </c>
      <c r="BG500" s="535">
        <v>992</v>
      </c>
      <c r="BH500" s="535">
        <v>988</v>
      </c>
      <c r="BI500" s="535">
        <v>1077</v>
      </c>
      <c r="BJ500" s="535">
        <v>1113</v>
      </c>
      <c r="BK500" s="535">
        <v>1157</v>
      </c>
      <c r="BL500" s="535">
        <v>1232</v>
      </c>
      <c r="BM500" s="535">
        <v>1129</v>
      </c>
      <c r="BN500" s="535">
        <v>1299</v>
      </c>
      <c r="BO500" s="535">
        <v>1259</v>
      </c>
      <c r="BP500" s="535">
        <v>1214</v>
      </c>
      <c r="BQ500" s="535">
        <v>1265</v>
      </c>
      <c r="BR500" s="535">
        <v>1277</v>
      </c>
      <c r="BS500" s="535">
        <v>1255</v>
      </c>
      <c r="BT500" s="535">
        <v>1273</v>
      </c>
      <c r="BU500" s="535">
        <v>1181</v>
      </c>
      <c r="BV500" s="535">
        <v>1146</v>
      </c>
      <c r="BW500" s="535">
        <v>1118</v>
      </c>
      <c r="BX500" s="535">
        <v>1064</v>
      </c>
      <c r="BY500" s="535">
        <v>1058</v>
      </c>
      <c r="BZ500" s="535">
        <v>1029</v>
      </c>
      <c r="CA500" s="535">
        <v>925</v>
      </c>
      <c r="CB500" s="535">
        <v>870</v>
      </c>
      <c r="CC500" s="535">
        <v>989</v>
      </c>
      <c r="CD500" s="535">
        <v>948</v>
      </c>
      <c r="CE500" s="535">
        <v>880</v>
      </c>
      <c r="CF500" s="535">
        <v>910</v>
      </c>
      <c r="CG500" s="535">
        <v>938</v>
      </c>
      <c r="CH500" s="535">
        <v>837</v>
      </c>
      <c r="CI500" s="535">
        <v>970</v>
      </c>
      <c r="CJ500" s="535">
        <v>989</v>
      </c>
      <c r="CK500" s="535">
        <v>740</v>
      </c>
      <c r="CL500" s="535">
        <v>691</v>
      </c>
      <c r="CM500" s="535">
        <v>645</v>
      </c>
      <c r="CN500" s="535">
        <v>570</v>
      </c>
      <c r="CO500" s="535">
        <v>578</v>
      </c>
      <c r="CP500" s="535">
        <v>442</v>
      </c>
      <c r="CQ500" s="535">
        <v>426</v>
      </c>
      <c r="CR500" s="535">
        <v>410</v>
      </c>
      <c r="CS500" s="535">
        <v>355</v>
      </c>
      <c r="CT500" s="535">
        <v>296</v>
      </c>
      <c r="CU500" s="535">
        <v>259</v>
      </c>
      <c r="CV500" s="535">
        <v>215</v>
      </c>
      <c r="CW500" s="535">
        <v>176</v>
      </c>
      <c r="CX500" s="535">
        <v>150</v>
      </c>
      <c r="CY500" s="535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">
      <c r="A501" s="30" t="s">
        <v>34</v>
      </c>
      <c r="B501" s="1" t="s">
        <v>535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535">
        <v>1950</v>
      </c>
      <c r="N501" s="535">
        <v>1875</v>
      </c>
      <c r="O501" s="535">
        <v>1880</v>
      </c>
      <c r="P501" s="535">
        <v>1977</v>
      </c>
      <c r="Q501" s="535">
        <v>2035</v>
      </c>
      <c r="R501" s="535">
        <v>2099</v>
      </c>
      <c r="S501" s="535">
        <v>2234</v>
      </c>
      <c r="T501" s="535">
        <v>2194</v>
      </c>
      <c r="U501" s="535">
        <v>2213</v>
      </c>
      <c r="V501" s="535">
        <v>2181</v>
      </c>
      <c r="W501" s="535">
        <v>2303</v>
      </c>
      <c r="X501" s="535">
        <v>2380</v>
      </c>
      <c r="Y501" s="535">
        <v>2271</v>
      </c>
      <c r="Z501" s="535">
        <v>2188</v>
      </c>
      <c r="AA501" s="535">
        <v>2173</v>
      </c>
      <c r="AB501" s="535">
        <v>2117</v>
      </c>
      <c r="AC501" s="535">
        <v>2130</v>
      </c>
      <c r="AD501" s="535">
        <v>2130</v>
      </c>
      <c r="AE501" s="535">
        <v>2327</v>
      </c>
      <c r="AF501" s="535">
        <v>4164</v>
      </c>
      <c r="AG501" s="535">
        <v>4565</v>
      </c>
      <c r="AH501" s="535">
        <v>4249</v>
      </c>
      <c r="AI501" s="535">
        <v>3797</v>
      </c>
      <c r="AJ501" s="535">
        <v>3628</v>
      </c>
      <c r="AK501" s="535">
        <v>3513</v>
      </c>
      <c r="AL501" s="535">
        <v>3439</v>
      </c>
      <c r="AM501" s="535">
        <v>3420</v>
      </c>
      <c r="AN501" s="535">
        <v>3228</v>
      </c>
      <c r="AO501" s="535">
        <v>3077</v>
      </c>
      <c r="AP501" s="535">
        <v>2999</v>
      </c>
      <c r="AQ501" s="535">
        <v>2824</v>
      </c>
      <c r="AR501" s="535">
        <v>2846</v>
      </c>
      <c r="AS501" s="535">
        <v>2776</v>
      </c>
      <c r="AT501" s="535">
        <v>2588</v>
      </c>
      <c r="AU501" s="535">
        <v>2705</v>
      </c>
      <c r="AV501" s="535">
        <v>2608</v>
      </c>
      <c r="AW501" s="535">
        <v>2669</v>
      </c>
      <c r="AX501" s="535">
        <v>2467</v>
      </c>
      <c r="AY501" s="535">
        <v>2494</v>
      </c>
      <c r="AZ501" s="535">
        <v>2498</v>
      </c>
      <c r="BA501" s="535">
        <v>2343</v>
      </c>
      <c r="BB501" s="535">
        <v>2361</v>
      </c>
      <c r="BC501" s="535">
        <v>2324</v>
      </c>
      <c r="BD501" s="535">
        <v>2260</v>
      </c>
      <c r="BE501" s="535">
        <v>2022</v>
      </c>
      <c r="BF501" s="535">
        <v>2128</v>
      </c>
      <c r="BG501" s="535">
        <v>2019</v>
      </c>
      <c r="BH501" s="535">
        <v>2027</v>
      </c>
      <c r="BI501" s="535">
        <v>2070</v>
      </c>
      <c r="BJ501" s="535">
        <v>1928</v>
      </c>
      <c r="BK501" s="535">
        <v>1966</v>
      </c>
      <c r="BL501" s="535">
        <v>2100</v>
      </c>
      <c r="BM501" s="535">
        <v>2061</v>
      </c>
      <c r="BN501" s="535">
        <v>2078</v>
      </c>
      <c r="BO501" s="535">
        <v>1992</v>
      </c>
      <c r="BP501" s="535">
        <v>2070</v>
      </c>
      <c r="BQ501" s="535">
        <v>1888</v>
      </c>
      <c r="BR501" s="535">
        <v>2027</v>
      </c>
      <c r="BS501" s="535">
        <v>1976</v>
      </c>
      <c r="BT501" s="535">
        <v>1918</v>
      </c>
      <c r="BU501" s="535">
        <v>1994</v>
      </c>
      <c r="BV501" s="535">
        <v>1814</v>
      </c>
      <c r="BW501" s="535">
        <v>1830</v>
      </c>
      <c r="BX501" s="535">
        <v>1808</v>
      </c>
      <c r="BY501" s="535">
        <v>1654</v>
      </c>
      <c r="BZ501" s="535">
        <v>1666</v>
      </c>
      <c r="CA501" s="535">
        <v>1538</v>
      </c>
      <c r="CB501" s="535">
        <v>1449</v>
      </c>
      <c r="CC501" s="535">
        <v>1467</v>
      </c>
      <c r="CD501" s="535">
        <v>1364</v>
      </c>
      <c r="CE501" s="535">
        <v>1286</v>
      </c>
      <c r="CF501" s="535">
        <v>1359</v>
      </c>
      <c r="CG501" s="535">
        <v>1353</v>
      </c>
      <c r="CH501" s="535">
        <v>1306</v>
      </c>
      <c r="CI501" s="535">
        <v>1244</v>
      </c>
      <c r="CJ501" s="535">
        <v>1342</v>
      </c>
      <c r="CK501" s="535">
        <v>991</v>
      </c>
      <c r="CL501" s="535">
        <v>942</v>
      </c>
      <c r="CM501" s="535">
        <v>905</v>
      </c>
      <c r="CN501" s="535">
        <v>742</v>
      </c>
      <c r="CO501" s="535">
        <v>691</v>
      </c>
      <c r="CP501" s="535">
        <v>611</v>
      </c>
      <c r="CQ501" s="535">
        <v>589</v>
      </c>
      <c r="CR501" s="535">
        <v>538</v>
      </c>
      <c r="CS501" s="535">
        <v>490</v>
      </c>
      <c r="CT501" s="535">
        <v>446</v>
      </c>
      <c r="CU501" s="535">
        <v>394</v>
      </c>
      <c r="CV501" s="535">
        <v>368</v>
      </c>
      <c r="CW501" s="535">
        <v>281</v>
      </c>
      <c r="CX501" s="535">
        <v>249</v>
      </c>
      <c r="CY501" s="535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">
      <c r="A502" s="30" t="s">
        <v>34</v>
      </c>
      <c r="B502" s="1" t="s">
        <v>536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535">
        <v>856</v>
      </c>
      <c r="N502" s="535">
        <v>866</v>
      </c>
      <c r="O502" s="535">
        <v>854</v>
      </c>
      <c r="P502" s="535">
        <v>934</v>
      </c>
      <c r="Q502" s="535">
        <v>976</v>
      </c>
      <c r="R502" s="535">
        <v>1016</v>
      </c>
      <c r="S502" s="535">
        <v>1068</v>
      </c>
      <c r="T502" s="535">
        <v>1057</v>
      </c>
      <c r="U502" s="535">
        <v>1032</v>
      </c>
      <c r="V502" s="535">
        <v>1077</v>
      </c>
      <c r="W502" s="535">
        <v>1158</v>
      </c>
      <c r="X502" s="535">
        <v>1168</v>
      </c>
      <c r="Y502" s="535">
        <v>1148</v>
      </c>
      <c r="Z502" s="535">
        <v>1099</v>
      </c>
      <c r="AA502" s="535">
        <v>1137</v>
      </c>
      <c r="AB502" s="535">
        <v>1146</v>
      </c>
      <c r="AC502" s="535">
        <v>1150</v>
      </c>
      <c r="AD502" s="535">
        <v>1098</v>
      </c>
      <c r="AE502" s="535">
        <v>1071</v>
      </c>
      <c r="AF502" s="535">
        <v>898</v>
      </c>
      <c r="AG502" s="535">
        <v>829</v>
      </c>
      <c r="AH502" s="535">
        <v>834</v>
      </c>
      <c r="AI502" s="535">
        <v>847</v>
      </c>
      <c r="AJ502" s="535">
        <v>907</v>
      </c>
      <c r="AK502" s="535">
        <v>957</v>
      </c>
      <c r="AL502" s="535">
        <v>1013</v>
      </c>
      <c r="AM502" s="535">
        <v>1000</v>
      </c>
      <c r="AN502" s="535">
        <v>923</v>
      </c>
      <c r="AO502" s="535">
        <v>977</v>
      </c>
      <c r="AP502" s="535">
        <v>975</v>
      </c>
      <c r="AQ502" s="535">
        <v>1005</v>
      </c>
      <c r="AR502" s="535">
        <v>1049</v>
      </c>
      <c r="AS502" s="535">
        <v>1077</v>
      </c>
      <c r="AT502" s="535">
        <v>1035</v>
      </c>
      <c r="AU502" s="535">
        <v>1116</v>
      </c>
      <c r="AV502" s="535">
        <v>1060</v>
      </c>
      <c r="AW502" s="535">
        <v>1050</v>
      </c>
      <c r="AX502" s="535">
        <v>991</v>
      </c>
      <c r="AY502" s="535">
        <v>1021</v>
      </c>
      <c r="AZ502" s="535">
        <v>1015</v>
      </c>
      <c r="BA502" s="535">
        <v>996</v>
      </c>
      <c r="BB502" s="535">
        <v>1033</v>
      </c>
      <c r="BC502" s="535">
        <v>1042</v>
      </c>
      <c r="BD502" s="535">
        <v>1003</v>
      </c>
      <c r="BE502" s="535">
        <v>929</v>
      </c>
      <c r="BF502" s="535">
        <v>918</v>
      </c>
      <c r="BG502" s="535">
        <v>1008</v>
      </c>
      <c r="BH502" s="535">
        <v>1037</v>
      </c>
      <c r="BI502" s="535">
        <v>1074</v>
      </c>
      <c r="BJ502" s="535">
        <v>1130</v>
      </c>
      <c r="BK502" s="535">
        <v>1203</v>
      </c>
      <c r="BL502" s="535">
        <v>1281</v>
      </c>
      <c r="BM502" s="535">
        <v>1243</v>
      </c>
      <c r="BN502" s="535">
        <v>1231</v>
      </c>
      <c r="BO502" s="535">
        <v>1260</v>
      </c>
      <c r="BP502" s="535">
        <v>1356</v>
      </c>
      <c r="BQ502" s="535">
        <v>1372</v>
      </c>
      <c r="BR502" s="535">
        <v>1413</v>
      </c>
      <c r="BS502" s="535">
        <v>1455</v>
      </c>
      <c r="BT502" s="535">
        <v>1317</v>
      </c>
      <c r="BU502" s="535">
        <v>1416</v>
      </c>
      <c r="BV502" s="535">
        <v>1373</v>
      </c>
      <c r="BW502" s="535">
        <v>1349</v>
      </c>
      <c r="BX502" s="535">
        <v>1279</v>
      </c>
      <c r="BY502" s="535">
        <v>1311</v>
      </c>
      <c r="BZ502" s="535">
        <v>1261</v>
      </c>
      <c r="CA502" s="535">
        <v>1172</v>
      </c>
      <c r="CB502" s="535">
        <v>1270</v>
      </c>
      <c r="CC502" s="535">
        <v>1212</v>
      </c>
      <c r="CD502" s="535">
        <v>1197</v>
      </c>
      <c r="CE502" s="535">
        <v>1164</v>
      </c>
      <c r="CF502" s="535">
        <v>1112</v>
      </c>
      <c r="CG502" s="535">
        <v>1141</v>
      </c>
      <c r="CH502" s="535">
        <v>1175</v>
      </c>
      <c r="CI502" s="535">
        <v>1186</v>
      </c>
      <c r="CJ502" s="535">
        <v>1175</v>
      </c>
      <c r="CK502" s="535">
        <v>999</v>
      </c>
      <c r="CL502" s="535">
        <v>920</v>
      </c>
      <c r="CM502" s="535">
        <v>863</v>
      </c>
      <c r="CN502" s="535">
        <v>789</v>
      </c>
      <c r="CO502" s="535">
        <v>736</v>
      </c>
      <c r="CP502" s="535">
        <v>619</v>
      </c>
      <c r="CQ502" s="535">
        <v>561</v>
      </c>
      <c r="CR502" s="535">
        <v>506</v>
      </c>
      <c r="CS502" s="535">
        <v>445</v>
      </c>
      <c r="CT502" s="535">
        <v>454</v>
      </c>
      <c r="CU502" s="535">
        <v>361</v>
      </c>
      <c r="CV502" s="535">
        <v>330</v>
      </c>
      <c r="CW502" s="535">
        <v>265</v>
      </c>
      <c r="CX502" s="535">
        <v>198</v>
      </c>
      <c r="CY502" s="535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">
      <c r="A503" s="30" t="s">
        <v>34</v>
      </c>
      <c r="B503" s="1" t="s">
        <v>537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535">
        <v>276</v>
      </c>
      <c r="N503" s="535">
        <v>237</v>
      </c>
      <c r="O503" s="535">
        <v>271</v>
      </c>
      <c r="P503" s="535">
        <v>294</v>
      </c>
      <c r="Q503" s="535">
        <v>285</v>
      </c>
      <c r="R503" s="535">
        <v>312</v>
      </c>
      <c r="S503" s="535">
        <v>341</v>
      </c>
      <c r="T503" s="535">
        <v>317</v>
      </c>
      <c r="U503" s="535">
        <v>309</v>
      </c>
      <c r="V503" s="535">
        <v>360</v>
      </c>
      <c r="W503" s="535">
        <v>360</v>
      </c>
      <c r="X503" s="535">
        <v>370</v>
      </c>
      <c r="Y503" s="535">
        <v>368</v>
      </c>
      <c r="Z503" s="535">
        <v>326</v>
      </c>
      <c r="AA503" s="535">
        <v>334</v>
      </c>
      <c r="AB503" s="535">
        <v>346</v>
      </c>
      <c r="AC503" s="535">
        <v>355</v>
      </c>
      <c r="AD503" s="535">
        <v>378</v>
      </c>
      <c r="AE503" s="535">
        <v>435</v>
      </c>
      <c r="AF503" s="535">
        <v>855</v>
      </c>
      <c r="AG503" s="535">
        <v>809</v>
      </c>
      <c r="AH503" s="535">
        <v>767</v>
      </c>
      <c r="AI503" s="535">
        <v>615</v>
      </c>
      <c r="AJ503" s="535">
        <v>548</v>
      </c>
      <c r="AK503" s="535">
        <v>432</v>
      </c>
      <c r="AL503" s="535">
        <v>350</v>
      </c>
      <c r="AM503" s="535">
        <v>336</v>
      </c>
      <c r="AN503" s="535">
        <v>361</v>
      </c>
      <c r="AO503" s="535">
        <v>363</v>
      </c>
      <c r="AP503" s="535">
        <v>307</v>
      </c>
      <c r="AQ503" s="535">
        <v>338</v>
      </c>
      <c r="AR503" s="535">
        <v>347</v>
      </c>
      <c r="AS503" s="535">
        <v>354</v>
      </c>
      <c r="AT503" s="535">
        <v>356</v>
      </c>
      <c r="AU503" s="535">
        <v>352</v>
      </c>
      <c r="AV503" s="535">
        <v>311</v>
      </c>
      <c r="AW503" s="535">
        <v>316</v>
      </c>
      <c r="AX503" s="535">
        <v>334</v>
      </c>
      <c r="AY503" s="535">
        <v>320</v>
      </c>
      <c r="AZ503" s="535">
        <v>335</v>
      </c>
      <c r="BA503" s="535">
        <v>353</v>
      </c>
      <c r="BB503" s="535">
        <v>347</v>
      </c>
      <c r="BC503" s="535">
        <v>316</v>
      </c>
      <c r="BD503" s="535">
        <v>308</v>
      </c>
      <c r="BE503" s="535">
        <v>280</v>
      </c>
      <c r="BF503" s="535">
        <v>309</v>
      </c>
      <c r="BG503" s="535">
        <v>342</v>
      </c>
      <c r="BH503" s="535">
        <v>348</v>
      </c>
      <c r="BI503" s="535">
        <v>356</v>
      </c>
      <c r="BJ503" s="535">
        <v>339</v>
      </c>
      <c r="BK503" s="535">
        <v>402</v>
      </c>
      <c r="BL503" s="535">
        <v>431</v>
      </c>
      <c r="BM503" s="535">
        <v>435</v>
      </c>
      <c r="BN503" s="535">
        <v>504</v>
      </c>
      <c r="BO503" s="535">
        <v>475</v>
      </c>
      <c r="BP503" s="535">
        <v>496</v>
      </c>
      <c r="BQ503" s="535">
        <v>511</v>
      </c>
      <c r="BR503" s="535">
        <v>501</v>
      </c>
      <c r="BS503" s="535">
        <v>541</v>
      </c>
      <c r="BT503" s="535">
        <v>553</v>
      </c>
      <c r="BU503" s="535">
        <v>538</v>
      </c>
      <c r="BV503" s="535">
        <v>517</v>
      </c>
      <c r="BW503" s="535">
        <v>495</v>
      </c>
      <c r="BX503" s="535">
        <v>529</v>
      </c>
      <c r="BY503" s="535">
        <v>518</v>
      </c>
      <c r="BZ503" s="535">
        <v>495</v>
      </c>
      <c r="CA503" s="535">
        <v>519</v>
      </c>
      <c r="CB503" s="535">
        <v>491</v>
      </c>
      <c r="CC503" s="535">
        <v>490</v>
      </c>
      <c r="CD503" s="535">
        <v>448</v>
      </c>
      <c r="CE503" s="535">
        <v>472</v>
      </c>
      <c r="CF503" s="535">
        <v>453</v>
      </c>
      <c r="CG503" s="535">
        <v>454</v>
      </c>
      <c r="CH503" s="535">
        <v>509</v>
      </c>
      <c r="CI503" s="535">
        <v>531</v>
      </c>
      <c r="CJ503" s="535">
        <v>500</v>
      </c>
      <c r="CK503" s="535">
        <v>376</v>
      </c>
      <c r="CL503" s="535">
        <v>376</v>
      </c>
      <c r="CM503" s="535">
        <v>354</v>
      </c>
      <c r="CN503" s="535">
        <v>347</v>
      </c>
      <c r="CO503" s="535">
        <v>289</v>
      </c>
      <c r="CP503" s="535">
        <v>213</v>
      </c>
      <c r="CQ503" s="535">
        <v>241</v>
      </c>
      <c r="CR503" s="535">
        <v>198</v>
      </c>
      <c r="CS503" s="535">
        <v>175</v>
      </c>
      <c r="CT503" s="535">
        <v>168</v>
      </c>
      <c r="CU503" s="535">
        <v>134</v>
      </c>
      <c r="CV503" s="535">
        <v>115</v>
      </c>
      <c r="CW503" s="535">
        <v>97</v>
      </c>
      <c r="CX503" s="535">
        <v>84</v>
      </c>
      <c r="CY503" s="535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">
      <c r="A504" s="30" t="s">
        <v>34</v>
      </c>
      <c r="B504" s="1" t="s">
        <v>538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535">
        <v>483</v>
      </c>
      <c r="N504" s="535">
        <v>469</v>
      </c>
      <c r="O504" s="535">
        <v>522</v>
      </c>
      <c r="P504" s="535">
        <v>523</v>
      </c>
      <c r="Q504" s="535">
        <v>549</v>
      </c>
      <c r="R504" s="535">
        <v>540</v>
      </c>
      <c r="S504" s="535">
        <v>563</v>
      </c>
      <c r="T504" s="535">
        <v>620</v>
      </c>
      <c r="U504" s="535">
        <v>583</v>
      </c>
      <c r="V504" s="535">
        <v>622</v>
      </c>
      <c r="W504" s="535">
        <v>611</v>
      </c>
      <c r="X504" s="535">
        <v>686</v>
      </c>
      <c r="Y504" s="535">
        <v>621</v>
      </c>
      <c r="Z504" s="535">
        <v>634</v>
      </c>
      <c r="AA504" s="535">
        <v>601</v>
      </c>
      <c r="AB504" s="535">
        <v>642</v>
      </c>
      <c r="AC504" s="535">
        <v>627</v>
      </c>
      <c r="AD504" s="535">
        <v>641</v>
      </c>
      <c r="AE504" s="535">
        <v>613</v>
      </c>
      <c r="AF504" s="535">
        <v>404</v>
      </c>
      <c r="AG504" s="535">
        <v>422</v>
      </c>
      <c r="AH504" s="535">
        <v>441</v>
      </c>
      <c r="AI504" s="535">
        <v>543</v>
      </c>
      <c r="AJ504" s="535">
        <v>525</v>
      </c>
      <c r="AK504" s="535">
        <v>583</v>
      </c>
      <c r="AL504" s="535">
        <v>572</v>
      </c>
      <c r="AM504" s="535">
        <v>471</v>
      </c>
      <c r="AN504" s="535">
        <v>561</v>
      </c>
      <c r="AO504" s="535">
        <v>538</v>
      </c>
      <c r="AP504" s="535">
        <v>526</v>
      </c>
      <c r="AQ504" s="535">
        <v>576</v>
      </c>
      <c r="AR504" s="535">
        <v>623</v>
      </c>
      <c r="AS504" s="535">
        <v>576</v>
      </c>
      <c r="AT504" s="535">
        <v>615</v>
      </c>
      <c r="AU504" s="535">
        <v>597</v>
      </c>
      <c r="AV504" s="535">
        <v>594</v>
      </c>
      <c r="AW504" s="535">
        <v>552</v>
      </c>
      <c r="AX504" s="535">
        <v>589</v>
      </c>
      <c r="AY504" s="535">
        <v>559</v>
      </c>
      <c r="AZ504" s="535">
        <v>543</v>
      </c>
      <c r="BA504" s="535">
        <v>551</v>
      </c>
      <c r="BB504" s="535">
        <v>596</v>
      </c>
      <c r="BC504" s="535">
        <v>626</v>
      </c>
      <c r="BD504" s="535">
        <v>555</v>
      </c>
      <c r="BE504" s="535">
        <v>470</v>
      </c>
      <c r="BF504" s="535">
        <v>555</v>
      </c>
      <c r="BG504" s="535">
        <v>559</v>
      </c>
      <c r="BH504" s="535">
        <v>569</v>
      </c>
      <c r="BI504" s="535">
        <v>603</v>
      </c>
      <c r="BJ504" s="535">
        <v>679</v>
      </c>
      <c r="BK504" s="535">
        <v>788</v>
      </c>
      <c r="BL504" s="535">
        <v>775</v>
      </c>
      <c r="BM504" s="535">
        <v>750</v>
      </c>
      <c r="BN504" s="535">
        <v>805</v>
      </c>
      <c r="BO504" s="535">
        <v>775</v>
      </c>
      <c r="BP504" s="535">
        <v>819</v>
      </c>
      <c r="BQ504" s="535">
        <v>862</v>
      </c>
      <c r="BR504" s="535">
        <v>890</v>
      </c>
      <c r="BS504" s="535">
        <v>870</v>
      </c>
      <c r="BT504" s="535">
        <v>881</v>
      </c>
      <c r="BU504" s="535">
        <v>879</v>
      </c>
      <c r="BV504" s="535">
        <v>894</v>
      </c>
      <c r="BW504" s="535">
        <v>876</v>
      </c>
      <c r="BX504" s="535">
        <v>830</v>
      </c>
      <c r="BY504" s="535">
        <v>792</v>
      </c>
      <c r="BZ504" s="535">
        <v>785</v>
      </c>
      <c r="CA504" s="535">
        <v>740</v>
      </c>
      <c r="CB504" s="535">
        <v>717</v>
      </c>
      <c r="CC504" s="535">
        <v>789</v>
      </c>
      <c r="CD504" s="535">
        <v>744</v>
      </c>
      <c r="CE504" s="535">
        <v>734</v>
      </c>
      <c r="CF504" s="535">
        <v>780</v>
      </c>
      <c r="CG504" s="535">
        <v>723</v>
      </c>
      <c r="CH504" s="535">
        <v>809</v>
      </c>
      <c r="CI504" s="535">
        <v>853</v>
      </c>
      <c r="CJ504" s="535">
        <v>851</v>
      </c>
      <c r="CK504" s="535">
        <v>673</v>
      </c>
      <c r="CL504" s="535">
        <v>628</v>
      </c>
      <c r="CM504" s="535">
        <v>602</v>
      </c>
      <c r="CN504" s="535">
        <v>548</v>
      </c>
      <c r="CO504" s="535">
        <v>479</v>
      </c>
      <c r="CP504" s="535">
        <v>400</v>
      </c>
      <c r="CQ504" s="535">
        <v>367</v>
      </c>
      <c r="CR504" s="535">
        <v>373</v>
      </c>
      <c r="CS504" s="535">
        <v>296</v>
      </c>
      <c r="CT504" s="535">
        <v>289</v>
      </c>
      <c r="CU504" s="535">
        <v>267</v>
      </c>
      <c r="CV504" s="535">
        <v>251</v>
      </c>
      <c r="CW504" s="535">
        <v>195</v>
      </c>
      <c r="CX504" s="535">
        <v>194</v>
      </c>
      <c r="CY504" s="535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">
      <c r="A505" s="30" t="s">
        <v>34</v>
      </c>
      <c r="B505" s="1" t="s">
        <v>539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535">
        <v>457</v>
      </c>
      <c r="N505" s="535">
        <v>493</v>
      </c>
      <c r="O505" s="535">
        <v>520</v>
      </c>
      <c r="P505" s="535">
        <v>480</v>
      </c>
      <c r="Q505" s="535">
        <v>486</v>
      </c>
      <c r="R505" s="535">
        <v>551</v>
      </c>
      <c r="S505" s="535">
        <v>523</v>
      </c>
      <c r="T505" s="535">
        <v>558</v>
      </c>
      <c r="U505" s="535">
        <v>524</v>
      </c>
      <c r="V505" s="535">
        <v>561</v>
      </c>
      <c r="W505" s="535">
        <v>567</v>
      </c>
      <c r="X505" s="535">
        <v>592</v>
      </c>
      <c r="Y505" s="535">
        <v>615</v>
      </c>
      <c r="Z505" s="535">
        <v>593</v>
      </c>
      <c r="AA505" s="535">
        <v>609</v>
      </c>
      <c r="AB505" s="535">
        <v>587</v>
      </c>
      <c r="AC505" s="535">
        <v>587</v>
      </c>
      <c r="AD505" s="535">
        <v>627</v>
      </c>
      <c r="AE505" s="535">
        <v>551</v>
      </c>
      <c r="AF505" s="535">
        <v>439</v>
      </c>
      <c r="AG505" s="535">
        <v>422</v>
      </c>
      <c r="AH505" s="535">
        <v>434</v>
      </c>
      <c r="AI505" s="535">
        <v>423</v>
      </c>
      <c r="AJ505" s="535">
        <v>470</v>
      </c>
      <c r="AK505" s="535">
        <v>490</v>
      </c>
      <c r="AL505" s="535">
        <v>482</v>
      </c>
      <c r="AM505" s="535">
        <v>514</v>
      </c>
      <c r="AN505" s="535">
        <v>470</v>
      </c>
      <c r="AO505" s="535">
        <v>500</v>
      </c>
      <c r="AP505" s="535">
        <v>483</v>
      </c>
      <c r="AQ505" s="535">
        <v>507</v>
      </c>
      <c r="AR505" s="535">
        <v>516</v>
      </c>
      <c r="AS505" s="535">
        <v>511</v>
      </c>
      <c r="AT505" s="535">
        <v>471</v>
      </c>
      <c r="AU505" s="535">
        <v>530</v>
      </c>
      <c r="AV505" s="535">
        <v>513</v>
      </c>
      <c r="AW505" s="535">
        <v>510</v>
      </c>
      <c r="AX505" s="535">
        <v>477</v>
      </c>
      <c r="AY505" s="535">
        <v>509</v>
      </c>
      <c r="AZ505" s="535">
        <v>424</v>
      </c>
      <c r="BA505" s="535">
        <v>488</v>
      </c>
      <c r="BB505" s="535">
        <v>496</v>
      </c>
      <c r="BC505" s="535">
        <v>500</v>
      </c>
      <c r="BD505" s="535">
        <v>478</v>
      </c>
      <c r="BE505" s="535">
        <v>422</v>
      </c>
      <c r="BF505" s="535">
        <v>464</v>
      </c>
      <c r="BG505" s="535">
        <v>515</v>
      </c>
      <c r="BH505" s="535">
        <v>516</v>
      </c>
      <c r="BI505" s="535">
        <v>525</v>
      </c>
      <c r="BJ505" s="535">
        <v>532</v>
      </c>
      <c r="BK505" s="535">
        <v>646</v>
      </c>
      <c r="BL505" s="535">
        <v>654</v>
      </c>
      <c r="BM505" s="535">
        <v>645</v>
      </c>
      <c r="BN505" s="535">
        <v>662</v>
      </c>
      <c r="BO505" s="535">
        <v>643</v>
      </c>
      <c r="BP505" s="535">
        <v>715</v>
      </c>
      <c r="BQ505" s="535">
        <v>681</v>
      </c>
      <c r="BR505" s="535">
        <v>758</v>
      </c>
      <c r="BS505" s="535">
        <v>746</v>
      </c>
      <c r="BT505" s="535">
        <v>697</v>
      </c>
      <c r="BU505" s="535">
        <v>737</v>
      </c>
      <c r="BV505" s="535">
        <v>654</v>
      </c>
      <c r="BW505" s="535">
        <v>713</v>
      </c>
      <c r="BX505" s="535">
        <v>665</v>
      </c>
      <c r="BY505" s="535">
        <v>635</v>
      </c>
      <c r="BZ505" s="535">
        <v>637</v>
      </c>
      <c r="CA505" s="535">
        <v>603</v>
      </c>
      <c r="CB505" s="535">
        <v>603</v>
      </c>
      <c r="CC505" s="535">
        <v>596</v>
      </c>
      <c r="CD505" s="535">
        <v>599</v>
      </c>
      <c r="CE505" s="535">
        <v>543</v>
      </c>
      <c r="CF505" s="535">
        <v>547</v>
      </c>
      <c r="CG505" s="535">
        <v>614</v>
      </c>
      <c r="CH505" s="535">
        <v>653</v>
      </c>
      <c r="CI505" s="535">
        <v>674</v>
      </c>
      <c r="CJ505" s="535">
        <v>666</v>
      </c>
      <c r="CK505" s="535">
        <v>469</v>
      </c>
      <c r="CL505" s="535">
        <v>446</v>
      </c>
      <c r="CM505" s="535">
        <v>473</v>
      </c>
      <c r="CN505" s="535">
        <v>443</v>
      </c>
      <c r="CO505" s="535">
        <v>359</v>
      </c>
      <c r="CP505" s="535">
        <v>328</v>
      </c>
      <c r="CQ505" s="535">
        <v>290</v>
      </c>
      <c r="CR505" s="535">
        <v>259</v>
      </c>
      <c r="CS505" s="535">
        <v>236</v>
      </c>
      <c r="CT505" s="535">
        <v>224</v>
      </c>
      <c r="CU505" s="535">
        <v>181</v>
      </c>
      <c r="CV505" s="535">
        <v>162</v>
      </c>
      <c r="CW505" s="535">
        <v>127</v>
      </c>
      <c r="CX505" s="535">
        <v>108</v>
      </c>
      <c r="CY505" s="535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">
      <c r="A506" s="30" t="s">
        <v>34</v>
      </c>
      <c r="B506" s="1" t="s">
        <v>540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535">
        <v>701</v>
      </c>
      <c r="N506" s="535">
        <v>780</v>
      </c>
      <c r="O506" s="535">
        <v>775</v>
      </c>
      <c r="P506" s="535">
        <v>770</v>
      </c>
      <c r="Q506" s="535">
        <v>817</v>
      </c>
      <c r="R506" s="535">
        <v>825</v>
      </c>
      <c r="S506" s="535">
        <v>849</v>
      </c>
      <c r="T506" s="535">
        <v>888</v>
      </c>
      <c r="U506" s="535">
        <v>904</v>
      </c>
      <c r="V506" s="535">
        <v>899</v>
      </c>
      <c r="W506" s="535">
        <v>971</v>
      </c>
      <c r="X506" s="535">
        <v>933</v>
      </c>
      <c r="Y506" s="535">
        <v>1008</v>
      </c>
      <c r="Z506" s="535">
        <v>933</v>
      </c>
      <c r="AA506" s="535">
        <v>1033</v>
      </c>
      <c r="AB506" s="535">
        <v>950</v>
      </c>
      <c r="AC506" s="535">
        <v>903</v>
      </c>
      <c r="AD506" s="535">
        <v>944</v>
      </c>
      <c r="AE506" s="535">
        <v>881</v>
      </c>
      <c r="AF506" s="535">
        <v>661</v>
      </c>
      <c r="AG506" s="535">
        <v>648</v>
      </c>
      <c r="AH506" s="535">
        <v>673</v>
      </c>
      <c r="AI506" s="535">
        <v>728</v>
      </c>
      <c r="AJ506" s="535">
        <v>844</v>
      </c>
      <c r="AK506" s="535">
        <v>853</v>
      </c>
      <c r="AL506" s="535">
        <v>829</v>
      </c>
      <c r="AM506" s="535">
        <v>799</v>
      </c>
      <c r="AN506" s="535">
        <v>822</v>
      </c>
      <c r="AO506" s="535">
        <v>837</v>
      </c>
      <c r="AP506" s="535">
        <v>879</v>
      </c>
      <c r="AQ506" s="535">
        <v>1004</v>
      </c>
      <c r="AR506" s="535">
        <v>928</v>
      </c>
      <c r="AS506" s="535">
        <v>919</v>
      </c>
      <c r="AT506" s="535">
        <v>961</v>
      </c>
      <c r="AU506" s="535">
        <v>970</v>
      </c>
      <c r="AV506" s="535">
        <v>947</v>
      </c>
      <c r="AW506" s="535">
        <v>978</v>
      </c>
      <c r="AX506" s="535">
        <v>903</v>
      </c>
      <c r="AY506" s="535">
        <v>860</v>
      </c>
      <c r="AZ506" s="535">
        <v>889</v>
      </c>
      <c r="BA506" s="535">
        <v>925</v>
      </c>
      <c r="BB506" s="535">
        <v>916</v>
      </c>
      <c r="BC506" s="535">
        <v>930</v>
      </c>
      <c r="BD506" s="535">
        <v>875</v>
      </c>
      <c r="BE506" s="535">
        <v>855</v>
      </c>
      <c r="BF506" s="535">
        <v>802</v>
      </c>
      <c r="BG506" s="535">
        <v>825</v>
      </c>
      <c r="BH506" s="535">
        <v>925</v>
      </c>
      <c r="BI506" s="535">
        <v>970</v>
      </c>
      <c r="BJ506" s="535">
        <v>989</v>
      </c>
      <c r="BK506" s="535">
        <v>1124</v>
      </c>
      <c r="BL506" s="535">
        <v>1159</v>
      </c>
      <c r="BM506" s="535">
        <v>1172</v>
      </c>
      <c r="BN506" s="535">
        <v>1222</v>
      </c>
      <c r="BO506" s="535">
        <v>1193</v>
      </c>
      <c r="BP506" s="535">
        <v>1115</v>
      </c>
      <c r="BQ506" s="535">
        <v>1116</v>
      </c>
      <c r="BR506" s="535">
        <v>1156</v>
      </c>
      <c r="BS506" s="535">
        <v>1196</v>
      </c>
      <c r="BT506" s="535">
        <v>1096</v>
      </c>
      <c r="BU506" s="535">
        <v>1149</v>
      </c>
      <c r="BV506" s="535">
        <v>1060</v>
      </c>
      <c r="BW506" s="535">
        <v>1024</v>
      </c>
      <c r="BX506" s="535">
        <v>1036</v>
      </c>
      <c r="BY506" s="535">
        <v>912</v>
      </c>
      <c r="BZ506" s="535">
        <v>883</v>
      </c>
      <c r="CA506" s="535">
        <v>867</v>
      </c>
      <c r="CB506" s="535">
        <v>793</v>
      </c>
      <c r="CC506" s="535">
        <v>812</v>
      </c>
      <c r="CD506" s="535">
        <v>850</v>
      </c>
      <c r="CE506" s="535">
        <v>761</v>
      </c>
      <c r="CF506" s="535">
        <v>877</v>
      </c>
      <c r="CG506" s="535">
        <v>832</v>
      </c>
      <c r="CH506" s="535">
        <v>891</v>
      </c>
      <c r="CI506" s="535">
        <v>922</v>
      </c>
      <c r="CJ506" s="535">
        <v>1006</v>
      </c>
      <c r="CK506" s="535">
        <v>637</v>
      </c>
      <c r="CL506" s="535">
        <v>646</v>
      </c>
      <c r="CM506" s="535">
        <v>660</v>
      </c>
      <c r="CN506" s="535">
        <v>553</v>
      </c>
      <c r="CO506" s="535">
        <v>481</v>
      </c>
      <c r="CP506" s="535">
        <v>430</v>
      </c>
      <c r="CQ506" s="535">
        <v>426</v>
      </c>
      <c r="CR506" s="535">
        <v>354</v>
      </c>
      <c r="CS506" s="535">
        <v>350</v>
      </c>
      <c r="CT506" s="535">
        <v>287</v>
      </c>
      <c r="CU506" s="535">
        <v>257</v>
      </c>
      <c r="CV506" s="535">
        <v>212</v>
      </c>
      <c r="CW506" s="535">
        <v>170</v>
      </c>
      <c r="CX506" s="535">
        <v>138</v>
      </c>
      <c r="CY506" s="535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">
      <c r="A507" s="30" t="s">
        <v>34</v>
      </c>
      <c r="B507" s="1" t="s">
        <v>541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535">
        <v>554</v>
      </c>
      <c r="N507" s="535">
        <v>518</v>
      </c>
      <c r="O507" s="535">
        <v>550</v>
      </c>
      <c r="P507" s="535">
        <v>548</v>
      </c>
      <c r="Q507" s="535">
        <v>593</v>
      </c>
      <c r="R507" s="535">
        <v>563</v>
      </c>
      <c r="S507" s="535">
        <v>656</v>
      </c>
      <c r="T507" s="535">
        <v>596</v>
      </c>
      <c r="U507" s="535">
        <v>662</v>
      </c>
      <c r="V507" s="535">
        <v>660</v>
      </c>
      <c r="W507" s="535">
        <v>664</v>
      </c>
      <c r="X507" s="535">
        <v>666</v>
      </c>
      <c r="Y507" s="535">
        <v>714</v>
      </c>
      <c r="Z507" s="535">
        <v>665</v>
      </c>
      <c r="AA507" s="535">
        <v>674</v>
      </c>
      <c r="AB507" s="535">
        <v>671</v>
      </c>
      <c r="AC507" s="535">
        <v>653</v>
      </c>
      <c r="AD507" s="535">
        <v>618</v>
      </c>
      <c r="AE507" s="535">
        <v>660</v>
      </c>
      <c r="AF507" s="535">
        <v>869</v>
      </c>
      <c r="AG507" s="535">
        <v>893</v>
      </c>
      <c r="AH507" s="535">
        <v>930</v>
      </c>
      <c r="AI507" s="535">
        <v>871</v>
      </c>
      <c r="AJ507" s="535">
        <v>777</v>
      </c>
      <c r="AK507" s="535">
        <v>709</v>
      </c>
      <c r="AL507" s="535">
        <v>648</v>
      </c>
      <c r="AM507" s="535">
        <v>637</v>
      </c>
      <c r="AN507" s="535">
        <v>635</v>
      </c>
      <c r="AO507" s="535">
        <v>676</v>
      </c>
      <c r="AP507" s="535">
        <v>659</v>
      </c>
      <c r="AQ507" s="535">
        <v>661</v>
      </c>
      <c r="AR507" s="535">
        <v>643</v>
      </c>
      <c r="AS507" s="535">
        <v>663</v>
      </c>
      <c r="AT507" s="535">
        <v>677</v>
      </c>
      <c r="AU507" s="535">
        <v>680</v>
      </c>
      <c r="AV507" s="535">
        <v>704</v>
      </c>
      <c r="AW507" s="535">
        <v>572</v>
      </c>
      <c r="AX507" s="535">
        <v>595</v>
      </c>
      <c r="AY507" s="535">
        <v>582</v>
      </c>
      <c r="AZ507" s="535">
        <v>586</v>
      </c>
      <c r="BA507" s="535">
        <v>589</v>
      </c>
      <c r="BB507" s="535">
        <v>603</v>
      </c>
      <c r="BC507" s="535">
        <v>613</v>
      </c>
      <c r="BD507" s="535">
        <v>569</v>
      </c>
      <c r="BE507" s="535">
        <v>557</v>
      </c>
      <c r="BF507" s="535">
        <v>575</v>
      </c>
      <c r="BG507" s="535">
        <v>581</v>
      </c>
      <c r="BH507" s="535">
        <v>606</v>
      </c>
      <c r="BI507" s="535">
        <v>678</v>
      </c>
      <c r="BJ507" s="535">
        <v>722</v>
      </c>
      <c r="BK507" s="535">
        <v>767</v>
      </c>
      <c r="BL507" s="535">
        <v>811</v>
      </c>
      <c r="BM507" s="535">
        <v>804</v>
      </c>
      <c r="BN507" s="535">
        <v>775</v>
      </c>
      <c r="BO507" s="535">
        <v>801</v>
      </c>
      <c r="BP507" s="535">
        <v>799</v>
      </c>
      <c r="BQ507" s="535">
        <v>858</v>
      </c>
      <c r="BR507" s="535">
        <v>866</v>
      </c>
      <c r="BS507" s="535">
        <v>874</v>
      </c>
      <c r="BT507" s="535">
        <v>888</v>
      </c>
      <c r="BU507" s="535">
        <v>867</v>
      </c>
      <c r="BV507" s="535">
        <v>849</v>
      </c>
      <c r="BW507" s="535">
        <v>771</v>
      </c>
      <c r="BX507" s="535">
        <v>768</v>
      </c>
      <c r="BY507" s="535">
        <v>811</v>
      </c>
      <c r="BZ507" s="535">
        <v>756</v>
      </c>
      <c r="CA507" s="535">
        <v>711</v>
      </c>
      <c r="CB507" s="535">
        <v>727</v>
      </c>
      <c r="CC507" s="535">
        <v>675</v>
      </c>
      <c r="CD507" s="535">
        <v>709</v>
      </c>
      <c r="CE507" s="535">
        <v>650</v>
      </c>
      <c r="CF507" s="535">
        <v>649</v>
      </c>
      <c r="CG507" s="535">
        <v>649</v>
      </c>
      <c r="CH507" s="535">
        <v>729</v>
      </c>
      <c r="CI507" s="535">
        <v>764</v>
      </c>
      <c r="CJ507" s="535">
        <v>736</v>
      </c>
      <c r="CK507" s="535">
        <v>589</v>
      </c>
      <c r="CL507" s="535">
        <v>522</v>
      </c>
      <c r="CM507" s="535">
        <v>521</v>
      </c>
      <c r="CN507" s="535">
        <v>483</v>
      </c>
      <c r="CO507" s="535">
        <v>379</v>
      </c>
      <c r="CP507" s="535">
        <v>308</v>
      </c>
      <c r="CQ507" s="535">
        <v>331</v>
      </c>
      <c r="CR507" s="535">
        <v>327</v>
      </c>
      <c r="CS507" s="535">
        <v>274</v>
      </c>
      <c r="CT507" s="535">
        <v>248</v>
      </c>
      <c r="CU507" s="535">
        <v>221</v>
      </c>
      <c r="CV507" s="535">
        <v>181</v>
      </c>
      <c r="CW507" s="535">
        <v>162</v>
      </c>
      <c r="CX507" s="535">
        <v>135</v>
      </c>
      <c r="CY507" s="535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">
      <c r="A508" s="30" t="s">
        <v>34</v>
      </c>
      <c r="B508" s="1" t="s">
        <v>542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535">
        <v>273</v>
      </c>
      <c r="N508" s="535">
        <v>322</v>
      </c>
      <c r="O508" s="535">
        <v>305</v>
      </c>
      <c r="P508" s="535">
        <v>320</v>
      </c>
      <c r="Q508" s="535">
        <v>334</v>
      </c>
      <c r="R508" s="535">
        <v>383</v>
      </c>
      <c r="S508" s="535">
        <v>383</v>
      </c>
      <c r="T508" s="535">
        <v>361</v>
      </c>
      <c r="U508" s="535">
        <v>383</v>
      </c>
      <c r="V508" s="535">
        <v>411</v>
      </c>
      <c r="W508" s="535">
        <v>394</v>
      </c>
      <c r="X508" s="535">
        <v>440</v>
      </c>
      <c r="Y508" s="535">
        <v>405</v>
      </c>
      <c r="Z508" s="535">
        <v>438</v>
      </c>
      <c r="AA508" s="535">
        <v>385</v>
      </c>
      <c r="AB508" s="535">
        <v>392</v>
      </c>
      <c r="AC508" s="535">
        <v>391</v>
      </c>
      <c r="AD508" s="535">
        <v>389</v>
      </c>
      <c r="AE508" s="535">
        <v>348</v>
      </c>
      <c r="AF508" s="535">
        <v>299</v>
      </c>
      <c r="AG508" s="535">
        <v>302</v>
      </c>
      <c r="AH508" s="535">
        <v>273</v>
      </c>
      <c r="AI508" s="535">
        <v>297</v>
      </c>
      <c r="AJ508" s="535">
        <v>367</v>
      </c>
      <c r="AK508" s="535">
        <v>299</v>
      </c>
      <c r="AL508" s="535">
        <v>316</v>
      </c>
      <c r="AM508" s="535">
        <v>341</v>
      </c>
      <c r="AN508" s="535">
        <v>319</v>
      </c>
      <c r="AO508" s="535">
        <v>363</v>
      </c>
      <c r="AP508" s="535">
        <v>338</v>
      </c>
      <c r="AQ508" s="535">
        <v>332</v>
      </c>
      <c r="AR508" s="535">
        <v>349</v>
      </c>
      <c r="AS508" s="535">
        <v>346</v>
      </c>
      <c r="AT508" s="535">
        <v>349</v>
      </c>
      <c r="AU508" s="535">
        <v>381</v>
      </c>
      <c r="AV508" s="535">
        <v>373</v>
      </c>
      <c r="AW508" s="535">
        <v>310</v>
      </c>
      <c r="AX508" s="535">
        <v>347</v>
      </c>
      <c r="AY508" s="535">
        <v>371</v>
      </c>
      <c r="AZ508" s="535">
        <v>328</v>
      </c>
      <c r="BA508" s="535">
        <v>331</v>
      </c>
      <c r="BB508" s="535">
        <v>346</v>
      </c>
      <c r="BC508" s="535">
        <v>345</v>
      </c>
      <c r="BD508" s="535">
        <v>373</v>
      </c>
      <c r="BE508" s="535">
        <v>321</v>
      </c>
      <c r="BF508" s="535">
        <v>306</v>
      </c>
      <c r="BG508" s="535">
        <v>326</v>
      </c>
      <c r="BH508" s="535">
        <v>357</v>
      </c>
      <c r="BI508" s="535">
        <v>373</v>
      </c>
      <c r="BJ508" s="535">
        <v>436</v>
      </c>
      <c r="BK508" s="535">
        <v>448</v>
      </c>
      <c r="BL508" s="535">
        <v>493</v>
      </c>
      <c r="BM508" s="535">
        <v>440</v>
      </c>
      <c r="BN508" s="535">
        <v>466</v>
      </c>
      <c r="BO508" s="535">
        <v>481</v>
      </c>
      <c r="BP508" s="535">
        <v>523</v>
      </c>
      <c r="BQ508" s="535">
        <v>490</v>
      </c>
      <c r="BR508" s="535">
        <v>546</v>
      </c>
      <c r="BS508" s="535">
        <v>515</v>
      </c>
      <c r="BT508" s="535">
        <v>563</v>
      </c>
      <c r="BU508" s="535">
        <v>503</v>
      </c>
      <c r="BV508" s="535">
        <v>511</v>
      </c>
      <c r="BW508" s="535">
        <v>539</v>
      </c>
      <c r="BX508" s="535">
        <v>521</v>
      </c>
      <c r="BY508" s="535">
        <v>482</v>
      </c>
      <c r="BZ508" s="535">
        <v>468</v>
      </c>
      <c r="CA508" s="535">
        <v>489</v>
      </c>
      <c r="CB508" s="535">
        <v>476</v>
      </c>
      <c r="CC508" s="535">
        <v>458</v>
      </c>
      <c r="CD508" s="535">
        <v>460</v>
      </c>
      <c r="CE508" s="535">
        <v>458</v>
      </c>
      <c r="CF508" s="535">
        <v>438</v>
      </c>
      <c r="CG508" s="535">
        <v>468</v>
      </c>
      <c r="CH508" s="535">
        <v>490</v>
      </c>
      <c r="CI508" s="535">
        <v>504</v>
      </c>
      <c r="CJ508" s="535">
        <v>484</v>
      </c>
      <c r="CK508" s="535">
        <v>343</v>
      </c>
      <c r="CL508" s="535">
        <v>365</v>
      </c>
      <c r="CM508" s="535">
        <v>374</v>
      </c>
      <c r="CN508" s="535">
        <v>344</v>
      </c>
      <c r="CO508" s="535">
        <v>273</v>
      </c>
      <c r="CP508" s="535">
        <v>244</v>
      </c>
      <c r="CQ508" s="535">
        <v>233</v>
      </c>
      <c r="CR508" s="535">
        <v>249</v>
      </c>
      <c r="CS508" s="535">
        <v>194</v>
      </c>
      <c r="CT508" s="535">
        <v>174</v>
      </c>
      <c r="CU508" s="535">
        <v>143</v>
      </c>
      <c r="CV508" s="535">
        <v>115</v>
      </c>
      <c r="CW508" s="535">
        <v>82</v>
      </c>
      <c r="CX508" s="535">
        <v>77</v>
      </c>
      <c r="CY508" s="535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">
      <c r="A509" s="30" t="s">
        <v>34</v>
      </c>
      <c r="B509" s="1" t="s">
        <v>543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535">
        <v>322</v>
      </c>
      <c r="N509" s="535">
        <v>325</v>
      </c>
      <c r="O509" s="535">
        <v>329</v>
      </c>
      <c r="P509" s="535">
        <v>309</v>
      </c>
      <c r="Q509" s="535">
        <v>371</v>
      </c>
      <c r="R509" s="535">
        <v>402</v>
      </c>
      <c r="S509" s="535">
        <v>381</v>
      </c>
      <c r="T509" s="535">
        <v>384</v>
      </c>
      <c r="U509" s="535">
        <v>350</v>
      </c>
      <c r="V509" s="535">
        <v>355</v>
      </c>
      <c r="W509" s="535">
        <v>378</v>
      </c>
      <c r="X509" s="535">
        <v>405</v>
      </c>
      <c r="Y509" s="535">
        <v>360</v>
      </c>
      <c r="Z509" s="535">
        <v>363</v>
      </c>
      <c r="AA509" s="535">
        <v>375</v>
      </c>
      <c r="AB509" s="535">
        <v>379</v>
      </c>
      <c r="AC509" s="535">
        <v>337</v>
      </c>
      <c r="AD509" s="535">
        <v>307</v>
      </c>
      <c r="AE509" s="535">
        <v>319</v>
      </c>
      <c r="AF509" s="535">
        <v>333</v>
      </c>
      <c r="AG509" s="535">
        <v>297</v>
      </c>
      <c r="AH509" s="535">
        <v>289</v>
      </c>
      <c r="AI509" s="535">
        <v>333</v>
      </c>
      <c r="AJ509" s="535">
        <v>329</v>
      </c>
      <c r="AK509" s="535">
        <v>314</v>
      </c>
      <c r="AL509" s="535">
        <v>356</v>
      </c>
      <c r="AM509" s="535">
        <v>342</v>
      </c>
      <c r="AN509" s="535">
        <v>329</v>
      </c>
      <c r="AO509" s="535">
        <v>375</v>
      </c>
      <c r="AP509" s="535">
        <v>373</v>
      </c>
      <c r="AQ509" s="535">
        <v>362</v>
      </c>
      <c r="AR509" s="535">
        <v>382</v>
      </c>
      <c r="AS509" s="535">
        <v>390</v>
      </c>
      <c r="AT509" s="535">
        <v>371</v>
      </c>
      <c r="AU509" s="535">
        <v>386</v>
      </c>
      <c r="AV509" s="535">
        <v>397</v>
      </c>
      <c r="AW509" s="535">
        <v>396</v>
      </c>
      <c r="AX509" s="535">
        <v>417</v>
      </c>
      <c r="AY509" s="535">
        <v>405</v>
      </c>
      <c r="AZ509" s="535">
        <v>353</v>
      </c>
      <c r="BA509" s="535">
        <v>345</v>
      </c>
      <c r="BB509" s="535">
        <v>368</v>
      </c>
      <c r="BC509" s="535">
        <v>386</v>
      </c>
      <c r="BD509" s="535">
        <v>340</v>
      </c>
      <c r="BE509" s="535">
        <v>284</v>
      </c>
      <c r="BF509" s="535">
        <v>280</v>
      </c>
      <c r="BG509" s="535">
        <v>319</v>
      </c>
      <c r="BH509" s="535">
        <v>331</v>
      </c>
      <c r="BI509" s="535">
        <v>303</v>
      </c>
      <c r="BJ509" s="535">
        <v>340</v>
      </c>
      <c r="BK509" s="535">
        <v>362</v>
      </c>
      <c r="BL509" s="535">
        <v>394</v>
      </c>
      <c r="BM509" s="535">
        <v>378</v>
      </c>
      <c r="BN509" s="535">
        <v>423</v>
      </c>
      <c r="BO509" s="535">
        <v>387</v>
      </c>
      <c r="BP509" s="535">
        <v>385</v>
      </c>
      <c r="BQ509" s="535">
        <v>419</v>
      </c>
      <c r="BR509" s="535">
        <v>416</v>
      </c>
      <c r="BS509" s="535">
        <v>421</v>
      </c>
      <c r="BT509" s="535">
        <v>381</v>
      </c>
      <c r="BU509" s="535">
        <v>405</v>
      </c>
      <c r="BV509" s="535">
        <v>379</v>
      </c>
      <c r="BW509" s="535">
        <v>383</v>
      </c>
      <c r="BX509" s="535">
        <v>405</v>
      </c>
      <c r="BY509" s="535">
        <v>393</v>
      </c>
      <c r="BZ509" s="535">
        <v>324</v>
      </c>
      <c r="CA509" s="535">
        <v>306</v>
      </c>
      <c r="CB509" s="535">
        <v>295</v>
      </c>
      <c r="CC509" s="535">
        <v>323</v>
      </c>
      <c r="CD509" s="535">
        <v>301</v>
      </c>
      <c r="CE509" s="535">
        <v>295</v>
      </c>
      <c r="CF509" s="535">
        <v>300</v>
      </c>
      <c r="CG509" s="535">
        <v>276</v>
      </c>
      <c r="CH509" s="535">
        <v>314</v>
      </c>
      <c r="CI509" s="535">
        <v>295</v>
      </c>
      <c r="CJ509" s="535">
        <v>264</v>
      </c>
      <c r="CK509" s="535">
        <v>208</v>
      </c>
      <c r="CL509" s="535">
        <v>225</v>
      </c>
      <c r="CM509" s="535">
        <v>219</v>
      </c>
      <c r="CN509" s="535">
        <v>190</v>
      </c>
      <c r="CO509" s="535">
        <v>177</v>
      </c>
      <c r="CP509" s="535">
        <v>123</v>
      </c>
      <c r="CQ509" s="535">
        <v>131</v>
      </c>
      <c r="CR509" s="535">
        <v>119</v>
      </c>
      <c r="CS509" s="535">
        <v>109</v>
      </c>
      <c r="CT509" s="535">
        <v>95</v>
      </c>
      <c r="CU509" s="535">
        <v>84</v>
      </c>
      <c r="CV509" s="535">
        <v>76</v>
      </c>
      <c r="CW509" s="535">
        <v>50</v>
      </c>
      <c r="CX509" s="535">
        <v>44</v>
      </c>
      <c r="CY509" s="535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">
      <c r="A510" s="30" t="s">
        <v>34</v>
      </c>
      <c r="B510" s="1" t="s">
        <v>544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535">
        <v>377</v>
      </c>
      <c r="N510" s="535">
        <v>383</v>
      </c>
      <c r="O510" s="535">
        <v>404</v>
      </c>
      <c r="P510" s="535">
        <v>394</v>
      </c>
      <c r="Q510" s="535">
        <v>447</v>
      </c>
      <c r="R510" s="535">
        <v>478</v>
      </c>
      <c r="S510" s="535">
        <v>490</v>
      </c>
      <c r="T510" s="535">
        <v>485</v>
      </c>
      <c r="U510" s="535">
        <v>489</v>
      </c>
      <c r="V510" s="535">
        <v>501</v>
      </c>
      <c r="W510" s="535">
        <v>531</v>
      </c>
      <c r="X510" s="535">
        <v>542</v>
      </c>
      <c r="Y510" s="535">
        <v>515</v>
      </c>
      <c r="Z510" s="535">
        <v>563</v>
      </c>
      <c r="AA510" s="535">
        <v>550</v>
      </c>
      <c r="AB510" s="535">
        <v>559</v>
      </c>
      <c r="AC510" s="535">
        <v>524</v>
      </c>
      <c r="AD510" s="535">
        <v>545</v>
      </c>
      <c r="AE510" s="535">
        <v>490</v>
      </c>
      <c r="AF510" s="535">
        <v>319</v>
      </c>
      <c r="AG510" s="535">
        <v>335</v>
      </c>
      <c r="AH510" s="535">
        <v>372</v>
      </c>
      <c r="AI510" s="535">
        <v>418</v>
      </c>
      <c r="AJ510" s="535">
        <v>441</v>
      </c>
      <c r="AK510" s="535">
        <v>398</v>
      </c>
      <c r="AL510" s="535">
        <v>495</v>
      </c>
      <c r="AM510" s="535">
        <v>449</v>
      </c>
      <c r="AN510" s="535">
        <v>462</v>
      </c>
      <c r="AO510" s="535">
        <v>457</v>
      </c>
      <c r="AP510" s="535">
        <v>442</v>
      </c>
      <c r="AQ510" s="535">
        <v>500</v>
      </c>
      <c r="AR510" s="535">
        <v>537</v>
      </c>
      <c r="AS510" s="535">
        <v>477</v>
      </c>
      <c r="AT510" s="535">
        <v>516</v>
      </c>
      <c r="AU510" s="535">
        <v>453</v>
      </c>
      <c r="AV510" s="535">
        <v>485</v>
      </c>
      <c r="AW510" s="535">
        <v>490</v>
      </c>
      <c r="AX510" s="535">
        <v>484</v>
      </c>
      <c r="AY510" s="535">
        <v>482</v>
      </c>
      <c r="AZ510" s="535">
        <v>486</v>
      </c>
      <c r="BA510" s="535">
        <v>499</v>
      </c>
      <c r="BB510" s="535">
        <v>471</v>
      </c>
      <c r="BC510" s="535">
        <v>509</v>
      </c>
      <c r="BD510" s="535">
        <v>520</v>
      </c>
      <c r="BE510" s="535">
        <v>463</v>
      </c>
      <c r="BF510" s="535">
        <v>519</v>
      </c>
      <c r="BG510" s="535">
        <v>496</v>
      </c>
      <c r="BH510" s="535">
        <v>549</v>
      </c>
      <c r="BI510" s="535">
        <v>538</v>
      </c>
      <c r="BJ510" s="535">
        <v>592</v>
      </c>
      <c r="BK510" s="535">
        <v>667</v>
      </c>
      <c r="BL510" s="535">
        <v>708</v>
      </c>
      <c r="BM510" s="535">
        <v>648</v>
      </c>
      <c r="BN510" s="535">
        <v>693</v>
      </c>
      <c r="BO510" s="535">
        <v>749</v>
      </c>
      <c r="BP510" s="535">
        <v>752</v>
      </c>
      <c r="BQ510" s="535">
        <v>784</v>
      </c>
      <c r="BR510" s="535">
        <v>766</v>
      </c>
      <c r="BS510" s="535">
        <v>756</v>
      </c>
      <c r="BT510" s="535">
        <v>782</v>
      </c>
      <c r="BU510" s="535">
        <v>721</v>
      </c>
      <c r="BV510" s="535">
        <v>717</v>
      </c>
      <c r="BW510" s="535">
        <v>665</v>
      </c>
      <c r="BX510" s="535">
        <v>635</v>
      </c>
      <c r="BY510" s="535">
        <v>685</v>
      </c>
      <c r="BZ510" s="535">
        <v>628</v>
      </c>
      <c r="CA510" s="535">
        <v>575</v>
      </c>
      <c r="CB510" s="535">
        <v>602</v>
      </c>
      <c r="CC510" s="535">
        <v>554</v>
      </c>
      <c r="CD510" s="535">
        <v>603</v>
      </c>
      <c r="CE510" s="535">
        <v>611</v>
      </c>
      <c r="CF510" s="535">
        <v>578</v>
      </c>
      <c r="CG510" s="535">
        <v>625</v>
      </c>
      <c r="CH510" s="535">
        <v>605</v>
      </c>
      <c r="CI510" s="535">
        <v>606</v>
      </c>
      <c r="CJ510" s="535">
        <v>658</v>
      </c>
      <c r="CK510" s="535">
        <v>487</v>
      </c>
      <c r="CL510" s="535">
        <v>470</v>
      </c>
      <c r="CM510" s="535">
        <v>490</v>
      </c>
      <c r="CN510" s="535">
        <v>437</v>
      </c>
      <c r="CO510" s="535">
        <v>368</v>
      </c>
      <c r="CP510" s="535">
        <v>310</v>
      </c>
      <c r="CQ510" s="535">
        <v>342</v>
      </c>
      <c r="CR510" s="535">
        <v>275</v>
      </c>
      <c r="CS510" s="535">
        <v>241</v>
      </c>
      <c r="CT510" s="535">
        <v>224</v>
      </c>
      <c r="CU510" s="535">
        <v>217</v>
      </c>
      <c r="CV510" s="535">
        <v>168</v>
      </c>
      <c r="CW510" s="535">
        <v>170</v>
      </c>
      <c r="CX510" s="535">
        <v>145</v>
      </c>
      <c r="CY510" s="535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">
      <c r="A511" s="30" t="s">
        <v>34</v>
      </c>
      <c r="B511" s="1" t="s">
        <v>545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535">
        <v>636</v>
      </c>
      <c r="N511" s="535">
        <v>642</v>
      </c>
      <c r="O511" s="535">
        <v>647</v>
      </c>
      <c r="P511" s="535">
        <v>707</v>
      </c>
      <c r="Q511" s="535">
        <v>762</v>
      </c>
      <c r="R511" s="535">
        <v>761</v>
      </c>
      <c r="S511" s="535">
        <v>825</v>
      </c>
      <c r="T511" s="535">
        <v>811</v>
      </c>
      <c r="U511" s="535">
        <v>818</v>
      </c>
      <c r="V511" s="535">
        <v>783</v>
      </c>
      <c r="W511" s="535">
        <v>915</v>
      </c>
      <c r="X511" s="535">
        <v>922</v>
      </c>
      <c r="Y511" s="535">
        <v>869</v>
      </c>
      <c r="Z511" s="535">
        <v>864</v>
      </c>
      <c r="AA511" s="535">
        <v>873</v>
      </c>
      <c r="AB511" s="535">
        <v>854</v>
      </c>
      <c r="AC511" s="535">
        <v>858</v>
      </c>
      <c r="AD511" s="535">
        <v>823</v>
      </c>
      <c r="AE511" s="535">
        <v>958</v>
      </c>
      <c r="AF511" s="535">
        <v>1502</v>
      </c>
      <c r="AG511" s="535">
        <v>878</v>
      </c>
      <c r="AH511" s="535">
        <v>667</v>
      </c>
      <c r="AI511" s="535">
        <v>607</v>
      </c>
      <c r="AJ511" s="535">
        <v>701</v>
      </c>
      <c r="AK511" s="535">
        <v>688</v>
      </c>
      <c r="AL511" s="535">
        <v>776</v>
      </c>
      <c r="AM511" s="535">
        <v>789</v>
      </c>
      <c r="AN511" s="535">
        <v>806</v>
      </c>
      <c r="AO511" s="535">
        <v>797</v>
      </c>
      <c r="AP511" s="535">
        <v>829</v>
      </c>
      <c r="AQ511" s="535">
        <v>904</v>
      </c>
      <c r="AR511" s="535">
        <v>851</v>
      </c>
      <c r="AS511" s="535">
        <v>855</v>
      </c>
      <c r="AT511" s="535">
        <v>855</v>
      </c>
      <c r="AU511" s="535">
        <v>825</v>
      </c>
      <c r="AV511" s="535">
        <v>845</v>
      </c>
      <c r="AW511" s="535">
        <v>903</v>
      </c>
      <c r="AX511" s="535">
        <v>859</v>
      </c>
      <c r="AY511" s="535">
        <v>868</v>
      </c>
      <c r="AZ511" s="535">
        <v>830</v>
      </c>
      <c r="BA511" s="535">
        <v>830</v>
      </c>
      <c r="BB511" s="535">
        <v>850</v>
      </c>
      <c r="BC511" s="535">
        <v>826</v>
      </c>
      <c r="BD511" s="535">
        <v>853</v>
      </c>
      <c r="BE511" s="535">
        <v>809</v>
      </c>
      <c r="BF511" s="535">
        <v>756</v>
      </c>
      <c r="BG511" s="535">
        <v>746</v>
      </c>
      <c r="BH511" s="535">
        <v>825</v>
      </c>
      <c r="BI511" s="535">
        <v>777</v>
      </c>
      <c r="BJ511" s="535">
        <v>849</v>
      </c>
      <c r="BK511" s="535">
        <v>862</v>
      </c>
      <c r="BL511" s="535">
        <v>954</v>
      </c>
      <c r="BM511" s="535">
        <v>904</v>
      </c>
      <c r="BN511" s="535">
        <v>948</v>
      </c>
      <c r="BO511" s="535">
        <v>1003</v>
      </c>
      <c r="BP511" s="535">
        <v>945</v>
      </c>
      <c r="BQ511" s="535">
        <v>984</v>
      </c>
      <c r="BR511" s="535">
        <v>991</v>
      </c>
      <c r="BS511" s="535">
        <v>1043</v>
      </c>
      <c r="BT511" s="535">
        <v>992</v>
      </c>
      <c r="BU511" s="535">
        <v>975</v>
      </c>
      <c r="BV511" s="535">
        <v>943</v>
      </c>
      <c r="BW511" s="535">
        <v>960</v>
      </c>
      <c r="BX511" s="535">
        <v>888</v>
      </c>
      <c r="BY511" s="535">
        <v>1006</v>
      </c>
      <c r="BZ511" s="535">
        <v>870</v>
      </c>
      <c r="CA511" s="535">
        <v>796</v>
      </c>
      <c r="CB511" s="535">
        <v>802</v>
      </c>
      <c r="CC511" s="535">
        <v>793</v>
      </c>
      <c r="CD511" s="535">
        <v>815</v>
      </c>
      <c r="CE511" s="535">
        <v>772</v>
      </c>
      <c r="CF511" s="535">
        <v>725</v>
      </c>
      <c r="CG511" s="535">
        <v>778</v>
      </c>
      <c r="CH511" s="535">
        <v>746</v>
      </c>
      <c r="CI511" s="535">
        <v>847</v>
      </c>
      <c r="CJ511" s="535">
        <v>799</v>
      </c>
      <c r="CK511" s="535">
        <v>579</v>
      </c>
      <c r="CL511" s="535">
        <v>577</v>
      </c>
      <c r="CM511" s="535">
        <v>556</v>
      </c>
      <c r="CN511" s="535">
        <v>505</v>
      </c>
      <c r="CO511" s="535">
        <v>452</v>
      </c>
      <c r="CP511" s="535">
        <v>360</v>
      </c>
      <c r="CQ511" s="535">
        <v>384</v>
      </c>
      <c r="CR511" s="535">
        <v>318</v>
      </c>
      <c r="CS511" s="535">
        <v>294</v>
      </c>
      <c r="CT511" s="535">
        <v>260</v>
      </c>
      <c r="CU511" s="535">
        <v>226</v>
      </c>
      <c r="CV511" s="535">
        <v>183</v>
      </c>
      <c r="CW511" s="535">
        <v>177</v>
      </c>
      <c r="CX511" s="535">
        <v>127</v>
      </c>
      <c r="CY511" s="535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">
      <c r="A512" s="30" t="s">
        <v>34</v>
      </c>
      <c r="B512" s="1" t="s">
        <v>546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535">
        <v>1002</v>
      </c>
      <c r="N512" s="535">
        <v>958</v>
      </c>
      <c r="O512" s="535">
        <v>993</v>
      </c>
      <c r="P512" s="535">
        <v>1033</v>
      </c>
      <c r="Q512" s="535">
        <v>1002</v>
      </c>
      <c r="R512" s="535">
        <v>1014</v>
      </c>
      <c r="S512" s="535">
        <v>1196</v>
      </c>
      <c r="T512" s="535">
        <v>1083</v>
      </c>
      <c r="U512" s="535">
        <v>1043</v>
      </c>
      <c r="V512" s="535">
        <v>1089</v>
      </c>
      <c r="W512" s="535">
        <v>1039</v>
      </c>
      <c r="X512" s="535">
        <v>1059</v>
      </c>
      <c r="Y512" s="535">
        <v>1048</v>
      </c>
      <c r="Z512" s="535">
        <v>1123</v>
      </c>
      <c r="AA512" s="535">
        <v>1128</v>
      </c>
      <c r="AB512" s="535">
        <v>945</v>
      </c>
      <c r="AC512" s="535">
        <v>940</v>
      </c>
      <c r="AD512" s="535">
        <v>952</v>
      </c>
      <c r="AE512" s="535">
        <v>969</v>
      </c>
      <c r="AF512" s="535">
        <v>782</v>
      </c>
      <c r="AG512" s="535">
        <v>699</v>
      </c>
      <c r="AH512" s="535">
        <v>774</v>
      </c>
      <c r="AI512" s="535">
        <v>881</v>
      </c>
      <c r="AJ512" s="535">
        <v>985</v>
      </c>
      <c r="AK512" s="535">
        <v>959</v>
      </c>
      <c r="AL512" s="535">
        <v>1027</v>
      </c>
      <c r="AM512" s="535">
        <v>1005</v>
      </c>
      <c r="AN512" s="535">
        <v>1020</v>
      </c>
      <c r="AO512" s="535">
        <v>1076</v>
      </c>
      <c r="AP512" s="535">
        <v>1245</v>
      </c>
      <c r="AQ512" s="535">
        <v>1220</v>
      </c>
      <c r="AR512" s="535">
        <v>1265</v>
      </c>
      <c r="AS512" s="535">
        <v>1169</v>
      </c>
      <c r="AT512" s="535">
        <v>1279</v>
      </c>
      <c r="AU512" s="535">
        <v>1332</v>
      </c>
      <c r="AV512" s="535">
        <v>1215</v>
      </c>
      <c r="AW512" s="535">
        <v>1185</v>
      </c>
      <c r="AX512" s="535">
        <v>1259</v>
      </c>
      <c r="AY512" s="535">
        <v>1143</v>
      </c>
      <c r="AZ512" s="535">
        <v>1017</v>
      </c>
      <c r="BA512" s="535">
        <v>1038</v>
      </c>
      <c r="BB512" s="535">
        <v>1044</v>
      </c>
      <c r="BC512" s="535">
        <v>1120</v>
      </c>
      <c r="BD512" s="535">
        <v>1055</v>
      </c>
      <c r="BE512" s="535">
        <v>942</v>
      </c>
      <c r="BF512" s="535">
        <v>907</v>
      </c>
      <c r="BG512" s="535">
        <v>917</v>
      </c>
      <c r="BH512" s="535">
        <v>953</v>
      </c>
      <c r="BI512" s="535">
        <v>944</v>
      </c>
      <c r="BJ512" s="535">
        <v>996</v>
      </c>
      <c r="BK512" s="535">
        <v>980</v>
      </c>
      <c r="BL512" s="535">
        <v>1095</v>
      </c>
      <c r="BM512" s="535">
        <v>1067</v>
      </c>
      <c r="BN512" s="535">
        <v>1100</v>
      </c>
      <c r="BO512" s="535">
        <v>948</v>
      </c>
      <c r="BP512" s="535">
        <v>1070</v>
      </c>
      <c r="BQ512" s="535">
        <v>1067</v>
      </c>
      <c r="BR512" s="535">
        <v>1053</v>
      </c>
      <c r="BS512" s="535">
        <v>1041</v>
      </c>
      <c r="BT512" s="535">
        <v>1021</v>
      </c>
      <c r="BU512" s="535">
        <v>935</v>
      </c>
      <c r="BV512" s="535">
        <v>982</v>
      </c>
      <c r="BW512" s="535">
        <v>893</v>
      </c>
      <c r="BX512" s="535">
        <v>964</v>
      </c>
      <c r="BY512" s="535">
        <v>829</v>
      </c>
      <c r="BZ512" s="535">
        <v>800</v>
      </c>
      <c r="CA512" s="535">
        <v>680</v>
      </c>
      <c r="CB512" s="535">
        <v>675</v>
      </c>
      <c r="CC512" s="535">
        <v>724</v>
      </c>
      <c r="CD512" s="535">
        <v>751</v>
      </c>
      <c r="CE512" s="535">
        <v>678</v>
      </c>
      <c r="CF512" s="535">
        <v>607</v>
      </c>
      <c r="CG512" s="535">
        <v>654</v>
      </c>
      <c r="CH512" s="535">
        <v>620</v>
      </c>
      <c r="CI512" s="535">
        <v>701</v>
      </c>
      <c r="CJ512" s="535">
        <v>753</v>
      </c>
      <c r="CK512" s="535">
        <v>517</v>
      </c>
      <c r="CL512" s="535">
        <v>519</v>
      </c>
      <c r="CM512" s="535">
        <v>492</v>
      </c>
      <c r="CN512" s="535">
        <v>470</v>
      </c>
      <c r="CO512" s="535">
        <v>374</v>
      </c>
      <c r="CP512" s="535">
        <v>319</v>
      </c>
      <c r="CQ512" s="535">
        <v>324</v>
      </c>
      <c r="CR512" s="535">
        <v>314</v>
      </c>
      <c r="CS512" s="535">
        <v>256</v>
      </c>
      <c r="CT512" s="535">
        <v>240</v>
      </c>
      <c r="CU512" s="535">
        <v>230</v>
      </c>
      <c r="CV512" s="535">
        <v>172</v>
      </c>
      <c r="CW512" s="535">
        <v>142</v>
      </c>
      <c r="CX512" s="535">
        <v>117</v>
      </c>
      <c r="CY512" s="535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">
      <c r="A513" s="30" t="s">
        <v>34</v>
      </c>
      <c r="B513" s="1" t="s">
        <v>547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535">
        <v>547</v>
      </c>
      <c r="N513" s="535">
        <v>541</v>
      </c>
      <c r="O513" s="535">
        <v>560</v>
      </c>
      <c r="P513" s="535">
        <v>587</v>
      </c>
      <c r="Q513" s="535">
        <v>646</v>
      </c>
      <c r="R513" s="535">
        <v>630</v>
      </c>
      <c r="S513" s="535">
        <v>657</v>
      </c>
      <c r="T513" s="535">
        <v>695</v>
      </c>
      <c r="U513" s="535">
        <v>700</v>
      </c>
      <c r="V513" s="535">
        <v>693</v>
      </c>
      <c r="W513" s="535">
        <v>704</v>
      </c>
      <c r="X513" s="535">
        <v>745</v>
      </c>
      <c r="Y513" s="535">
        <v>723</v>
      </c>
      <c r="Z513" s="535">
        <v>691</v>
      </c>
      <c r="AA513" s="535">
        <v>785</v>
      </c>
      <c r="AB513" s="535">
        <v>690</v>
      </c>
      <c r="AC513" s="535">
        <v>779</v>
      </c>
      <c r="AD513" s="535">
        <v>726</v>
      </c>
      <c r="AE513" s="535">
        <v>659</v>
      </c>
      <c r="AF513" s="535">
        <v>545</v>
      </c>
      <c r="AG513" s="535">
        <v>505</v>
      </c>
      <c r="AH513" s="535">
        <v>573</v>
      </c>
      <c r="AI513" s="535">
        <v>608</v>
      </c>
      <c r="AJ513" s="535">
        <v>603</v>
      </c>
      <c r="AK513" s="535">
        <v>650</v>
      </c>
      <c r="AL513" s="535">
        <v>681</v>
      </c>
      <c r="AM513" s="535">
        <v>604</v>
      </c>
      <c r="AN513" s="535">
        <v>539</v>
      </c>
      <c r="AO513" s="535">
        <v>615</v>
      </c>
      <c r="AP513" s="535">
        <v>649</v>
      </c>
      <c r="AQ513" s="535">
        <v>715</v>
      </c>
      <c r="AR513" s="535">
        <v>687</v>
      </c>
      <c r="AS513" s="535">
        <v>631</v>
      </c>
      <c r="AT513" s="535">
        <v>601</v>
      </c>
      <c r="AU513" s="535">
        <v>686</v>
      </c>
      <c r="AV513" s="535">
        <v>659</v>
      </c>
      <c r="AW513" s="535">
        <v>623</v>
      </c>
      <c r="AX513" s="535">
        <v>623</v>
      </c>
      <c r="AY513" s="535">
        <v>614</v>
      </c>
      <c r="AZ513" s="535">
        <v>608</v>
      </c>
      <c r="BA513" s="535">
        <v>609</v>
      </c>
      <c r="BB513" s="535">
        <v>629</v>
      </c>
      <c r="BC513" s="535">
        <v>647</v>
      </c>
      <c r="BD513" s="535">
        <v>626</v>
      </c>
      <c r="BE513" s="535">
        <v>583</v>
      </c>
      <c r="BF513" s="535">
        <v>542</v>
      </c>
      <c r="BG513" s="535">
        <v>580</v>
      </c>
      <c r="BH513" s="535">
        <v>603</v>
      </c>
      <c r="BI513" s="535">
        <v>639</v>
      </c>
      <c r="BJ513" s="535">
        <v>703</v>
      </c>
      <c r="BK513" s="535">
        <v>754</v>
      </c>
      <c r="BL513" s="535">
        <v>757</v>
      </c>
      <c r="BM513" s="535">
        <v>818</v>
      </c>
      <c r="BN513" s="535">
        <v>808</v>
      </c>
      <c r="BO513" s="535">
        <v>855</v>
      </c>
      <c r="BP513" s="535">
        <v>905</v>
      </c>
      <c r="BQ513" s="535">
        <v>926</v>
      </c>
      <c r="BR513" s="535">
        <v>915</v>
      </c>
      <c r="BS513" s="535">
        <v>887</v>
      </c>
      <c r="BT513" s="535">
        <v>1009</v>
      </c>
      <c r="BU513" s="535">
        <v>967</v>
      </c>
      <c r="BV513" s="535">
        <v>914</v>
      </c>
      <c r="BW513" s="535">
        <v>904</v>
      </c>
      <c r="BX513" s="535">
        <v>952</v>
      </c>
      <c r="BY513" s="535">
        <v>893</v>
      </c>
      <c r="BZ513" s="535">
        <v>866</v>
      </c>
      <c r="CA513" s="535">
        <v>855</v>
      </c>
      <c r="CB513" s="535">
        <v>857</v>
      </c>
      <c r="CC513" s="535">
        <v>882</v>
      </c>
      <c r="CD513" s="535">
        <v>875</v>
      </c>
      <c r="CE513" s="535">
        <v>807</v>
      </c>
      <c r="CF513" s="535">
        <v>838</v>
      </c>
      <c r="CG513" s="535">
        <v>832</v>
      </c>
      <c r="CH513" s="535">
        <v>800</v>
      </c>
      <c r="CI513" s="535">
        <v>838</v>
      </c>
      <c r="CJ513" s="535">
        <v>882</v>
      </c>
      <c r="CK513" s="535">
        <v>614</v>
      </c>
      <c r="CL513" s="535">
        <v>659</v>
      </c>
      <c r="CM513" s="535">
        <v>627</v>
      </c>
      <c r="CN513" s="535">
        <v>545</v>
      </c>
      <c r="CO513" s="535">
        <v>490</v>
      </c>
      <c r="CP513" s="535">
        <v>469</v>
      </c>
      <c r="CQ513" s="535">
        <v>418</v>
      </c>
      <c r="CR513" s="535">
        <v>376</v>
      </c>
      <c r="CS513" s="535">
        <v>328</v>
      </c>
      <c r="CT513" s="535">
        <v>268</v>
      </c>
      <c r="CU513" s="535">
        <v>254</v>
      </c>
      <c r="CV513" s="535">
        <v>224</v>
      </c>
      <c r="CW513" s="535">
        <v>142</v>
      </c>
      <c r="CX513" s="535">
        <v>181</v>
      </c>
      <c r="CY513" s="535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">
      <c r="A514" s="30" t="s">
        <v>34</v>
      </c>
      <c r="B514" s="1" t="s">
        <v>548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535">
        <v>542</v>
      </c>
      <c r="N514" s="535">
        <v>558</v>
      </c>
      <c r="O514" s="535">
        <v>557</v>
      </c>
      <c r="P514" s="535">
        <v>623</v>
      </c>
      <c r="Q514" s="535">
        <v>680</v>
      </c>
      <c r="R514" s="535">
        <v>640</v>
      </c>
      <c r="S514" s="535">
        <v>636</v>
      </c>
      <c r="T514" s="535">
        <v>702</v>
      </c>
      <c r="U514" s="535">
        <v>710</v>
      </c>
      <c r="V514" s="535">
        <v>708</v>
      </c>
      <c r="W514" s="535">
        <v>684</v>
      </c>
      <c r="X514" s="535">
        <v>699</v>
      </c>
      <c r="Y514" s="535">
        <v>687</v>
      </c>
      <c r="Z514" s="535">
        <v>724</v>
      </c>
      <c r="AA514" s="535">
        <v>813</v>
      </c>
      <c r="AB514" s="535">
        <v>726</v>
      </c>
      <c r="AC514" s="535">
        <v>720</v>
      </c>
      <c r="AD514" s="535">
        <v>759</v>
      </c>
      <c r="AE514" s="535">
        <v>677</v>
      </c>
      <c r="AF514" s="535">
        <v>546</v>
      </c>
      <c r="AG514" s="535">
        <v>497</v>
      </c>
      <c r="AH514" s="535">
        <v>540</v>
      </c>
      <c r="AI514" s="535">
        <v>576</v>
      </c>
      <c r="AJ514" s="535">
        <v>708</v>
      </c>
      <c r="AK514" s="535">
        <v>659</v>
      </c>
      <c r="AL514" s="535">
        <v>640</v>
      </c>
      <c r="AM514" s="535">
        <v>700</v>
      </c>
      <c r="AN514" s="535">
        <v>643</v>
      </c>
      <c r="AO514" s="535">
        <v>676</v>
      </c>
      <c r="AP514" s="535">
        <v>655</v>
      </c>
      <c r="AQ514" s="535">
        <v>689</v>
      </c>
      <c r="AR514" s="535">
        <v>681</v>
      </c>
      <c r="AS514" s="535">
        <v>678</v>
      </c>
      <c r="AT514" s="535">
        <v>691</v>
      </c>
      <c r="AU514" s="535">
        <v>706</v>
      </c>
      <c r="AV514" s="535">
        <v>621</v>
      </c>
      <c r="AW514" s="535">
        <v>641</v>
      </c>
      <c r="AX514" s="535">
        <v>683</v>
      </c>
      <c r="AY514" s="535">
        <v>629</v>
      </c>
      <c r="AZ514" s="535">
        <v>628</v>
      </c>
      <c r="BA514" s="535">
        <v>668</v>
      </c>
      <c r="BB514" s="535">
        <v>643</v>
      </c>
      <c r="BC514" s="535">
        <v>674</v>
      </c>
      <c r="BD514" s="535">
        <v>652</v>
      </c>
      <c r="BE514" s="535">
        <v>622</v>
      </c>
      <c r="BF514" s="535">
        <v>638</v>
      </c>
      <c r="BG514" s="535">
        <v>646</v>
      </c>
      <c r="BH514" s="535">
        <v>721</v>
      </c>
      <c r="BI514" s="535">
        <v>733</v>
      </c>
      <c r="BJ514" s="535">
        <v>732</v>
      </c>
      <c r="BK514" s="535">
        <v>904</v>
      </c>
      <c r="BL514" s="535">
        <v>916</v>
      </c>
      <c r="BM514" s="535">
        <v>874</v>
      </c>
      <c r="BN514" s="535">
        <v>967</v>
      </c>
      <c r="BO514" s="535">
        <v>918</v>
      </c>
      <c r="BP514" s="535">
        <v>1049</v>
      </c>
      <c r="BQ514" s="535">
        <v>1027</v>
      </c>
      <c r="BR514" s="535">
        <v>1085</v>
      </c>
      <c r="BS514" s="535">
        <v>1055</v>
      </c>
      <c r="BT514" s="535">
        <v>1079</v>
      </c>
      <c r="BU514" s="535">
        <v>1083</v>
      </c>
      <c r="BV514" s="535">
        <v>1072</v>
      </c>
      <c r="BW514" s="535">
        <v>1062</v>
      </c>
      <c r="BX514" s="535">
        <v>1068</v>
      </c>
      <c r="BY514" s="535">
        <v>970</v>
      </c>
      <c r="BZ514" s="535">
        <v>1004</v>
      </c>
      <c r="CA514" s="535">
        <v>1048</v>
      </c>
      <c r="CB514" s="535">
        <v>920</v>
      </c>
      <c r="CC514" s="535">
        <v>981</v>
      </c>
      <c r="CD514" s="535">
        <v>986</v>
      </c>
      <c r="CE514" s="535">
        <v>946</v>
      </c>
      <c r="CF514" s="535">
        <v>909</v>
      </c>
      <c r="CG514" s="535">
        <v>957</v>
      </c>
      <c r="CH514" s="535">
        <v>966</v>
      </c>
      <c r="CI514" s="535">
        <v>1053</v>
      </c>
      <c r="CJ514" s="535">
        <v>1016</v>
      </c>
      <c r="CK514" s="535">
        <v>762</v>
      </c>
      <c r="CL514" s="535">
        <v>697</v>
      </c>
      <c r="CM514" s="535">
        <v>815</v>
      </c>
      <c r="CN514" s="535">
        <v>676</v>
      </c>
      <c r="CO514" s="535">
        <v>565</v>
      </c>
      <c r="CP514" s="535">
        <v>480</v>
      </c>
      <c r="CQ514" s="535">
        <v>484</v>
      </c>
      <c r="CR514" s="535">
        <v>421</v>
      </c>
      <c r="CS514" s="535">
        <v>402</v>
      </c>
      <c r="CT514" s="535">
        <v>348</v>
      </c>
      <c r="CU514" s="535">
        <v>295</v>
      </c>
      <c r="CV514" s="535">
        <v>283</v>
      </c>
      <c r="CW514" s="535">
        <v>234</v>
      </c>
      <c r="CX514" s="535">
        <v>151</v>
      </c>
      <c r="CY514" s="535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">
      <c r="A515" s="30" t="s">
        <v>34</v>
      </c>
      <c r="B515" s="1" t="s">
        <v>549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535">
        <v>1182</v>
      </c>
      <c r="N515" s="535">
        <v>1192</v>
      </c>
      <c r="O515" s="535">
        <v>1246</v>
      </c>
      <c r="P515" s="535">
        <v>1330</v>
      </c>
      <c r="Q515" s="535">
        <v>1390</v>
      </c>
      <c r="R515" s="535">
        <v>1335</v>
      </c>
      <c r="S515" s="535">
        <v>1349</v>
      </c>
      <c r="T515" s="535">
        <v>1424</v>
      </c>
      <c r="U515" s="535">
        <v>1454</v>
      </c>
      <c r="V515" s="535">
        <v>1448</v>
      </c>
      <c r="W515" s="535">
        <v>1470</v>
      </c>
      <c r="X515" s="535">
        <v>1500</v>
      </c>
      <c r="Y515" s="535">
        <v>1414</v>
      </c>
      <c r="Z515" s="535">
        <v>1599</v>
      </c>
      <c r="AA515" s="535">
        <v>1471</v>
      </c>
      <c r="AB515" s="535">
        <v>1487</v>
      </c>
      <c r="AC515" s="535">
        <v>1400</v>
      </c>
      <c r="AD515" s="535">
        <v>1425</v>
      </c>
      <c r="AE515" s="535">
        <v>1383</v>
      </c>
      <c r="AF515" s="535">
        <v>1430</v>
      </c>
      <c r="AG515" s="535">
        <v>1361</v>
      </c>
      <c r="AH515" s="535">
        <v>1470</v>
      </c>
      <c r="AI515" s="535">
        <v>1333</v>
      </c>
      <c r="AJ515" s="535">
        <v>1508</v>
      </c>
      <c r="AK515" s="535">
        <v>1349</v>
      </c>
      <c r="AL515" s="535">
        <v>1510</v>
      </c>
      <c r="AM515" s="535">
        <v>1397</v>
      </c>
      <c r="AN515" s="535">
        <v>1501</v>
      </c>
      <c r="AO515" s="535">
        <v>1440</v>
      </c>
      <c r="AP515" s="535">
        <v>1561</v>
      </c>
      <c r="AQ515" s="535">
        <v>1531</v>
      </c>
      <c r="AR515" s="535">
        <v>1507</v>
      </c>
      <c r="AS515" s="535">
        <v>1666</v>
      </c>
      <c r="AT515" s="535">
        <v>1646</v>
      </c>
      <c r="AU515" s="535">
        <v>1508</v>
      </c>
      <c r="AV515" s="535">
        <v>1576</v>
      </c>
      <c r="AW515" s="535">
        <v>1511</v>
      </c>
      <c r="AX515" s="535">
        <v>1573</v>
      </c>
      <c r="AY515" s="535">
        <v>1526</v>
      </c>
      <c r="AZ515" s="535">
        <v>1487</v>
      </c>
      <c r="BA515" s="535">
        <v>1448</v>
      </c>
      <c r="BB515" s="535">
        <v>1387</v>
      </c>
      <c r="BC515" s="535">
        <v>1473</v>
      </c>
      <c r="BD515" s="535">
        <v>1436</v>
      </c>
      <c r="BE515" s="535">
        <v>1292</v>
      </c>
      <c r="BF515" s="535">
        <v>1234</v>
      </c>
      <c r="BG515" s="535">
        <v>1228</v>
      </c>
      <c r="BH515" s="535">
        <v>1344</v>
      </c>
      <c r="BI515" s="535">
        <v>1265</v>
      </c>
      <c r="BJ515" s="535">
        <v>1525</v>
      </c>
      <c r="BK515" s="535">
        <v>1616</v>
      </c>
      <c r="BL515" s="535">
        <v>1695</v>
      </c>
      <c r="BM515" s="535">
        <v>1558</v>
      </c>
      <c r="BN515" s="535">
        <v>1611</v>
      </c>
      <c r="BO515" s="535">
        <v>1667</v>
      </c>
      <c r="BP515" s="535">
        <v>1659</v>
      </c>
      <c r="BQ515" s="535">
        <v>1692</v>
      </c>
      <c r="BR515" s="535">
        <v>1734</v>
      </c>
      <c r="BS515" s="535">
        <v>1649</v>
      </c>
      <c r="BT515" s="535">
        <v>1594</v>
      </c>
      <c r="BU515" s="535">
        <v>1607</v>
      </c>
      <c r="BV515" s="535">
        <v>1496</v>
      </c>
      <c r="BW515" s="535">
        <v>1364</v>
      </c>
      <c r="BX515" s="535">
        <v>1434</v>
      </c>
      <c r="BY515" s="535">
        <v>1372</v>
      </c>
      <c r="BZ515" s="535">
        <v>1354</v>
      </c>
      <c r="CA515" s="535">
        <v>1261</v>
      </c>
      <c r="CB515" s="535">
        <v>1184</v>
      </c>
      <c r="CC515" s="535">
        <v>1223</v>
      </c>
      <c r="CD515" s="535">
        <v>1163</v>
      </c>
      <c r="CE515" s="535">
        <v>1238</v>
      </c>
      <c r="CF515" s="535">
        <v>1171</v>
      </c>
      <c r="CG515" s="535">
        <v>1232</v>
      </c>
      <c r="CH515" s="535">
        <v>1244</v>
      </c>
      <c r="CI515" s="535">
        <v>1280</v>
      </c>
      <c r="CJ515" s="535">
        <v>1272</v>
      </c>
      <c r="CK515" s="535">
        <v>1071</v>
      </c>
      <c r="CL515" s="535">
        <v>988</v>
      </c>
      <c r="CM515" s="535">
        <v>843</v>
      </c>
      <c r="CN515" s="535">
        <v>708</v>
      </c>
      <c r="CO515" s="535">
        <v>680</v>
      </c>
      <c r="CP515" s="535">
        <v>591</v>
      </c>
      <c r="CQ515" s="535">
        <v>536</v>
      </c>
      <c r="CR515" s="535">
        <v>480</v>
      </c>
      <c r="CS515" s="535">
        <v>454</v>
      </c>
      <c r="CT515" s="535">
        <v>366</v>
      </c>
      <c r="CU515" s="535">
        <v>342</v>
      </c>
      <c r="CV515" s="535">
        <v>288</v>
      </c>
      <c r="CW515" s="535">
        <v>231</v>
      </c>
      <c r="CX515" s="535">
        <v>183</v>
      </c>
      <c r="CY515" s="535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">
      <c r="A516" s="30" t="s">
        <v>34</v>
      </c>
      <c r="B516" s="1" t="s">
        <v>550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535">
        <v>1134</v>
      </c>
      <c r="N516" s="535">
        <v>1063</v>
      </c>
      <c r="O516" s="535">
        <v>1133</v>
      </c>
      <c r="P516" s="535">
        <v>1224</v>
      </c>
      <c r="Q516" s="535">
        <v>1266</v>
      </c>
      <c r="R516" s="535">
        <v>1252</v>
      </c>
      <c r="S516" s="535">
        <v>1374</v>
      </c>
      <c r="T516" s="535">
        <v>1363</v>
      </c>
      <c r="U516" s="535">
        <v>1342</v>
      </c>
      <c r="V516" s="535">
        <v>1419</v>
      </c>
      <c r="W516" s="535">
        <v>1459</v>
      </c>
      <c r="X516" s="535">
        <v>1510</v>
      </c>
      <c r="Y516" s="535">
        <v>1407</v>
      </c>
      <c r="Z516" s="535">
        <v>1464</v>
      </c>
      <c r="AA516" s="535">
        <v>1527</v>
      </c>
      <c r="AB516" s="535">
        <v>1392</v>
      </c>
      <c r="AC516" s="535">
        <v>1385</v>
      </c>
      <c r="AD516" s="535">
        <v>1426</v>
      </c>
      <c r="AE516" s="535">
        <v>1459</v>
      </c>
      <c r="AF516" s="535">
        <v>1896</v>
      </c>
      <c r="AG516" s="535">
        <v>2522</v>
      </c>
      <c r="AH516" s="535">
        <v>2615</v>
      </c>
      <c r="AI516" s="535">
        <v>2280</v>
      </c>
      <c r="AJ516" s="535">
        <v>1910</v>
      </c>
      <c r="AK516" s="535">
        <v>1501</v>
      </c>
      <c r="AL516" s="535">
        <v>1507</v>
      </c>
      <c r="AM516" s="535">
        <v>1486</v>
      </c>
      <c r="AN516" s="535">
        <v>1351</v>
      </c>
      <c r="AO516" s="535">
        <v>1422</v>
      </c>
      <c r="AP516" s="535">
        <v>1448</v>
      </c>
      <c r="AQ516" s="535">
        <v>1520</v>
      </c>
      <c r="AR516" s="535">
        <v>1551</v>
      </c>
      <c r="AS516" s="535">
        <v>1644</v>
      </c>
      <c r="AT516" s="535">
        <v>1442</v>
      </c>
      <c r="AU516" s="535">
        <v>1501</v>
      </c>
      <c r="AV516" s="535">
        <v>1514</v>
      </c>
      <c r="AW516" s="535">
        <v>1498</v>
      </c>
      <c r="AX516" s="535">
        <v>1597</v>
      </c>
      <c r="AY516" s="535">
        <v>1396</v>
      </c>
      <c r="AZ516" s="535">
        <v>1455</v>
      </c>
      <c r="BA516" s="535">
        <v>1397</v>
      </c>
      <c r="BB516" s="535">
        <v>1417</v>
      </c>
      <c r="BC516" s="535">
        <v>1584</v>
      </c>
      <c r="BD516" s="535">
        <v>1343</v>
      </c>
      <c r="BE516" s="535">
        <v>1273</v>
      </c>
      <c r="BF516" s="535">
        <v>1289</v>
      </c>
      <c r="BG516" s="535">
        <v>1339</v>
      </c>
      <c r="BH516" s="535">
        <v>1379</v>
      </c>
      <c r="BI516" s="535">
        <v>1335</v>
      </c>
      <c r="BJ516" s="535">
        <v>1336</v>
      </c>
      <c r="BK516" s="535">
        <v>1462</v>
      </c>
      <c r="BL516" s="535">
        <v>1510</v>
      </c>
      <c r="BM516" s="535">
        <v>1509</v>
      </c>
      <c r="BN516" s="535">
        <v>1691</v>
      </c>
      <c r="BO516" s="535">
        <v>1552</v>
      </c>
      <c r="BP516" s="535">
        <v>1528</v>
      </c>
      <c r="BQ516" s="535">
        <v>1522</v>
      </c>
      <c r="BR516" s="535">
        <v>1665</v>
      </c>
      <c r="BS516" s="535">
        <v>1640</v>
      </c>
      <c r="BT516" s="535">
        <v>1484</v>
      </c>
      <c r="BU516" s="535">
        <v>1519</v>
      </c>
      <c r="BV516" s="535">
        <v>1456</v>
      </c>
      <c r="BW516" s="535">
        <v>1447</v>
      </c>
      <c r="BX516" s="535">
        <v>1394</v>
      </c>
      <c r="BY516" s="535">
        <v>1349</v>
      </c>
      <c r="BZ516" s="535">
        <v>1273</v>
      </c>
      <c r="CA516" s="535">
        <v>1240</v>
      </c>
      <c r="CB516" s="535">
        <v>1189</v>
      </c>
      <c r="CC516" s="535">
        <v>1181</v>
      </c>
      <c r="CD516" s="535">
        <v>1218</v>
      </c>
      <c r="CE516" s="535">
        <v>1171</v>
      </c>
      <c r="CF516" s="535">
        <v>1093</v>
      </c>
      <c r="CG516" s="535">
        <v>1212</v>
      </c>
      <c r="CH516" s="535">
        <v>1187</v>
      </c>
      <c r="CI516" s="535">
        <v>1233</v>
      </c>
      <c r="CJ516" s="535">
        <v>1340</v>
      </c>
      <c r="CK516" s="535">
        <v>889</v>
      </c>
      <c r="CL516" s="535">
        <v>905</v>
      </c>
      <c r="CM516" s="535">
        <v>899</v>
      </c>
      <c r="CN516" s="535">
        <v>852</v>
      </c>
      <c r="CO516" s="535">
        <v>748</v>
      </c>
      <c r="CP516" s="535">
        <v>612</v>
      </c>
      <c r="CQ516" s="535">
        <v>591</v>
      </c>
      <c r="CR516" s="535">
        <v>524</v>
      </c>
      <c r="CS516" s="535">
        <v>525</v>
      </c>
      <c r="CT516" s="535">
        <v>455</v>
      </c>
      <c r="CU516" s="535">
        <v>393</v>
      </c>
      <c r="CV516" s="535">
        <v>348</v>
      </c>
      <c r="CW516" s="535">
        <v>276</v>
      </c>
      <c r="CX516" s="535">
        <v>244</v>
      </c>
      <c r="CY516" s="535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">
      <c r="A517" s="30" t="s">
        <v>34</v>
      </c>
      <c r="B517" s="1" t="s">
        <v>551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535">
        <v>514</v>
      </c>
      <c r="N517" s="535">
        <v>466</v>
      </c>
      <c r="O517" s="535">
        <v>537</v>
      </c>
      <c r="P517" s="535">
        <v>540</v>
      </c>
      <c r="Q517" s="535">
        <v>516</v>
      </c>
      <c r="R517" s="535">
        <v>556</v>
      </c>
      <c r="S517" s="535">
        <v>581</v>
      </c>
      <c r="T517" s="535">
        <v>514</v>
      </c>
      <c r="U517" s="535">
        <v>551</v>
      </c>
      <c r="V517" s="535">
        <v>551</v>
      </c>
      <c r="W517" s="535">
        <v>588</v>
      </c>
      <c r="X517" s="535">
        <v>600</v>
      </c>
      <c r="Y517" s="535">
        <v>586</v>
      </c>
      <c r="Z517" s="535">
        <v>625</v>
      </c>
      <c r="AA517" s="535">
        <v>581</v>
      </c>
      <c r="AB517" s="535">
        <v>557</v>
      </c>
      <c r="AC517" s="535">
        <v>592</v>
      </c>
      <c r="AD517" s="535">
        <v>585</v>
      </c>
      <c r="AE517" s="535">
        <v>488</v>
      </c>
      <c r="AF517" s="535">
        <v>425</v>
      </c>
      <c r="AG517" s="535">
        <v>404</v>
      </c>
      <c r="AH517" s="535">
        <v>418</v>
      </c>
      <c r="AI517" s="535">
        <v>438</v>
      </c>
      <c r="AJ517" s="535">
        <v>462</v>
      </c>
      <c r="AK517" s="535">
        <v>507</v>
      </c>
      <c r="AL517" s="535">
        <v>598</v>
      </c>
      <c r="AM517" s="535">
        <v>533</v>
      </c>
      <c r="AN517" s="535">
        <v>576</v>
      </c>
      <c r="AO517" s="535">
        <v>555</v>
      </c>
      <c r="AP517" s="535">
        <v>540</v>
      </c>
      <c r="AQ517" s="535">
        <v>596</v>
      </c>
      <c r="AR517" s="535">
        <v>615</v>
      </c>
      <c r="AS517" s="535">
        <v>622</v>
      </c>
      <c r="AT517" s="535">
        <v>617</v>
      </c>
      <c r="AU517" s="535">
        <v>553</v>
      </c>
      <c r="AV517" s="535">
        <v>586</v>
      </c>
      <c r="AW517" s="535">
        <v>593</v>
      </c>
      <c r="AX517" s="535">
        <v>574</v>
      </c>
      <c r="AY517" s="535">
        <v>532</v>
      </c>
      <c r="AZ517" s="535">
        <v>548</v>
      </c>
      <c r="BA517" s="535">
        <v>555</v>
      </c>
      <c r="BB517" s="535">
        <v>493</v>
      </c>
      <c r="BC517" s="535">
        <v>523</v>
      </c>
      <c r="BD517" s="535">
        <v>539</v>
      </c>
      <c r="BE517" s="535">
        <v>428</v>
      </c>
      <c r="BF517" s="535">
        <v>504</v>
      </c>
      <c r="BG517" s="535">
        <v>432</v>
      </c>
      <c r="BH517" s="535">
        <v>497</v>
      </c>
      <c r="BI517" s="535">
        <v>493</v>
      </c>
      <c r="BJ517" s="535">
        <v>561</v>
      </c>
      <c r="BK517" s="535">
        <v>569</v>
      </c>
      <c r="BL517" s="535">
        <v>636</v>
      </c>
      <c r="BM517" s="535">
        <v>634</v>
      </c>
      <c r="BN517" s="535">
        <v>601</v>
      </c>
      <c r="BO517" s="535">
        <v>597</v>
      </c>
      <c r="BP517" s="535">
        <v>623</v>
      </c>
      <c r="BQ517" s="535">
        <v>631</v>
      </c>
      <c r="BR517" s="535">
        <v>707</v>
      </c>
      <c r="BS517" s="535">
        <v>646</v>
      </c>
      <c r="BT517" s="535">
        <v>672</v>
      </c>
      <c r="BU517" s="535">
        <v>661</v>
      </c>
      <c r="BV517" s="535">
        <v>655</v>
      </c>
      <c r="BW517" s="535">
        <v>574</v>
      </c>
      <c r="BX517" s="535">
        <v>580</v>
      </c>
      <c r="BY517" s="535">
        <v>594</v>
      </c>
      <c r="BZ517" s="535">
        <v>511</v>
      </c>
      <c r="CA517" s="535">
        <v>490</v>
      </c>
      <c r="CB517" s="535">
        <v>470</v>
      </c>
      <c r="CC517" s="535">
        <v>535</v>
      </c>
      <c r="CD517" s="535">
        <v>469</v>
      </c>
      <c r="CE517" s="535">
        <v>488</v>
      </c>
      <c r="CF517" s="535">
        <v>479</v>
      </c>
      <c r="CG517" s="535">
        <v>457</v>
      </c>
      <c r="CH517" s="535">
        <v>484</v>
      </c>
      <c r="CI517" s="535">
        <v>455</v>
      </c>
      <c r="CJ517" s="535">
        <v>541</v>
      </c>
      <c r="CK517" s="535">
        <v>404</v>
      </c>
      <c r="CL517" s="535">
        <v>398</v>
      </c>
      <c r="CM517" s="535">
        <v>348</v>
      </c>
      <c r="CN517" s="535">
        <v>298</v>
      </c>
      <c r="CO517" s="535">
        <v>266</v>
      </c>
      <c r="CP517" s="535">
        <v>246</v>
      </c>
      <c r="CQ517" s="535">
        <v>224</v>
      </c>
      <c r="CR517" s="535">
        <v>223</v>
      </c>
      <c r="CS517" s="535">
        <v>187</v>
      </c>
      <c r="CT517" s="535">
        <v>157</v>
      </c>
      <c r="CU517" s="535">
        <v>143</v>
      </c>
      <c r="CV517" s="535">
        <v>129</v>
      </c>
      <c r="CW517" s="535">
        <v>118</v>
      </c>
      <c r="CX517" s="535">
        <v>110</v>
      </c>
      <c r="CY517" s="535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">
      <c r="A518" s="30" t="s">
        <v>34</v>
      </c>
      <c r="B518" s="1" t="s">
        <v>552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535">
        <v>642</v>
      </c>
      <c r="N518" s="535">
        <v>670</v>
      </c>
      <c r="O518" s="535">
        <v>666</v>
      </c>
      <c r="P518" s="535">
        <v>745</v>
      </c>
      <c r="Q518" s="535">
        <v>708</v>
      </c>
      <c r="R518" s="535">
        <v>814</v>
      </c>
      <c r="S518" s="535">
        <v>772</v>
      </c>
      <c r="T518" s="535">
        <v>756</v>
      </c>
      <c r="U518" s="535">
        <v>790</v>
      </c>
      <c r="V518" s="535">
        <v>869</v>
      </c>
      <c r="W518" s="535">
        <v>878</v>
      </c>
      <c r="X518" s="535">
        <v>861</v>
      </c>
      <c r="Y518" s="535">
        <v>888</v>
      </c>
      <c r="Z518" s="535">
        <v>889</v>
      </c>
      <c r="AA518" s="535">
        <v>863</v>
      </c>
      <c r="AB518" s="535">
        <v>841</v>
      </c>
      <c r="AC518" s="535">
        <v>775</v>
      </c>
      <c r="AD518" s="535">
        <v>759</v>
      </c>
      <c r="AE518" s="535">
        <v>728</v>
      </c>
      <c r="AF518" s="535">
        <v>587</v>
      </c>
      <c r="AG518" s="535">
        <v>503</v>
      </c>
      <c r="AH518" s="535">
        <v>620</v>
      </c>
      <c r="AI518" s="535">
        <v>676</v>
      </c>
      <c r="AJ518" s="535">
        <v>666</v>
      </c>
      <c r="AK518" s="535">
        <v>621</v>
      </c>
      <c r="AL518" s="535">
        <v>702</v>
      </c>
      <c r="AM518" s="535">
        <v>663</v>
      </c>
      <c r="AN518" s="535">
        <v>711</v>
      </c>
      <c r="AO518" s="535">
        <v>738</v>
      </c>
      <c r="AP518" s="535">
        <v>687</v>
      </c>
      <c r="AQ518" s="535">
        <v>701</v>
      </c>
      <c r="AR518" s="535">
        <v>728</v>
      </c>
      <c r="AS518" s="535">
        <v>706</v>
      </c>
      <c r="AT518" s="535">
        <v>774</v>
      </c>
      <c r="AU518" s="535">
        <v>806</v>
      </c>
      <c r="AV518" s="535">
        <v>800</v>
      </c>
      <c r="AW518" s="535">
        <v>846</v>
      </c>
      <c r="AX518" s="535">
        <v>741</v>
      </c>
      <c r="AY518" s="535">
        <v>762</v>
      </c>
      <c r="AZ518" s="535">
        <v>802</v>
      </c>
      <c r="BA518" s="535">
        <v>818</v>
      </c>
      <c r="BB518" s="535">
        <v>893</v>
      </c>
      <c r="BC518" s="535">
        <v>884</v>
      </c>
      <c r="BD518" s="535">
        <v>832</v>
      </c>
      <c r="BE518" s="535">
        <v>669</v>
      </c>
      <c r="BF518" s="535">
        <v>732</v>
      </c>
      <c r="BG518" s="535">
        <v>722</v>
      </c>
      <c r="BH518" s="535">
        <v>807</v>
      </c>
      <c r="BI518" s="535">
        <v>781</v>
      </c>
      <c r="BJ518" s="535">
        <v>815</v>
      </c>
      <c r="BK518" s="535">
        <v>842</v>
      </c>
      <c r="BL518" s="535">
        <v>880</v>
      </c>
      <c r="BM518" s="535">
        <v>853</v>
      </c>
      <c r="BN518" s="535">
        <v>916</v>
      </c>
      <c r="BO518" s="535">
        <v>871</v>
      </c>
      <c r="BP518" s="535">
        <v>920</v>
      </c>
      <c r="BQ518" s="535">
        <v>867</v>
      </c>
      <c r="BR518" s="535">
        <v>906</v>
      </c>
      <c r="BS518" s="535">
        <v>932</v>
      </c>
      <c r="BT518" s="535">
        <v>907</v>
      </c>
      <c r="BU518" s="535">
        <v>934</v>
      </c>
      <c r="BV518" s="535">
        <v>904</v>
      </c>
      <c r="BW518" s="535">
        <v>828</v>
      </c>
      <c r="BX518" s="535">
        <v>857</v>
      </c>
      <c r="BY518" s="535">
        <v>763</v>
      </c>
      <c r="BZ518" s="535">
        <v>786</v>
      </c>
      <c r="CA518" s="535">
        <v>761</v>
      </c>
      <c r="CB518" s="535">
        <v>745</v>
      </c>
      <c r="CC518" s="535">
        <v>753</v>
      </c>
      <c r="CD518" s="535">
        <v>754</v>
      </c>
      <c r="CE518" s="535">
        <v>696</v>
      </c>
      <c r="CF518" s="535">
        <v>706</v>
      </c>
      <c r="CG518" s="535">
        <v>707</v>
      </c>
      <c r="CH518" s="535">
        <v>714</v>
      </c>
      <c r="CI518" s="535">
        <v>737</v>
      </c>
      <c r="CJ518" s="535">
        <v>775</v>
      </c>
      <c r="CK518" s="535">
        <v>562</v>
      </c>
      <c r="CL518" s="535">
        <v>555</v>
      </c>
      <c r="CM518" s="535">
        <v>563</v>
      </c>
      <c r="CN518" s="535">
        <v>468</v>
      </c>
      <c r="CO518" s="535">
        <v>410</v>
      </c>
      <c r="CP518" s="535">
        <v>391</v>
      </c>
      <c r="CQ518" s="535">
        <v>349</v>
      </c>
      <c r="CR518" s="535">
        <v>336</v>
      </c>
      <c r="CS518" s="535">
        <v>307</v>
      </c>
      <c r="CT518" s="535">
        <v>239</v>
      </c>
      <c r="CU518" s="535">
        <v>231</v>
      </c>
      <c r="CV518" s="535">
        <v>180</v>
      </c>
      <c r="CW518" s="535">
        <v>170</v>
      </c>
      <c r="CX518" s="535">
        <v>135</v>
      </c>
      <c r="CY518" s="535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">
      <c r="A519" s="30" t="s">
        <v>34</v>
      </c>
      <c r="B519" s="1" t="s">
        <v>553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535">
        <v>673</v>
      </c>
      <c r="N519" s="535">
        <v>647</v>
      </c>
      <c r="O519" s="535">
        <v>740</v>
      </c>
      <c r="P519" s="535">
        <v>723</v>
      </c>
      <c r="Q519" s="535">
        <v>730</v>
      </c>
      <c r="R519" s="535">
        <v>761</v>
      </c>
      <c r="S519" s="535">
        <v>793</v>
      </c>
      <c r="T519" s="535">
        <v>761</v>
      </c>
      <c r="U519" s="535">
        <v>814</v>
      </c>
      <c r="V519" s="535">
        <v>862</v>
      </c>
      <c r="W519" s="535">
        <v>831</v>
      </c>
      <c r="X519" s="535">
        <v>858</v>
      </c>
      <c r="Y519" s="535">
        <v>859</v>
      </c>
      <c r="Z519" s="535">
        <v>879</v>
      </c>
      <c r="AA519" s="535">
        <v>845</v>
      </c>
      <c r="AB519" s="535">
        <v>853</v>
      </c>
      <c r="AC519" s="535">
        <v>831</v>
      </c>
      <c r="AD519" s="535">
        <v>839</v>
      </c>
      <c r="AE519" s="535">
        <v>753</v>
      </c>
      <c r="AF519" s="535">
        <v>630</v>
      </c>
      <c r="AG519" s="535">
        <v>619</v>
      </c>
      <c r="AH519" s="535">
        <v>629</v>
      </c>
      <c r="AI519" s="535">
        <v>670</v>
      </c>
      <c r="AJ519" s="535">
        <v>758</v>
      </c>
      <c r="AK519" s="535">
        <v>790</v>
      </c>
      <c r="AL519" s="535">
        <v>832</v>
      </c>
      <c r="AM519" s="535">
        <v>753</v>
      </c>
      <c r="AN519" s="535">
        <v>823</v>
      </c>
      <c r="AO519" s="535">
        <v>819</v>
      </c>
      <c r="AP519" s="535">
        <v>821</v>
      </c>
      <c r="AQ519" s="535">
        <v>786</v>
      </c>
      <c r="AR519" s="535">
        <v>853</v>
      </c>
      <c r="AS519" s="535">
        <v>859</v>
      </c>
      <c r="AT519" s="535">
        <v>835</v>
      </c>
      <c r="AU519" s="535">
        <v>874</v>
      </c>
      <c r="AV519" s="535">
        <v>850</v>
      </c>
      <c r="AW519" s="535">
        <v>902</v>
      </c>
      <c r="AX519" s="535">
        <v>921</v>
      </c>
      <c r="AY519" s="535">
        <v>825</v>
      </c>
      <c r="AZ519" s="535">
        <v>847</v>
      </c>
      <c r="BA519" s="535">
        <v>842</v>
      </c>
      <c r="BB519" s="535">
        <v>901</v>
      </c>
      <c r="BC519" s="535">
        <v>918</v>
      </c>
      <c r="BD519" s="535">
        <v>874</v>
      </c>
      <c r="BE519" s="535">
        <v>746</v>
      </c>
      <c r="BF519" s="535">
        <v>759</v>
      </c>
      <c r="BG519" s="535">
        <v>795</v>
      </c>
      <c r="BH519" s="535">
        <v>790</v>
      </c>
      <c r="BI519" s="535">
        <v>799</v>
      </c>
      <c r="BJ519" s="535">
        <v>915</v>
      </c>
      <c r="BK519" s="535">
        <v>955</v>
      </c>
      <c r="BL519" s="535">
        <v>1013</v>
      </c>
      <c r="BM519" s="535">
        <v>995</v>
      </c>
      <c r="BN519" s="535">
        <v>1003</v>
      </c>
      <c r="BO519" s="535">
        <v>969</v>
      </c>
      <c r="BP519" s="535">
        <v>960</v>
      </c>
      <c r="BQ519" s="535">
        <v>1007</v>
      </c>
      <c r="BR519" s="535">
        <v>986</v>
      </c>
      <c r="BS519" s="535">
        <v>968</v>
      </c>
      <c r="BT519" s="535">
        <v>965</v>
      </c>
      <c r="BU519" s="535">
        <v>916</v>
      </c>
      <c r="BV519" s="535">
        <v>884</v>
      </c>
      <c r="BW519" s="535">
        <v>833</v>
      </c>
      <c r="BX519" s="535">
        <v>743</v>
      </c>
      <c r="BY519" s="535">
        <v>790</v>
      </c>
      <c r="BZ519" s="535">
        <v>795</v>
      </c>
      <c r="CA519" s="535">
        <v>774</v>
      </c>
      <c r="CB519" s="535">
        <v>688</v>
      </c>
      <c r="CC519" s="535">
        <v>698</v>
      </c>
      <c r="CD519" s="535">
        <v>716</v>
      </c>
      <c r="CE519" s="535">
        <v>688</v>
      </c>
      <c r="CF519" s="535">
        <v>667</v>
      </c>
      <c r="CG519" s="535">
        <v>680</v>
      </c>
      <c r="CH519" s="535">
        <v>708</v>
      </c>
      <c r="CI519" s="535">
        <v>706</v>
      </c>
      <c r="CJ519" s="535">
        <v>754</v>
      </c>
      <c r="CK519" s="535">
        <v>572</v>
      </c>
      <c r="CL519" s="535">
        <v>512</v>
      </c>
      <c r="CM519" s="535">
        <v>519</v>
      </c>
      <c r="CN519" s="535">
        <v>494</v>
      </c>
      <c r="CO519" s="535">
        <v>429</v>
      </c>
      <c r="CP519" s="535">
        <v>357</v>
      </c>
      <c r="CQ519" s="535">
        <v>308</v>
      </c>
      <c r="CR519" s="535">
        <v>275</v>
      </c>
      <c r="CS519" s="535">
        <v>281</v>
      </c>
      <c r="CT519" s="535">
        <v>235</v>
      </c>
      <c r="CU519" s="535">
        <v>217</v>
      </c>
      <c r="CV519" s="535">
        <v>176</v>
      </c>
      <c r="CW519" s="535">
        <v>132</v>
      </c>
      <c r="CX519" s="535">
        <v>132</v>
      </c>
      <c r="CY519" s="535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ht="15" x14ac:dyDescent="0.25">
      <c r="A520" s="111"/>
      <c r="B520" s="118"/>
      <c r="C520" s="111"/>
      <c r="D520" s="134">
        <f>SUM(D498:D519)</f>
        <v>1217054</v>
      </c>
      <c r="E520" s="134">
        <f t="shared" ref="E520:L520" si="135">SUM(E498:E519)</f>
        <v>1294957</v>
      </c>
      <c r="F520" s="134">
        <f t="shared" si="135"/>
        <v>3131640</v>
      </c>
      <c r="G520" s="134">
        <f t="shared" si="135"/>
        <v>1534884</v>
      </c>
      <c r="H520" s="134">
        <f t="shared" si="135"/>
        <v>1596756</v>
      </c>
      <c r="I520" s="134">
        <f t="shared" si="135"/>
        <v>1217054</v>
      </c>
      <c r="J520" s="134">
        <f t="shared" si="135"/>
        <v>1294957</v>
      </c>
      <c r="K520" s="134">
        <f t="shared" si="135"/>
        <v>317830</v>
      </c>
      <c r="L520" s="134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">
      <c r="A521" s="30" t="s">
        <v>38</v>
      </c>
      <c r="B521" s="1" t="s">
        <v>554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">
      <c r="A522" s="30" t="s">
        <v>38</v>
      </c>
      <c r="B522" s="1" t="s">
        <v>555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">
      <c r="A523" s="30" t="s">
        <v>38</v>
      </c>
      <c r="B523" s="1" t="s">
        <v>556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">
      <c r="A524" s="30" t="s">
        <v>38</v>
      </c>
      <c r="B524" s="1" t="s">
        <v>557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">
      <c r="A525" s="30" t="s">
        <v>38</v>
      </c>
      <c r="B525" s="1" t="s">
        <v>558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">
      <c r="A526" s="30" t="s">
        <v>38</v>
      </c>
      <c r="B526" s="1" t="s">
        <v>559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">
      <c r="A527" s="30" t="s">
        <v>38</v>
      </c>
      <c r="B527" s="1" t="s">
        <v>560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">
      <c r="A528" s="30" t="s">
        <v>38</v>
      </c>
      <c r="B528" s="1" t="s">
        <v>561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">
      <c r="A529" s="30" t="s">
        <v>38</v>
      </c>
      <c r="B529" s="1" t="s">
        <v>562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">
      <c r="A530" s="30" t="s">
        <v>38</v>
      </c>
      <c r="B530" s="1" t="s">
        <v>563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">
      <c r="A531" s="30" t="s">
        <v>38</v>
      </c>
      <c r="B531" s="1" t="s">
        <v>564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ht="15" x14ac:dyDescent="0.25">
      <c r="A532" s="111"/>
      <c r="B532" s="119"/>
      <c r="C532" s="111"/>
      <c r="D532" s="134">
        <f>SUM(D521:D531)</f>
        <v>716297</v>
      </c>
      <c r="E532" s="134">
        <f>SUM(E521:E531)</f>
        <v>757541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43">SUM(I521:I531)</f>
        <v>716297</v>
      </c>
      <c r="J532" s="134">
        <f t="shared" si="143"/>
        <v>757541</v>
      </c>
      <c r="K532" s="134">
        <f t="shared" si="143"/>
        <v>223650</v>
      </c>
      <c r="L532" s="134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ht="15" x14ac:dyDescent="0.25">
      <c r="A535" s="555" t="s">
        <v>565</v>
      </c>
      <c r="B535" s="556"/>
      <c r="C535" s="557"/>
      <c r="D535" s="558"/>
      <c r="E535" s="558"/>
      <c r="F535" s="558"/>
      <c r="G535" s="559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ht="15" x14ac:dyDescent="0.25">
      <c r="C537" s="10"/>
      <c r="D537" s="560" t="s">
        <v>566</v>
      </c>
      <c r="E537" s="561" t="s">
        <v>567</v>
      </c>
      <c r="F537" s="560" t="s">
        <v>568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5" x14ac:dyDescent="0.25">
      <c r="C538" s="10"/>
      <c r="D538" s="562" t="s">
        <v>569</v>
      </c>
      <c r="E538" s="563" t="s">
        <v>570</v>
      </c>
      <c r="F538" s="562" t="s">
        <v>571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5" x14ac:dyDescent="0.25">
      <c r="C539" s="10"/>
      <c r="D539" s="562" t="s">
        <v>572</v>
      </c>
      <c r="E539" s="563" t="s">
        <v>573</v>
      </c>
      <c r="F539" s="562" t="s">
        <v>574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5" x14ac:dyDescent="0.25">
      <c r="C540" s="1" t="s">
        <v>575</v>
      </c>
      <c r="D540" s="564">
        <v>60238038</v>
      </c>
      <c r="E540" s="565"/>
      <c r="F540" s="566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5" x14ac:dyDescent="0.25">
      <c r="C541" s="567" t="s">
        <v>576</v>
      </c>
      <c r="D541" s="568"/>
      <c r="E541" s="569">
        <v>60856434</v>
      </c>
      <c r="F541" s="564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5" x14ac:dyDescent="0.25">
      <c r="C542" s="567" t="s">
        <v>577</v>
      </c>
      <c r="D542" s="568"/>
      <c r="E542" s="570">
        <f>(E541-D540)/D540</f>
        <v>1.0265872205200309E-2</v>
      </c>
      <c r="F542" s="571">
        <f>(F541-D540)/D540</f>
        <v>2.0553358660187437E-2</v>
      </c>
      <c r="G542" s="572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5" x14ac:dyDescent="0.25">
      <c r="C543" s="567" t="s">
        <v>578</v>
      </c>
      <c r="D543" s="568"/>
      <c r="E543" s="573"/>
      <c r="F543" s="564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5" x14ac:dyDescent="0.25">
      <c r="C544" s="567" t="s">
        <v>579</v>
      </c>
      <c r="D544" s="568"/>
      <c r="E544" s="573"/>
      <c r="F544" s="564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">
      <c r="A547" s="551"/>
      <c r="B547" s="552"/>
      <c r="C547" s="20" t="s">
        <v>580</v>
      </c>
      <c r="D547" s="137" t="s">
        <v>581</v>
      </c>
      <c r="E547" s="137" t="s">
        <v>582</v>
      </c>
      <c r="F547" s="137" t="s">
        <v>583</v>
      </c>
      <c r="G547" s="137" t="s">
        <v>584</v>
      </c>
      <c r="H547" s="137" t="s">
        <v>585</v>
      </c>
      <c r="I547" s="137" t="s">
        <v>586</v>
      </c>
      <c r="J547" s="477" t="s">
        <v>587</v>
      </c>
      <c r="K547" s="480" t="s">
        <v>588</v>
      </c>
      <c r="L547" s="318" t="s">
        <v>589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">
      <c r="A548" s="553" t="s">
        <v>590</v>
      </c>
      <c r="C548" s="20" t="s">
        <v>591</v>
      </c>
      <c r="D548" s="841" t="s">
        <v>592</v>
      </c>
      <c r="E548" s="842"/>
      <c r="F548" s="842"/>
      <c r="G548" s="842"/>
      <c r="H548" s="842"/>
      <c r="I548" s="843"/>
      <c r="J548" s="6"/>
      <c r="K548" s="6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">
      <c r="A549" s="553" t="s">
        <v>590</v>
      </c>
      <c r="B549" s="10">
        <v>0</v>
      </c>
      <c r="C549" s="136" t="s">
        <v>593</v>
      </c>
      <c r="D549" s="140"/>
      <c r="E549" s="140"/>
      <c r="F549" s="140"/>
      <c r="G549" s="140"/>
      <c r="H549" s="140"/>
      <c r="I549" s="140"/>
      <c r="J549" s="6"/>
      <c r="K549" s="6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">
      <c r="A550" s="553" t="s">
        <v>590</v>
      </c>
      <c r="B550" s="10">
        <v>1</v>
      </c>
      <c r="C550" s="136" t="s">
        <v>594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478">
        <f>(I550-100%)/5</f>
        <v>7.0239064487661821E-3</v>
      </c>
      <c r="K550" s="481">
        <f t="shared" ref="K550:K563" si="144">(I550/100%)^(1/5)-1</f>
        <v>6.9272652964273984E-3</v>
      </c>
      <c r="L550" s="476">
        <v>6.9272652964273984E-3</v>
      </c>
      <c r="M550" s="472"/>
      <c r="N550" s="472"/>
      <c r="O550" s="473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">
      <c r="A551" s="553" t="s">
        <v>590</v>
      </c>
      <c r="B551" s="10">
        <v>2</v>
      </c>
      <c r="C551" s="136" t="s">
        <v>595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478">
        <f t="shared" ref="J551:J563" si="145">(I551-100%)/5</f>
        <v>-1.6639975996230218E-2</v>
      </c>
      <c r="K551" s="481">
        <f t="shared" si="144"/>
        <v>-1.7223117235316776E-2</v>
      </c>
      <c r="L551" s="476">
        <v>-1.7223117235316776E-2</v>
      </c>
      <c r="M551" s="472"/>
      <c r="N551" s="472"/>
      <c r="O551" s="473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">
      <c r="A552" s="553" t="s">
        <v>590</v>
      </c>
      <c r="B552" s="10">
        <v>3</v>
      </c>
      <c r="C552" s="136" t="s">
        <v>596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478">
        <f t="shared" si="145"/>
        <v>2.4561450496655989E-2</v>
      </c>
      <c r="K552" s="481">
        <f t="shared" si="144"/>
        <v>2.3436830336478032E-2</v>
      </c>
      <c r="L552" s="476">
        <v>2.3436830336478032E-2</v>
      </c>
      <c r="M552" s="472"/>
      <c r="N552" s="472"/>
      <c r="O552" s="473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">
      <c r="A553" s="553" t="s">
        <v>590</v>
      </c>
      <c r="B553" s="10">
        <v>4</v>
      </c>
      <c r="C553" s="136" t="s">
        <v>597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478">
        <f t="shared" si="145"/>
        <v>-3.2900402961513866E-3</v>
      </c>
      <c r="K553" s="481">
        <f t="shared" si="144"/>
        <v>-3.3119051937137156E-3</v>
      </c>
      <c r="L553" s="476">
        <v>-3.3119051937137156E-3</v>
      </c>
      <c r="M553" s="472"/>
      <c r="N553" s="472"/>
      <c r="O553" s="473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">
      <c r="A554" s="553" t="s">
        <v>590</v>
      </c>
      <c r="B554" s="10">
        <v>5</v>
      </c>
      <c r="C554" s="136" t="s">
        <v>598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478">
        <f t="shared" si="145"/>
        <v>1.2116163934465796E-4</v>
      </c>
      <c r="K554" s="481">
        <f t="shared" si="144"/>
        <v>1.2113228972654433E-4</v>
      </c>
      <c r="L554" s="476">
        <v>1.2113228972654433E-4</v>
      </c>
      <c r="M554" s="472"/>
      <c r="N554" s="472"/>
      <c r="O554" s="473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">
      <c r="A555" s="553" t="s">
        <v>590</v>
      </c>
      <c r="B555" s="10">
        <v>6</v>
      </c>
      <c r="C555" s="470" t="s">
        <v>599</v>
      </c>
      <c r="D555" s="471"/>
      <c r="E555" s="471">
        <v>1.0123419501207302</v>
      </c>
      <c r="F555" s="471">
        <v>1.0224746276334522</v>
      </c>
      <c r="G555" s="471">
        <v>1.0318096590054313</v>
      </c>
      <c r="H555" s="471">
        <v>1.040568100689119</v>
      </c>
      <c r="I555" s="471">
        <v>1.0491476885800255</v>
      </c>
      <c r="J555" s="488">
        <f t="shared" si="145"/>
        <v>9.8295377160050983E-3</v>
      </c>
      <c r="K555" s="489">
        <f t="shared" si="144"/>
        <v>9.641807463928842E-3</v>
      </c>
      <c r="L555" s="554">
        <v>9.6418074639288403E-3</v>
      </c>
      <c r="M555" s="472"/>
      <c r="N555" s="472"/>
      <c r="O555" s="473"/>
      <c r="P555" s="12"/>
      <c r="Q555" s="474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">
      <c r="A556" s="553" t="s">
        <v>590</v>
      </c>
      <c r="B556" s="10">
        <v>7</v>
      </c>
      <c r="C556" s="136" t="s">
        <v>600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478">
        <f t="shared" si="145"/>
        <v>1.4109286979692959E-2</v>
      </c>
      <c r="K556" s="481">
        <f t="shared" si="144"/>
        <v>1.372720562144969E-2</v>
      </c>
      <c r="L556" s="476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">
      <c r="A557" s="553" t="s">
        <v>590</v>
      </c>
      <c r="B557" s="10">
        <v>8</v>
      </c>
      <c r="C557" s="136" t="s">
        <v>601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478">
        <f t="shared" si="145"/>
        <v>1.544722025999028E-2</v>
      </c>
      <c r="K557" s="481">
        <f t="shared" si="144"/>
        <v>1.4990973227517745E-2</v>
      </c>
      <c r="L557" s="476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">
      <c r="A558" s="553" t="s">
        <v>590</v>
      </c>
      <c r="B558" s="10">
        <v>9</v>
      </c>
      <c r="C558" s="136" t="s">
        <v>602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478">
        <f t="shared" si="145"/>
        <v>1.3936381421862798E-2</v>
      </c>
      <c r="K558" s="481">
        <f t="shared" si="144"/>
        <v>1.3563424108683053E-2</v>
      </c>
      <c r="L558" s="476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">
      <c r="A559" s="553" t="s">
        <v>590</v>
      </c>
      <c r="B559" s="10">
        <v>10</v>
      </c>
      <c r="C559" s="136" t="s">
        <v>603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478">
        <f t="shared" si="145"/>
        <v>1.5948429222628447E-2</v>
      </c>
      <c r="K559" s="481">
        <f t="shared" si="144"/>
        <v>1.5462782371323147E-2</v>
      </c>
      <c r="L559" s="476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">
      <c r="A560" s="553" t="s">
        <v>590</v>
      </c>
      <c r="B560" s="10">
        <v>11</v>
      </c>
      <c r="C560" s="136" t="s">
        <v>604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478">
        <f t="shared" si="145"/>
        <v>1.4026175814113495E-2</v>
      </c>
      <c r="K560" s="481">
        <f t="shared" si="144"/>
        <v>1.364849335671825E-2</v>
      </c>
      <c r="L560" s="476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">
      <c r="A561" s="553" t="s">
        <v>590</v>
      </c>
      <c r="B561" s="10">
        <v>12</v>
      </c>
      <c r="C561" s="136" t="s">
        <v>605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478">
        <f t="shared" si="145"/>
        <v>1.5685467006668709E-2</v>
      </c>
      <c r="K561" s="481">
        <f t="shared" si="144"/>
        <v>1.5215354312122953E-2</v>
      </c>
      <c r="L561" s="476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">
      <c r="A562" s="553" t="s">
        <v>590</v>
      </c>
      <c r="B562" s="10">
        <v>13</v>
      </c>
      <c r="C562" s="136" t="s">
        <v>606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478">
        <f t="shared" si="145"/>
        <v>2.9868018047315557E-2</v>
      </c>
      <c r="K562" s="481">
        <f t="shared" si="144"/>
        <v>2.8228674820024224E-2</v>
      </c>
      <c r="L562" s="476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">
      <c r="A563" s="57"/>
      <c r="B563" s="374">
        <v>14</v>
      </c>
      <c r="C563" s="136" t="s">
        <v>607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478">
        <f t="shared" si="145"/>
        <v>6.5994827799972008E-3</v>
      </c>
      <c r="K563" s="481">
        <f t="shared" si="144"/>
        <v>6.5140621434043311E-3</v>
      </c>
      <c r="L563" s="476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">
      <c r="B564" s="10">
        <v>15</v>
      </c>
      <c r="C564" s="136"/>
      <c r="D564" s="140"/>
      <c r="E564" s="140"/>
      <c r="F564" s="140"/>
      <c r="G564" s="140"/>
      <c r="H564" s="140"/>
      <c r="I564" s="140"/>
      <c r="J564" s="479" t="s">
        <v>608</v>
      </c>
      <c r="K564" s="6"/>
      <c r="L564" s="317" t="s">
        <v>609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">
      <c r="E565" s="14"/>
      <c r="L565" s="317" t="s">
        <v>610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">
      <c r="E566" s="14"/>
      <c r="L566" s="317" t="s">
        <v>611</v>
      </c>
      <c r="M566" s="12"/>
      <c r="N566" s="12"/>
      <c r="O566" s="12"/>
      <c r="P566" s="12"/>
      <c r="Q566" s="12"/>
      <c r="R566" s="475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">
      <c r="C567" s="490" t="s">
        <v>612</v>
      </c>
      <c r="E567" s="14"/>
      <c r="L567" s="317" t="s">
        <v>613</v>
      </c>
      <c r="M567" s="12"/>
      <c r="N567" s="12"/>
      <c r="O567" s="12"/>
      <c r="P567" s="12"/>
      <c r="Q567" s="12"/>
      <c r="R567" s="475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">
      <c r="E568" s="14"/>
      <c r="L568" s="317" t="s">
        <v>614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">
      <c r="E569" s="14"/>
      <c r="L569" s="317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">
      <c r="C570" s="10"/>
      <c r="L570" s="317" t="s">
        <v>615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ht="15" x14ac:dyDescent="0.25">
      <c r="C571" s="10"/>
      <c r="L571" s="317" t="s">
        <v>616</v>
      </c>
      <c r="M571" s="12"/>
      <c r="N571" s="12"/>
      <c r="O571" s="575"/>
      <c r="P571" s="576" t="s">
        <v>617</v>
      </c>
      <c r="Q571" s="577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45" customHeight="1" x14ac:dyDescent="0.2">
      <c r="C572" s="10"/>
      <c r="M572" s="12"/>
      <c r="N572" s="12"/>
      <c r="O572" s="580" t="s">
        <v>587</v>
      </c>
      <c r="P572" s="580" t="s">
        <v>588</v>
      </c>
      <c r="Q572" s="581" t="s">
        <v>618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">
      <c r="A573" s="551"/>
      <c r="B573" s="552"/>
      <c r="C573" s="136" t="s">
        <v>594</v>
      </c>
      <c r="D573" s="574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478">
        <f>(N573-100%)/10</f>
        <v>6.0996339197137541E-3</v>
      </c>
      <c r="P573" s="481">
        <f>(N573/100%)^(1/10)-1</f>
        <v>5.9384037531065026E-3</v>
      </c>
      <c r="Q573" s="578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">
      <c r="A574" s="553" t="s">
        <v>619</v>
      </c>
      <c r="C574" s="136" t="s">
        <v>595</v>
      </c>
      <c r="D574" s="574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478">
        <f t="shared" ref="O574:O586" si="146">(N574-100%)/10</f>
        <v>-6.0280923298853817E-3</v>
      </c>
      <c r="P574" s="481">
        <f t="shared" ref="P574:P586" si="147">(N574/100%)^(1/10)-1</f>
        <v>-6.1981420710855994E-3</v>
      </c>
      <c r="Q574" s="578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">
      <c r="A575" s="553" t="s">
        <v>619</v>
      </c>
      <c r="C575" s="136" t="s">
        <v>596</v>
      </c>
      <c r="D575" s="574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478">
        <f t="shared" si="146"/>
        <v>1.5087615236704566E-2</v>
      </c>
      <c r="P575" s="481">
        <f t="shared" si="147"/>
        <v>1.4151550808456648E-2</v>
      </c>
      <c r="Q575" s="578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">
      <c r="A576" s="553" t="s">
        <v>619</v>
      </c>
      <c r="C576" s="136" t="s">
        <v>597</v>
      </c>
      <c r="D576" s="574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478">
        <f t="shared" si="146"/>
        <v>8.1374209845206378E-4</v>
      </c>
      <c r="P576" s="481">
        <f t="shared" si="147"/>
        <v>8.1077757246905691E-4</v>
      </c>
      <c r="Q576" s="578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">
      <c r="A577" s="553" t="s">
        <v>619</v>
      </c>
      <c r="C577" s="136" t="s">
        <v>598</v>
      </c>
      <c r="D577" s="574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478">
        <f t="shared" si="146"/>
        <v>2.5619811438394092E-3</v>
      </c>
      <c r="P577" s="481">
        <f t="shared" si="147"/>
        <v>2.5329148145079028E-3</v>
      </c>
      <c r="Q577" s="578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">
      <c r="A578" s="553" t="s">
        <v>619</v>
      </c>
      <c r="C578" s="470" t="s">
        <v>599</v>
      </c>
      <c r="D578" s="471"/>
      <c r="E578" s="471">
        <v>1.0123419501207302</v>
      </c>
      <c r="F578" s="471">
        <v>1.0224746276334522</v>
      </c>
      <c r="G578" s="471">
        <v>1.0318096590054313</v>
      </c>
      <c r="H578" s="471">
        <v>1.040568100689119</v>
      </c>
      <c r="I578" s="471">
        <v>1.0491476885800255</v>
      </c>
      <c r="J578" s="471">
        <v>1.0546473961073131</v>
      </c>
      <c r="K578" s="471">
        <v>1.0600156863772707</v>
      </c>
      <c r="L578" s="471">
        <v>1.0652587749595908</v>
      </c>
      <c r="M578" s="471">
        <v>1.0703773048442411</v>
      </c>
      <c r="N578" s="471">
        <v>1.0753751834317971</v>
      </c>
      <c r="O578" s="488">
        <f t="shared" si="146"/>
        <v>7.5375183431797051E-3</v>
      </c>
      <c r="P578" s="489">
        <f t="shared" si="147"/>
        <v>7.2934292896156272E-3</v>
      </c>
      <c r="Q578" s="489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">
      <c r="A579" s="553" t="s">
        <v>619</v>
      </c>
      <c r="C579" s="136" t="s">
        <v>600</v>
      </c>
      <c r="D579" s="574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478">
        <f t="shared" si="146"/>
        <v>9.7308873986410305E-3</v>
      </c>
      <c r="P579" s="481">
        <f t="shared" si="147"/>
        <v>9.3293197294876951E-3</v>
      </c>
      <c r="Q579" s="578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">
      <c r="A580" s="553" t="s">
        <v>619</v>
      </c>
      <c r="C580" s="136" t="s">
        <v>601</v>
      </c>
      <c r="D580" s="574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478">
        <f t="shared" si="146"/>
        <v>1.0416577441320607E-2</v>
      </c>
      <c r="P580" s="481">
        <f t="shared" si="147"/>
        <v>9.95826625164975E-3</v>
      </c>
      <c r="Q580" s="578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">
      <c r="A581" s="553" t="s">
        <v>619</v>
      </c>
      <c r="C581" s="136" t="s">
        <v>602</v>
      </c>
      <c r="D581" s="574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478">
        <f t="shared" si="146"/>
        <v>9.64227339891921E-3</v>
      </c>
      <c r="P581" s="481">
        <f t="shared" si="147"/>
        <v>9.2477809488915597E-3</v>
      </c>
      <c r="Q581" s="578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">
      <c r="A582" s="553" t="s">
        <v>619</v>
      </c>
      <c r="C582" s="136" t="s">
        <v>603</v>
      </c>
      <c r="D582" s="574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478">
        <f t="shared" si="146"/>
        <v>1.0673446748664817E-2</v>
      </c>
      <c r="P582" s="481">
        <f t="shared" si="147"/>
        <v>1.0192973847719333E-2</v>
      </c>
      <c r="Q582" s="578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">
      <c r="A583" s="553" t="s">
        <v>619</v>
      </c>
      <c r="C583" s="136" t="s">
        <v>604</v>
      </c>
      <c r="D583" s="574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478">
        <f t="shared" si="146"/>
        <v>9.6882929737077683E-3</v>
      </c>
      <c r="P583" s="481">
        <f t="shared" si="147"/>
        <v>9.2901335764377091E-3</v>
      </c>
      <c r="Q583" s="578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">
      <c r="A584" s="553" t="s">
        <v>619</v>
      </c>
      <c r="C584" s="136" t="s">
        <v>605</v>
      </c>
      <c r="D584" s="574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478">
        <f t="shared" si="146"/>
        <v>1.0538678763041154E-2</v>
      </c>
      <c r="P584" s="481">
        <f t="shared" si="147"/>
        <v>1.0069894342066732E-2</v>
      </c>
      <c r="Q584" s="578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">
      <c r="A585" s="553" t="s">
        <v>619</v>
      </c>
      <c r="C585" s="136" t="s">
        <v>606</v>
      </c>
      <c r="D585" s="574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478">
        <f t="shared" si="146"/>
        <v>1.7807228078299507E-2</v>
      </c>
      <c r="P585" s="481">
        <f t="shared" si="147"/>
        <v>1.6522963134986579E-2</v>
      </c>
      <c r="Q585" s="578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">
      <c r="A586" s="57"/>
      <c r="B586" s="374"/>
      <c r="C586" s="136" t="s">
        <v>607</v>
      </c>
      <c r="D586" s="574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478">
        <f t="shared" si="146"/>
        <v>5.8821170316610384E-3</v>
      </c>
      <c r="P586" s="481">
        <f t="shared" si="147"/>
        <v>5.7319838926312983E-3</v>
      </c>
      <c r="Q586" s="578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">
      <c r="C587" s="10"/>
      <c r="E587" s="14"/>
      <c r="M587" s="12"/>
      <c r="N587" s="12"/>
      <c r="O587" s="479" t="s">
        <v>608</v>
      </c>
      <c r="P587" s="479" t="s">
        <v>608</v>
      </c>
      <c r="Q587" s="579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">
      <c r="C588" s="10"/>
      <c r="E588" s="14"/>
      <c r="M588" s="12"/>
      <c r="N588" s="12"/>
      <c r="O588" s="479" t="s">
        <v>620</v>
      </c>
      <c r="P588" s="479" t="s">
        <v>620</v>
      </c>
      <c r="Q588" s="579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">
      <c r="C589" s="10"/>
      <c r="E589" s="14"/>
      <c r="M589" s="12"/>
      <c r="N589" s="12"/>
      <c r="O589" s="12"/>
      <c r="P589" s="12"/>
      <c r="Q589" s="579" t="s">
        <v>615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">
      <c r="E590" s="14"/>
      <c r="M590" s="12"/>
      <c r="N590" s="12"/>
      <c r="O590" s="12"/>
      <c r="P590" s="12"/>
      <c r="Q590" s="579" t="s">
        <v>616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10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01" t="str">
        <f>'Inputs and eligible population'!B1</f>
        <v>Capivasertib with fulvestrant for treating hormone receptor-positive HER2-negative 
advanced breast cancer after endocrine 
treatment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25">
      <c r="B2" s="209" t="s">
        <v>939</v>
      </c>
      <c r="C2" s="125" t="s">
        <v>802</v>
      </c>
      <c r="D2" s="125" t="s">
        <v>802</v>
      </c>
      <c r="E2" s="125" t="s">
        <v>802</v>
      </c>
      <c r="F2" s="125" t="s">
        <v>802</v>
      </c>
      <c r="G2" s="125" t="s">
        <v>802</v>
      </c>
      <c r="H2" s="125" t="s">
        <v>802</v>
      </c>
      <c r="I2" s="125" t="s">
        <v>802</v>
      </c>
      <c r="J2" s="125" t="s">
        <v>802</v>
      </c>
      <c r="K2" s="125"/>
      <c r="L2" s="125" t="s">
        <v>802</v>
      </c>
      <c r="M2" s="125" t="s">
        <v>802</v>
      </c>
      <c r="N2" s="125" t="s">
        <v>802</v>
      </c>
      <c r="O2" s="125" t="s">
        <v>802</v>
      </c>
      <c r="P2" s="125" t="s">
        <v>802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5" customHeight="1" x14ac:dyDescent="0.25">
      <c r="B3" s="128" t="s">
        <v>802</v>
      </c>
      <c r="C3" s="131" t="s">
        <v>802</v>
      </c>
      <c r="D3" s="131" t="s">
        <v>802</v>
      </c>
      <c r="E3" s="131" t="s">
        <v>802</v>
      </c>
      <c r="F3" s="131" t="s">
        <v>802</v>
      </c>
      <c r="G3" s="131" t="s">
        <v>802</v>
      </c>
      <c r="H3" s="131" t="s">
        <v>802</v>
      </c>
      <c r="I3" s="131" t="s">
        <v>802</v>
      </c>
      <c r="J3" s="131" t="s">
        <v>802</v>
      </c>
      <c r="K3" s="131"/>
      <c r="L3" s="131" t="s">
        <v>802</v>
      </c>
      <c r="M3" s="131" t="s">
        <v>802</v>
      </c>
      <c r="N3" s="131" t="s">
        <v>802</v>
      </c>
      <c r="O3" s="131" t="s">
        <v>802</v>
      </c>
      <c r="P3" s="131" t="s">
        <v>802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45" customHeight="1" x14ac:dyDescent="0.25">
      <c r="B4" t="s">
        <v>910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5" customHeight="1" x14ac:dyDescent="0.2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31"/>
      <c r="Z5" s="131"/>
    </row>
    <row r="6" spans="1:40" ht="45" x14ac:dyDescent="0.25">
      <c r="B6" s="252" t="s">
        <v>869</v>
      </c>
      <c r="C6" s="204"/>
      <c r="D6" s="817" t="s">
        <v>903</v>
      </c>
      <c r="E6" s="250" t="s">
        <v>715</v>
      </c>
      <c r="F6" s="250" t="s">
        <v>716</v>
      </c>
      <c r="G6" s="163" t="s">
        <v>866</v>
      </c>
      <c r="H6" s="163" t="s">
        <v>867</v>
      </c>
      <c r="I6" s="250" t="s">
        <v>868</v>
      </c>
      <c r="L6" s="817" t="s">
        <v>903</v>
      </c>
      <c r="M6" s="250" t="s">
        <v>715</v>
      </c>
      <c r="N6" s="250" t="s">
        <v>716</v>
      </c>
      <c r="O6" s="163" t="s">
        <v>866</v>
      </c>
      <c r="P6" s="163" t="s">
        <v>867</v>
      </c>
      <c r="Q6" s="250" t="s">
        <v>868</v>
      </c>
      <c r="R6" s="131"/>
      <c r="S6" s="125"/>
      <c r="T6" s="125"/>
      <c r="U6" s="125"/>
      <c r="V6" s="125"/>
      <c r="W6" s="125"/>
      <c r="X6" s="125"/>
      <c r="Y6" s="131"/>
      <c r="Z6" s="131"/>
      <c r="AJ6" s="279"/>
      <c r="AK6" s="279"/>
      <c r="AL6" s="279"/>
      <c r="AM6" s="279"/>
      <c r="AN6" s="279"/>
    </row>
    <row r="7" spans="1:40" ht="14.45" customHeight="1" x14ac:dyDescent="0.25">
      <c r="B7" s="219" t="s">
        <v>869</v>
      </c>
      <c r="C7" s="166"/>
      <c r="D7" s="357">
        <f>'Inputs and eligible population'!F41</f>
        <v>1113.2074368000001</v>
      </c>
      <c r="E7" s="357">
        <f>'Inputs and eligible population'!G41</f>
        <v>1123.9407685730393</v>
      </c>
      <c r="F7" s="357">
        <f>'Inputs and eligible population'!H41</f>
        <v>1134.7775890644809</v>
      </c>
      <c r="G7" s="357">
        <f>'Inputs and eligible population'!I41</f>
        <v>1145.7188960926221</v>
      </c>
      <c r="H7" s="357">
        <f>'Inputs and eligible population'!J41</f>
        <v>1156.7656970965322</v>
      </c>
      <c r="I7" s="357">
        <f>'Inputs and eligible population'!K41</f>
        <v>1167.9190092288145</v>
      </c>
      <c r="P7" s="131"/>
      <c r="Q7" s="131"/>
      <c r="R7" s="131"/>
      <c r="S7" s="125"/>
      <c r="T7" s="125"/>
      <c r="U7" s="125"/>
      <c r="V7" s="125"/>
      <c r="W7" s="125"/>
      <c r="X7" s="125"/>
      <c r="Y7" s="131"/>
      <c r="Z7" s="131"/>
      <c r="AJ7" s="279"/>
      <c r="AK7" s="279"/>
      <c r="AL7" s="279"/>
      <c r="AM7" s="279"/>
      <c r="AN7" s="279"/>
    </row>
    <row r="8" spans="1:40" ht="14.45" customHeight="1" x14ac:dyDescent="0.25">
      <c r="B8"/>
      <c r="P8" s="131"/>
      <c r="Q8" s="131"/>
      <c r="R8" s="131"/>
      <c r="S8" s="125"/>
      <c r="T8" s="125"/>
      <c r="U8" s="125"/>
      <c r="V8" s="125"/>
      <c r="W8" s="125"/>
      <c r="X8" s="125"/>
      <c r="Y8" s="131"/>
      <c r="Z8" s="131"/>
      <c r="AJ8" s="279"/>
      <c r="AK8" s="279"/>
      <c r="AL8" s="279"/>
      <c r="AM8" s="279"/>
      <c r="AN8" s="279"/>
    </row>
    <row r="9" spans="1:40" ht="14.45" customHeight="1" x14ac:dyDescent="0.25">
      <c r="B9" s="272" t="s">
        <v>911</v>
      </c>
      <c r="C9" s="405"/>
      <c r="D9" s="405"/>
      <c r="E9" s="406"/>
      <c r="F9" s="405"/>
      <c r="G9" s="407"/>
      <c r="H9" s="408"/>
      <c r="I9" s="408"/>
      <c r="J9" s="534"/>
      <c r="K9" s="533"/>
      <c r="L9" s="677" t="s">
        <v>873</v>
      </c>
      <c r="M9" s="677" t="s">
        <v>873</v>
      </c>
      <c r="N9" s="677" t="s">
        <v>873</v>
      </c>
      <c r="O9" s="677" t="s">
        <v>873</v>
      </c>
      <c r="P9" s="677" t="s">
        <v>873</v>
      </c>
      <c r="Q9" s="677" t="s">
        <v>873</v>
      </c>
      <c r="R9" s="131"/>
      <c r="S9" s="125"/>
      <c r="T9" s="125"/>
      <c r="U9" s="125"/>
      <c r="V9" s="125"/>
      <c r="W9" s="125"/>
      <c r="X9" s="125"/>
      <c r="Y9" s="131"/>
      <c r="Z9" s="131"/>
      <c r="AJ9" s="279"/>
      <c r="AK9" s="279"/>
      <c r="AL9" s="279"/>
      <c r="AM9" s="279"/>
      <c r="AN9" s="279"/>
    </row>
    <row r="10" spans="1:40" ht="14.45" customHeight="1" x14ac:dyDescent="0.25">
      <c r="A10" s="281"/>
      <c r="B10" s="414" t="str">
        <f>B22</f>
        <v>First attendances - number of appointments</v>
      </c>
      <c r="C10" s="362"/>
      <c r="D10" s="393">
        <f>D27</f>
        <v>0</v>
      </c>
      <c r="E10" s="393">
        <f t="shared" ref="E10:I10" si="0">E27</f>
        <v>0</v>
      </c>
      <c r="F10" s="393">
        <f t="shared" si="0"/>
        <v>0</v>
      </c>
      <c r="G10" s="393">
        <f t="shared" si="0"/>
        <v>0</v>
      </c>
      <c r="H10" s="393">
        <f t="shared" si="0"/>
        <v>0</v>
      </c>
      <c r="I10" s="393">
        <f t="shared" si="0"/>
        <v>0</v>
      </c>
      <c r="L10" s="284">
        <f>L27</f>
        <v>0</v>
      </c>
      <c r="M10" s="284">
        <f t="shared" ref="M10:Q10" si="1">M27</f>
        <v>0</v>
      </c>
      <c r="N10" s="284">
        <f t="shared" si="1"/>
        <v>0</v>
      </c>
      <c r="O10" s="284">
        <f t="shared" si="1"/>
        <v>0</v>
      </c>
      <c r="P10" s="284">
        <f t="shared" si="1"/>
        <v>0</v>
      </c>
      <c r="Q10" s="284">
        <f t="shared" si="1"/>
        <v>0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79"/>
      <c r="AK10" s="279"/>
      <c r="AL10" s="279"/>
      <c r="AM10" s="279"/>
      <c r="AN10" s="279"/>
    </row>
    <row r="11" spans="1:40" ht="14.45" customHeight="1" x14ac:dyDescent="0.25">
      <c r="A11" s="281"/>
      <c r="B11" s="414" t="str">
        <f>B30</f>
        <v>Follow up attendances - number of appointments</v>
      </c>
      <c r="C11" s="362"/>
      <c r="D11" s="393">
        <f>D35</f>
        <v>3339.6223104000005</v>
      </c>
      <c r="E11" s="393">
        <f t="shared" ref="E11:I11" si="2">E35</f>
        <v>3709.0045362910305</v>
      </c>
      <c r="F11" s="393">
        <f t="shared" si="2"/>
        <v>3858.243802819235</v>
      </c>
      <c r="G11" s="393">
        <f t="shared" si="2"/>
        <v>4010.0161363241778</v>
      </c>
      <c r="H11" s="393">
        <f t="shared" si="2"/>
        <v>4048.6799398378625</v>
      </c>
      <c r="I11" s="393">
        <f t="shared" si="2"/>
        <v>4087.7165323008508</v>
      </c>
      <c r="L11" s="284">
        <f>L35</f>
        <v>57.026589063035921</v>
      </c>
      <c r="M11" s="284">
        <f t="shared" ref="M11:Q11" si="3">M35</f>
        <v>63.334071300616927</v>
      </c>
      <c r="N11" s="284">
        <f t="shared" si="3"/>
        <v>65.882445198428584</v>
      </c>
      <c r="O11" s="284">
        <f t="shared" si="3"/>
        <v>68.47407313999895</v>
      </c>
      <c r="P11" s="284">
        <f t="shared" si="3"/>
        <v>69.134286969485785</v>
      </c>
      <c r="Q11" s="284">
        <f t="shared" si="3"/>
        <v>69.800866453601586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79"/>
      <c r="AK11" s="279"/>
      <c r="AL11" s="279"/>
      <c r="AM11" s="279"/>
      <c r="AN11" s="279"/>
    </row>
    <row r="12" spans="1:40" ht="14.45" customHeight="1" x14ac:dyDescent="0.25">
      <c r="A12" s="288"/>
      <c r="B12" s="411" t="str">
        <f>B45</f>
        <v>Number of administrations</v>
      </c>
      <c r="C12" s="388"/>
      <c r="D12" s="387">
        <f>D49</f>
        <v>7405.0558695936015</v>
      </c>
      <c r="E12" s="387">
        <f t="shared" ref="E12:I12" si="4">E49</f>
        <v>7838.3629200283767</v>
      </c>
      <c r="F12" s="387">
        <f t="shared" si="4"/>
        <v>8047.8426616452989</v>
      </c>
      <c r="G12" s="387">
        <f t="shared" si="4"/>
        <v>8260.6332408278049</v>
      </c>
      <c r="H12" s="387">
        <f t="shared" si="4"/>
        <v>8340.2806760659969</v>
      </c>
      <c r="I12" s="387">
        <f t="shared" si="4"/>
        <v>8420.696056539753</v>
      </c>
      <c r="L12" s="284">
        <f>L49</f>
        <v>1121.1690963879937</v>
      </c>
      <c r="M12" s="284">
        <f t="shared" ref="M12:Q12" si="5">M49</f>
        <v>1252.4791306301265</v>
      </c>
      <c r="N12" s="284">
        <f t="shared" si="5"/>
        <v>1308.9795663169475</v>
      </c>
      <c r="O12" s="284">
        <f t="shared" si="5"/>
        <v>1366.4530986138266</v>
      </c>
      <c r="P12" s="284">
        <f t="shared" si="5"/>
        <v>1379.62817629915</v>
      </c>
      <c r="Q12" s="284">
        <f t="shared" si="5"/>
        <v>1392.9302855468379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79"/>
      <c r="AK12" s="279"/>
      <c r="AL12" s="279"/>
      <c r="AM12" s="279"/>
      <c r="AN12" s="279"/>
    </row>
    <row r="13" spans="1:40" ht="14.45" customHeight="1" x14ac:dyDescent="0.25">
      <c r="A13" s="280"/>
      <c r="B13" s="412" t="str">
        <f>B61</f>
        <v>Administrations - duration of administrations (hours)</v>
      </c>
      <c r="C13" s="416"/>
      <c r="D13" s="389">
        <f>D66</f>
        <v>128.98363501056002</v>
      </c>
      <c r="E13" s="389">
        <f t="shared" ref="E13:I13" si="6">E66</f>
        <v>258.20665923351294</v>
      </c>
      <c r="F13" s="389">
        <f t="shared" si="6"/>
        <v>307.75168215428727</v>
      </c>
      <c r="G13" s="389">
        <f t="shared" si="6"/>
        <v>358.22810817829316</v>
      </c>
      <c r="H13" s="389">
        <f t="shared" si="6"/>
        <v>361.68207462551572</v>
      </c>
      <c r="I13" s="389">
        <f t="shared" si="6"/>
        <v>365.16934355220934</v>
      </c>
      <c r="L13" s="202"/>
      <c r="M13" s="202"/>
      <c r="N13" s="202"/>
      <c r="O13" s="202"/>
      <c r="P13" s="386"/>
      <c r="Q13" s="386"/>
      <c r="R13" s="131"/>
      <c r="S13" s="131"/>
      <c r="T13" s="131"/>
      <c r="U13" s="131"/>
      <c r="V13" s="131"/>
      <c r="W13" s="131"/>
      <c r="X13" s="131"/>
      <c r="Y13" s="131"/>
      <c r="Z13" s="131"/>
      <c r="AJ13" s="279"/>
      <c r="AK13" s="279"/>
      <c r="AL13" s="279"/>
      <c r="AM13" s="279"/>
      <c r="AN13" s="279"/>
    </row>
    <row r="14" spans="1:40" ht="14.45" customHeight="1" x14ac:dyDescent="0.25">
      <c r="A14" s="280"/>
      <c r="B14" s="412" t="str">
        <f>B69</f>
        <v>Preparation time before administration (hours)</v>
      </c>
      <c r="C14" s="416"/>
      <c r="D14" s="389">
        <f>D74</f>
        <v>32.245908752640005</v>
      </c>
      <c r="E14" s="389">
        <f t="shared" ref="E14:I14" si="7">E74</f>
        <v>64.551664808378234</v>
      </c>
      <c r="F14" s="389">
        <f t="shared" si="7"/>
        <v>76.937920538571817</v>
      </c>
      <c r="G14" s="389">
        <f t="shared" si="7"/>
        <v>89.557027044573289</v>
      </c>
      <c r="H14" s="389">
        <f t="shared" si="7"/>
        <v>90.420518656378931</v>
      </c>
      <c r="I14" s="389">
        <f t="shared" si="7"/>
        <v>91.292335888052335</v>
      </c>
      <c r="L14" s="202"/>
      <c r="M14" s="202"/>
      <c r="N14" s="202"/>
      <c r="O14" s="202"/>
      <c r="P14" s="386"/>
      <c r="Q14" s="386"/>
      <c r="R14" s="131"/>
      <c r="S14" s="131"/>
      <c r="T14" s="131"/>
      <c r="U14" s="131"/>
      <c r="V14" s="131"/>
      <c r="W14" s="131"/>
      <c r="X14" s="131"/>
      <c r="Y14" s="131"/>
      <c r="Z14" s="131"/>
      <c r="AJ14" s="279"/>
      <c r="AK14" s="279"/>
      <c r="AL14" s="279"/>
      <c r="AM14" s="279"/>
      <c r="AN14" s="279"/>
    </row>
    <row r="15" spans="1:40" ht="14.45" customHeight="1" x14ac:dyDescent="0.25">
      <c r="A15" s="280"/>
      <c r="B15" s="412" t="str">
        <f>B77</f>
        <v>Post administration nursing time (hours)</v>
      </c>
      <c r="C15" s="416"/>
      <c r="D15" s="389">
        <f>D82</f>
        <v>0</v>
      </c>
      <c r="E15" s="390">
        <f t="shared" ref="E15:I15" si="8">E82</f>
        <v>0</v>
      </c>
      <c r="F15" s="389">
        <f t="shared" si="8"/>
        <v>0</v>
      </c>
      <c r="G15" s="389">
        <f t="shared" si="8"/>
        <v>0</v>
      </c>
      <c r="H15" s="389">
        <f t="shared" si="8"/>
        <v>0</v>
      </c>
      <c r="I15" s="389">
        <f t="shared" si="8"/>
        <v>0</v>
      </c>
      <c r="L15" s="202"/>
      <c r="M15" s="202"/>
      <c r="N15" s="202"/>
      <c r="O15" s="202"/>
      <c r="P15" s="386"/>
      <c r="Q15" s="386"/>
      <c r="R15" s="131"/>
      <c r="S15" s="131"/>
      <c r="T15" s="131"/>
      <c r="U15" s="131"/>
      <c r="V15" s="131"/>
      <c r="W15" s="131"/>
      <c r="X15" s="131"/>
      <c r="Y15" s="131"/>
      <c r="Z15" s="131"/>
      <c r="AJ15" s="279"/>
      <c r="AK15" s="279"/>
      <c r="AL15" s="279"/>
      <c r="AM15" s="279"/>
      <c r="AN15" s="279"/>
    </row>
    <row r="16" spans="1:40" ht="14.45" customHeight="1" x14ac:dyDescent="0.25">
      <c r="A16" s="282"/>
      <c r="B16" s="413" t="str">
        <f>B86</f>
        <v>Pharmacy support (hours)</v>
      </c>
      <c r="C16" s="417"/>
      <c r="D16" s="391">
        <f>D91</f>
        <v>778.3175328960001</v>
      </c>
      <c r="E16" s="391">
        <f t="shared" ref="E16:I16" si="9">E91</f>
        <v>975.9552340442558</v>
      </c>
      <c r="F16" s="391">
        <f t="shared" si="9"/>
        <v>1055.3431578299674</v>
      </c>
      <c r="G16" s="391">
        <f t="shared" si="9"/>
        <v>1136.1712386251836</v>
      </c>
      <c r="H16" s="391">
        <f t="shared" si="9"/>
        <v>1147.1259829540611</v>
      </c>
      <c r="I16" s="391">
        <f t="shared" si="9"/>
        <v>1158.1863508185743</v>
      </c>
      <c r="L16" s="202"/>
      <c r="M16" s="202"/>
      <c r="N16" s="202"/>
      <c r="O16" s="202"/>
      <c r="P16" s="386"/>
      <c r="Q16" s="386"/>
      <c r="R16" s="131"/>
      <c r="S16" s="131"/>
      <c r="T16" s="131"/>
      <c r="U16" s="131"/>
      <c r="V16" s="131"/>
      <c r="W16" s="131"/>
      <c r="X16" s="131"/>
      <c r="Y16" s="131"/>
      <c r="Z16" s="131"/>
      <c r="AJ16" s="279"/>
      <c r="AK16" s="279"/>
      <c r="AL16" s="279"/>
      <c r="AM16" s="279"/>
      <c r="AN16" s="279"/>
    </row>
    <row r="17" spans="1:40" ht="14.45" customHeight="1" x14ac:dyDescent="0.25">
      <c r="A17" s="283"/>
      <c r="B17" s="415" t="str">
        <f>B95</f>
        <v>Adverse events, various (cases)</v>
      </c>
      <c r="C17" s="398"/>
      <c r="D17" s="394">
        <f>D103</f>
        <v>414.20222308454402</v>
      </c>
      <c r="E17" s="394">
        <f t="shared" ref="E17:I17" si="10">E103</f>
        <v>396.70613367553995</v>
      </c>
      <c r="F17" s="394">
        <f t="shared" si="10"/>
        <v>396.80902734406777</v>
      </c>
      <c r="G17" s="394">
        <f t="shared" si="10"/>
        <v>396.87702560648432</v>
      </c>
      <c r="H17" s="394">
        <f t="shared" si="10"/>
        <v>400.70363747423875</v>
      </c>
      <c r="I17" s="394">
        <f t="shared" si="10"/>
        <v>404.56714479686133</v>
      </c>
      <c r="J17" s="131"/>
      <c r="K17" s="131"/>
      <c r="L17" s="284">
        <f>L103</f>
        <v>384.38901797247274</v>
      </c>
      <c r="M17" s="284">
        <f>M103</f>
        <v>307.64667126207723</v>
      </c>
      <c r="N17" s="284">
        <f t="shared" ref="N17:Q17" si="11">N103</f>
        <v>286.55230920516112</v>
      </c>
      <c r="O17" s="284">
        <f t="shared" si="11"/>
        <v>265.02257138924199</v>
      </c>
      <c r="P17" s="284">
        <f t="shared" si="11"/>
        <v>267.57786799617242</v>
      </c>
      <c r="Q17" s="284">
        <f t="shared" si="11"/>
        <v>270.1578022810001</v>
      </c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40" ht="14.45" customHeight="1" x14ac:dyDescent="0.25">
      <c r="B18" s="241"/>
      <c r="D18" s="279"/>
      <c r="F18" s="131"/>
      <c r="G18" s="131"/>
      <c r="H18" s="131"/>
      <c r="I18" s="131"/>
      <c r="J18" s="131"/>
      <c r="K18" s="131"/>
      <c r="L18" s="285">
        <f t="shared" ref="L18:Q18" si="12">SUM(L10:L17)</f>
        <v>1562.5847034235026</v>
      </c>
      <c r="M18" s="285">
        <f t="shared" si="12"/>
        <v>1623.4598731928206</v>
      </c>
      <c r="N18" s="285">
        <f t="shared" si="12"/>
        <v>1661.414320720537</v>
      </c>
      <c r="O18" s="285">
        <f t="shared" si="12"/>
        <v>1699.9497431430673</v>
      </c>
      <c r="P18" s="285">
        <f t="shared" si="12"/>
        <v>1716.3403312648084</v>
      </c>
      <c r="Q18" s="285">
        <f t="shared" si="12"/>
        <v>1732.8889542814397</v>
      </c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40" x14ac:dyDescent="0.25"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P19" s="131"/>
      <c r="Q19" s="131"/>
      <c r="R19" s="131"/>
      <c r="S19" s="131"/>
      <c r="V19" s="131"/>
      <c r="W19" s="131"/>
      <c r="X19" s="131"/>
      <c r="Y19" s="131"/>
      <c r="Z19" s="131"/>
      <c r="AJ19" s="279"/>
      <c r="AK19" s="279"/>
      <c r="AL19" s="279"/>
      <c r="AM19" s="279"/>
      <c r="AN19" s="279"/>
    </row>
    <row r="20" spans="1:40" x14ac:dyDescent="0.25">
      <c r="B20" s="349" t="s">
        <v>912</v>
      </c>
      <c r="C20" s="350"/>
      <c r="D20" s="350"/>
      <c r="E20" s="351"/>
      <c r="F20" s="350"/>
      <c r="G20" s="352"/>
      <c r="H20" s="353"/>
      <c r="I20" s="353"/>
      <c r="J20" s="353"/>
      <c r="K20" s="353"/>
      <c r="L20" s="353"/>
      <c r="M20" s="353"/>
      <c r="N20" s="353"/>
      <c r="O20" s="353"/>
      <c r="P20" s="353"/>
      <c r="Q20" s="354"/>
      <c r="R20" s="131"/>
      <c r="S20" s="131"/>
      <c r="T20" s="131"/>
      <c r="U20" s="131"/>
      <c r="V20" s="131"/>
      <c r="W20" s="131"/>
      <c r="X20" s="131"/>
      <c r="Y20" s="131"/>
      <c r="Z20" s="131"/>
      <c r="AJ20" s="279"/>
      <c r="AK20" s="279"/>
      <c r="AL20" s="279"/>
      <c r="AM20" s="279"/>
      <c r="AN20" s="279"/>
    </row>
    <row r="21" spans="1:40" x14ac:dyDescent="0.25">
      <c r="A21" s="281"/>
      <c r="B21" s="518" t="s">
        <v>766</v>
      </c>
      <c r="C21" s="511"/>
      <c r="D21" s="512"/>
      <c r="E21" s="513"/>
      <c r="F21" s="281"/>
      <c r="G21" s="281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131"/>
      <c r="S21" s="131"/>
      <c r="T21" s="131"/>
      <c r="U21" s="131"/>
      <c r="V21" s="131"/>
      <c r="W21" s="131"/>
      <c r="X21" s="131"/>
      <c r="Y21" s="131"/>
      <c r="Z21" s="131"/>
      <c r="AJ21" s="279"/>
      <c r="AK21" s="279"/>
      <c r="AL21" s="279"/>
      <c r="AM21" s="279"/>
      <c r="AN21" s="279"/>
    </row>
    <row r="22" spans="1:40" x14ac:dyDescent="0.25">
      <c r="A22" s="509"/>
      <c r="B22" s="514" t="s">
        <v>940</v>
      </c>
      <c r="C22" s="371"/>
      <c r="D22" s="371"/>
      <c r="E22" s="371"/>
      <c r="F22" s="371"/>
      <c r="G22" s="371"/>
      <c r="H22" s="371"/>
      <c r="I22" s="213"/>
      <c r="J22" s="214"/>
      <c r="K22" s="214"/>
      <c r="L22" s="214"/>
      <c r="M22" s="214"/>
      <c r="N22" s="214"/>
      <c r="O22" s="214"/>
      <c r="P22" s="214"/>
      <c r="Q22" s="214"/>
      <c r="R22" s="131"/>
      <c r="S22" s="131"/>
      <c r="T22" s="131"/>
      <c r="U22" s="131"/>
      <c r="V22" s="131"/>
      <c r="W22" s="131"/>
      <c r="X22" s="131"/>
      <c r="Y22" s="131"/>
      <c r="Z22" s="131"/>
      <c r="AJ22" s="279"/>
      <c r="AK22" s="279"/>
      <c r="AL22" s="279"/>
      <c r="AM22" s="279"/>
      <c r="AN22" s="279"/>
    </row>
    <row r="23" spans="1:40" ht="45" x14ac:dyDescent="0.25">
      <c r="A23" s="509"/>
      <c r="B23" s="307" t="s">
        <v>826</v>
      </c>
      <c r="C23" s="164" t="s">
        <v>914</v>
      </c>
      <c r="D23" s="817" t="s">
        <v>903</v>
      </c>
      <c r="E23" s="250" t="s">
        <v>715</v>
      </c>
      <c r="F23" s="250" t="s">
        <v>716</v>
      </c>
      <c r="G23" s="163" t="s">
        <v>866</v>
      </c>
      <c r="H23" s="163" t="s">
        <v>867</v>
      </c>
      <c r="I23" s="250" t="s">
        <v>868</v>
      </c>
      <c r="J23" s="517"/>
      <c r="K23" s="508" t="s">
        <v>937</v>
      </c>
      <c r="L23" s="817" t="s">
        <v>903</v>
      </c>
      <c r="M23" s="492" t="s">
        <v>715</v>
      </c>
      <c r="N23" s="492" t="s">
        <v>716</v>
      </c>
      <c r="O23" s="392" t="s">
        <v>866</v>
      </c>
      <c r="P23" s="392" t="s">
        <v>867</v>
      </c>
      <c r="Q23" s="492" t="s">
        <v>868</v>
      </c>
      <c r="R23" s="131"/>
      <c r="S23" s="131"/>
      <c r="T23" s="131"/>
      <c r="U23" s="131"/>
      <c r="V23" s="131"/>
      <c r="W23" s="131"/>
      <c r="X23" s="131"/>
      <c r="Y23" s="131"/>
      <c r="Z23" s="131"/>
      <c r="AJ23" s="279"/>
      <c r="AK23" s="279"/>
      <c r="AL23" s="279"/>
      <c r="AM23" s="279"/>
      <c r="AN23" s="279"/>
    </row>
    <row r="24" spans="1:40" x14ac:dyDescent="0.25">
      <c r="A24" s="509"/>
      <c r="B24" s="328" t="s">
        <v>754</v>
      </c>
      <c r="C24" s="147">
        <f>'Inputs and eligible population'!F73</f>
        <v>0</v>
      </c>
      <c r="D24" s="126">
        <f>'Financial impact (cash)'!D13*$C$24</f>
        <v>0</v>
      </c>
      <c r="E24" s="126">
        <f>'Financial impact (cash)'!E13*$C$24</f>
        <v>0</v>
      </c>
      <c r="F24" s="126">
        <f>'Financial impact (cash)'!F13*$C$24</f>
        <v>0</v>
      </c>
      <c r="G24" s="126">
        <f>'Financial impact (cash)'!G13*$C$24</f>
        <v>0</v>
      </c>
      <c r="H24" s="126">
        <f>'Financial impact (cash)'!H13*$C$24</f>
        <v>0</v>
      </c>
      <c r="I24" s="126">
        <f>'Financial impact (cash)'!I13*$C$24</f>
        <v>0</v>
      </c>
      <c r="J24" s="517"/>
      <c r="K24" s="524">
        <f>'Unit costs'!N42</f>
        <v>10.114103999999999</v>
      </c>
      <c r="L24" s="284">
        <f>(D24*$K$24)/1000</f>
        <v>0</v>
      </c>
      <c r="M24" s="284">
        <f t="shared" ref="M24:Q24" si="13">(E24*$K$24)/1000</f>
        <v>0</v>
      </c>
      <c r="N24" s="284">
        <f t="shared" si="13"/>
        <v>0</v>
      </c>
      <c r="O24" s="284">
        <f t="shared" si="13"/>
        <v>0</v>
      </c>
      <c r="P24" s="284">
        <f t="shared" si="13"/>
        <v>0</v>
      </c>
      <c r="Q24" s="284">
        <f t="shared" si="13"/>
        <v>0</v>
      </c>
      <c r="R24" s="131"/>
      <c r="S24" s="131"/>
      <c r="T24" s="131"/>
      <c r="U24" s="131"/>
      <c r="V24" s="131"/>
      <c r="W24" s="131"/>
      <c r="X24" s="131"/>
      <c r="Y24" s="131"/>
      <c r="Z24" s="131"/>
      <c r="AJ24" s="279"/>
      <c r="AK24" s="279"/>
      <c r="AL24" s="279"/>
      <c r="AM24" s="279"/>
      <c r="AN24" s="279"/>
    </row>
    <row r="25" spans="1:40" x14ac:dyDescent="0.25">
      <c r="A25" s="509"/>
      <c r="B25" s="328" t="s">
        <v>1028</v>
      </c>
      <c r="C25" s="147">
        <f>'Inputs and eligible population'!G73</f>
        <v>0</v>
      </c>
      <c r="D25" s="126">
        <f>'Financial impact (cash)'!D14*$C$25</f>
        <v>0</v>
      </c>
      <c r="E25" s="126">
        <f>'Financial impact (cash)'!E14*$C$25</f>
        <v>0</v>
      </c>
      <c r="F25" s="126">
        <f>'Financial impact (cash)'!F14*$C$25</f>
        <v>0</v>
      </c>
      <c r="G25" s="126">
        <f>'Financial impact (cash)'!G14*$C$25</f>
        <v>0</v>
      </c>
      <c r="H25" s="126">
        <f>'Financial impact (cash)'!H14*$C$25</f>
        <v>0</v>
      </c>
      <c r="I25" s="126">
        <f>'Financial impact (cash)'!I14*$C$25</f>
        <v>0</v>
      </c>
      <c r="J25" s="517"/>
      <c r="K25" s="524">
        <f>'Unit costs'!N42</f>
        <v>10.114103999999999</v>
      </c>
      <c r="L25" s="284">
        <f>(D25*$K$25)/1000</f>
        <v>0</v>
      </c>
      <c r="M25" s="284">
        <f t="shared" ref="M25:Q25" si="14">(E25*$K$25)/1000</f>
        <v>0</v>
      </c>
      <c r="N25" s="284">
        <f t="shared" si="14"/>
        <v>0</v>
      </c>
      <c r="O25" s="284">
        <f t="shared" si="14"/>
        <v>0</v>
      </c>
      <c r="P25" s="284">
        <f t="shared" si="14"/>
        <v>0</v>
      </c>
      <c r="Q25" s="284">
        <f t="shared" si="14"/>
        <v>0</v>
      </c>
      <c r="R25" s="131"/>
      <c r="S25" s="131"/>
      <c r="T25" s="131"/>
      <c r="U25" s="131"/>
      <c r="V25" s="131"/>
      <c r="W25" s="131"/>
      <c r="X25" s="131"/>
      <c r="Y25" s="131"/>
      <c r="Z25" s="131"/>
      <c r="AJ25" s="279"/>
      <c r="AK25" s="279"/>
      <c r="AL25" s="279"/>
      <c r="AM25" s="279"/>
      <c r="AN25" s="279"/>
    </row>
    <row r="26" spans="1:40" x14ac:dyDescent="0.25">
      <c r="A26" s="509"/>
      <c r="B26" s="328" t="s">
        <v>1029</v>
      </c>
      <c r="C26" s="147">
        <f>'Inputs and eligible population'!H73</f>
        <v>0</v>
      </c>
      <c r="D26" s="126">
        <f>'Financial impact (cash)'!D15*$C$26</f>
        <v>0</v>
      </c>
      <c r="E26" s="126">
        <f>'Financial impact (cash)'!E15*$C$26</f>
        <v>0</v>
      </c>
      <c r="F26" s="126">
        <f>'Financial impact (cash)'!F15*$C$26</f>
        <v>0</v>
      </c>
      <c r="G26" s="126">
        <f>'Financial impact (cash)'!G15*$C$26</f>
        <v>0</v>
      </c>
      <c r="H26" s="126">
        <f>'Financial impact (cash)'!H15*$C$26</f>
        <v>0</v>
      </c>
      <c r="I26" s="126">
        <f>'Financial impact (cash)'!I15*$C$26</f>
        <v>0</v>
      </c>
      <c r="J26" s="517"/>
      <c r="K26" s="524">
        <f>'Unit costs'!N42</f>
        <v>10.114103999999999</v>
      </c>
      <c r="L26" s="284">
        <f>(D26*$K$26)/1000</f>
        <v>0</v>
      </c>
      <c r="M26" s="284">
        <f t="shared" ref="M26:Q26" si="15">(E26*$K$26)/1000</f>
        <v>0</v>
      </c>
      <c r="N26" s="284">
        <f t="shared" si="15"/>
        <v>0</v>
      </c>
      <c r="O26" s="284">
        <f t="shared" si="15"/>
        <v>0</v>
      </c>
      <c r="P26" s="284">
        <f t="shared" si="15"/>
        <v>0</v>
      </c>
      <c r="Q26" s="284">
        <f t="shared" si="15"/>
        <v>0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79"/>
      <c r="AK26" s="279"/>
      <c r="AL26" s="279"/>
      <c r="AM26" s="279"/>
      <c r="AN26" s="279"/>
    </row>
    <row r="27" spans="1:40" x14ac:dyDescent="0.25">
      <c r="A27" s="509"/>
      <c r="B27" s="483"/>
      <c r="C27" s="276"/>
      <c r="D27" s="183">
        <f>SUM(D24:D26)</f>
        <v>0</v>
      </c>
      <c r="E27" s="183">
        <f t="shared" ref="E27:I27" si="16">SUM(E24:E26)</f>
        <v>0</v>
      </c>
      <c r="F27" s="183">
        <f t="shared" si="16"/>
        <v>0</v>
      </c>
      <c r="G27" s="183">
        <f t="shared" si="16"/>
        <v>0</v>
      </c>
      <c r="H27" s="183">
        <f t="shared" si="16"/>
        <v>0</v>
      </c>
      <c r="I27" s="183">
        <f t="shared" si="16"/>
        <v>0</v>
      </c>
      <c r="J27" s="517"/>
      <c r="K27" s="214"/>
      <c r="L27" s="285">
        <f>SUM(L24:L26)</f>
        <v>0</v>
      </c>
      <c r="M27" s="285">
        <f t="shared" ref="M27:Q27" si="17">SUM(M24:M26)</f>
        <v>0</v>
      </c>
      <c r="N27" s="285">
        <f t="shared" si="17"/>
        <v>0</v>
      </c>
      <c r="O27" s="285">
        <f t="shared" si="17"/>
        <v>0</v>
      </c>
      <c r="P27" s="285">
        <f t="shared" si="17"/>
        <v>0</v>
      </c>
      <c r="Q27" s="285">
        <f t="shared" si="17"/>
        <v>0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79"/>
      <c r="AK27" s="279"/>
      <c r="AL27" s="279"/>
      <c r="AM27" s="279"/>
      <c r="AN27" s="279"/>
    </row>
    <row r="28" spans="1:40" x14ac:dyDescent="0.25">
      <c r="A28" s="509"/>
      <c r="B28" s="251"/>
      <c r="C28" s="251"/>
      <c r="D28" s="278" t="s">
        <v>916</v>
      </c>
      <c r="E28" s="183">
        <f>E27-$D$27</f>
        <v>0</v>
      </c>
      <c r="F28" s="183">
        <f>F27-$D$27</f>
        <v>0</v>
      </c>
      <c r="G28" s="183">
        <f>G27-$D$27</f>
        <v>0</v>
      </c>
      <c r="H28" s="183">
        <f>H27-$D$27</f>
        <v>0</v>
      </c>
      <c r="I28" s="183">
        <f>I27-$D$27</f>
        <v>0</v>
      </c>
      <c r="J28" s="517"/>
      <c r="K28" s="214"/>
      <c r="L28" s="214"/>
      <c r="M28" s="285">
        <f>M27-$L27</f>
        <v>0</v>
      </c>
      <c r="N28" s="285">
        <f t="shared" ref="N28:Q28" si="18">N27-$L27</f>
        <v>0</v>
      </c>
      <c r="O28" s="285">
        <f t="shared" si="18"/>
        <v>0</v>
      </c>
      <c r="P28" s="285">
        <f t="shared" si="18"/>
        <v>0</v>
      </c>
      <c r="Q28" s="285">
        <f t="shared" si="18"/>
        <v>0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79"/>
      <c r="AK28" s="279"/>
      <c r="AL28" s="279"/>
      <c r="AM28" s="279"/>
      <c r="AN28" s="279"/>
    </row>
    <row r="29" spans="1:40" x14ac:dyDescent="0.25">
      <c r="A29" s="281"/>
      <c r="B29" s="510"/>
      <c r="C29" s="511"/>
      <c r="D29" s="512"/>
      <c r="E29" s="513"/>
      <c r="F29" s="281"/>
      <c r="G29" s="281"/>
      <c r="H29" s="281"/>
      <c r="I29" s="302"/>
      <c r="J29" s="214"/>
      <c r="K29" s="214"/>
      <c r="L29" s="214"/>
      <c r="M29" s="214"/>
      <c r="N29" s="214"/>
      <c r="O29" s="214"/>
      <c r="P29" s="214"/>
      <c r="Q29" s="214"/>
      <c r="R29" s="131"/>
      <c r="S29" s="131"/>
      <c r="T29" s="131"/>
      <c r="U29" s="131"/>
      <c r="V29" s="131"/>
      <c r="W29" s="131"/>
      <c r="X29" s="131"/>
      <c r="Y29" s="131"/>
      <c r="Z29" s="131"/>
      <c r="AJ29" s="279"/>
      <c r="AK29" s="279"/>
      <c r="AL29" s="279"/>
      <c r="AM29" s="279"/>
      <c r="AN29" s="279"/>
    </row>
    <row r="30" spans="1:40" x14ac:dyDescent="0.25">
      <c r="A30" s="281"/>
      <c r="B30" s="370" t="s">
        <v>941</v>
      </c>
      <c r="C30" s="371"/>
      <c r="D30" s="371"/>
      <c r="E30" s="371"/>
      <c r="F30" s="371"/>
      <c r="G30" s="371"/>
      <c r="H30" s="371"/>
      <c r="I30" s="213"/>
      <c r="J30" s="214"/>
      <c r="K30" s="214"/>
      <c r="L30" s="214"/>
      <c r="M30" s="214"/>
      <c r="N30" s="214"/>
      <c r="O30" s="214"/>
      <c r="P30" s="214"/>
      <c r="Q30" s="214"/>
      <c r="R30" s="131"/>
      <c r="S30" s="131"/>
      <c r="T30" s="131"/>
      <c r="U30" s="131"/>
      <c r="V30" s="131"/>
      <c r="W30" s="131"/>
      <c r="X30" s="131"/>
      <c r="Y30" s="131"/>
      <c r="Z30" s="131"/>
      <c r="AJ30" s="279"/>
      <c r="AK30" s="279"/>
      <c r="AL30" s="279"/>
      <c r="AM30" s="279"/>
      <c r="AN30" s="279"/>
    </row>
    <row r="31" spans="1:40" ht="45" x14ac:dyDescent="0.25">
      <c r="A31" s="281"/>
      <c r="B31" s="272" t="s">
        <v>826</v>
      </c>
      <c r="C31" s="164" t="s">
        <v>914</v>
      </c>
      <c r="D31" s="817" t="s">
        <v>903</v>
      </c>
      <c r="E31" s="250" t="s">
        <v>715</v>
      </c>
      <c r="F31" s="250" t="s">
        <v>716</v>
      </c>
      <c r="G31" s="163" t="s">
        <v>866</v>
      </c>
      <c r="H31" s="163" t="s">
        <v>867</v>
      </c>
      <c r="I31" s="250" t="s">
        <v>868</v>
      </c>
      <c r="J31" s="214"/>
      <c r="K31" s="508" t="s">
        <v>937</v>
      </c>
      <c r="L31" s="817" t="s">
        <v>903</v>
      </c>
      <c r="M31" s="492" t="s">
        <v>715</v>
      </c>
      <c r="N31" s="492" t="s">
        <v>716</v>
      </c>
      <c r="O31" s="392" t="s">
        <v>866</v>
      </c>
      <c r="P31" s="392" t="s">
        <v>867</v>
      </c>
      <c r="Q31" s="492" t="s">
        <v>868</v>
      </c>
      <c r="R31" s="131"/>
      <c r="S31" s="131"/>
      <c r="T31" s="131"/>
      <c r="U31" s="131"/>
      <c r="V31" s="131"/>
      <c r="W31" s="131"/>
      <c r="X31" s="131"/>
      <c r="Y31" s="131"/>
      <c r="Z31" s="131"/>
      <c r="AJ31" s="279"/>
      <c r="AK31" s="279"/>
      <c r="AL31" s="279"/>
      <c r="AM31" s="279"/>
      <c r="AN31" s="279"/>
    </row>
    <row r="32" spans="1:40" x14ac:dyDescent="0.25">
      <c r="A32" s="281"/>
      <c r="B32" s="328" t="s">
        <v>754</v>
      </c>
      <c r="C32" s="147">
        <f>'Inputs and eligible population'!F75</f>
        <v>4</v>
      </c>
      <c r="D32" s="126">
        <f>'Financial impact (cash)'!D13*$C$32</f>
        <v>0</v>
      </c>
      <c r="E32" s="126">
        <f>'Financial impact (cash)'!E13*$C$32</f>
        <v>1348.7289222876473</v>
      </c>
      <c r="F32" s="126">
        <f>'Financial impact (cash)'!F13*$C$32</f>
        <v>1815.6441425031696</v>
      </c>
      <c r="G32" s="126">
        <f>'Financial impact (cash)'!G13*$C$32</f>
        <v>2291.4377921852442</v>
      </c>
      <c r="H32" s="126">
        <f>'Financial impact (cash)'!H13*$C$32</f>
        <v>2313.5313941930644</v>
      </c>
      <c r="I32" s="126">
        <f>'Financial impact (cash)'!I13*$C$32</f>
        <v>2335.838018457629</v>
      </c>
      <c r="J32" s="214"/>
      <c r="K32" s="524">
        <f>'Unit costs'!N43</f>
        <v>17.075760000000002</v>
      </c>
      <c r="L32" s="284">
        <f>(D32*$K$32)/1000</f>
        <v>0</v>
      </c>
      <c r="M32" s="284">
        <f t="shared" ref="M32:Q32" si="19">(E32*$K$32)/1000</f>
        <v>23.03057138204252</v>
      </c>
      <c r="N32" s="284">
        <f t="shared" si="19"/>
        <v>31.003503622789928</v>
      </c>
      <c r="O32" s="284">
        <f t="shared" si="19"/>
        <v>39.12804179428511</v>
      </c>
      <c r="P32" s="284">
        <f t="shared" si="19"/>
        <v>39.505306839706165</v>
      </c>
      <c r="Q32" s="284">
        <f t="shared" si="19"/>
        <v>39.88620940205805</v>
      </c>
      <c r="R32" s="131"/>
      <c r="S32" s="131"/>
      <c r="T32" s="131"/>
      <c r="U32" s="131"/>
      <c r="V32" s="131"/>
      <c r="W32" s="131"/>
      <c r="X32" s="131"/>
      <c r="Y32" s="131"/>
      <c r="Z32" s="131"/>
      <c r="AJ32" s="279"/>
      <c r="AK32" s="279"/>
      <c r="AL32" s="279"/>
      <c r="AM32" s="279"/>
      <c r="AN32" s="279"/>
    </row>
    <row r="33" spans="1:40" x14ac:dyDescent="0.25">
      <c r="A33" s="281"/>
      <c r="B33" s="328" t="s">
        <v>1028</v>
      </c>
      <c r="C33" s="147">
        <f>'Inputs and eligible population'!G75</f>
        <v>3</v>
      </c>
      <c r="D33" s="126">
        <f>'Financial impact (cash)'!D14*$C$33</f>
        <v>734.71690828800001</v>
      </c>
      <c r="E33" s="126">
        <f>'Financial impact (cash)'!E14*$C$33</f>
        <v>472.0551228006766</v>
      </c>
      <c r="F33" s="126">
        <f>'Financial impact (cash)'!F14*$C$33</f>
        <v>408.5199320632131</v>
      </c>
      <c r="G33" s="126">
        <f>'Financial impact (cash)'!G14*$C$33</f>
        <v>343.71566882778666</v>
      </c>
      <c r="H33" s="126">
        <f>'Financial impact (cash)'!H14*$C$33</f>
        <v>347.02970912895967</v>
      </c>
      <c r="I33" s="126">
        <f>'Financial impact (cash)'!I14*$C$33</f>
        <v>350.37570276864437</v>
      </c>
      <c r="J33" s="214"/>
      <c r="K33" s="524">
        <f>'Unit costs'!N43</f>
        <v>17.075760000000002</v>
      </c>
      <c r="L33" s="284">
        <f>(D33*$K$33)/1000</f>
        <v>12.545849593867901</v>
      </c>
      <c r="M33" s="284">
        <f t="shared" ref="M33:Q33" si="20">(E33*$K$33)/1000</f>
        <v>8.0606999837148816</v>
      </c>
      <c r="N33" s="284">
        <f t="shared" si="20"/>
        <v>6.9757883151277325</v>
      </c>
      <c r="O33" s="284">
        <f t="shared" si="20"/>
        <v>5.8692062691427669</v>
      </c>
      <c r="P33" s="284">
        <f t="shared" si="20"/>
        <v>5.9257960259559246</v>
      </c>
      <c r="Q33" s="284">
        <f t="shared" si="20"/>
        <v>5.9829314103087077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79"/>
      <c r="AK33" s="279"/>
      <c r="AL33" s="279"/>
      <c r="AM33" s="279"/>
      <c r="AN33" s="279"/>
    </row>
    <row r="34" spans="1:40" x14ac:dyDescent="0.25">
      <c r="A34" s="281"/>
      <c r="B34" s="328" t="s">
        <v>1029</v>
      </c>
      <c r="C34" s="147">
        <f>'Inputs and eligible population'!H75</f>
        <v>3</v>
      </c>
      <c r="D34" s="126">
        <f>'Financial impact (cash)'!D15*$C$34</f>
        <v>2604.9054021120005</v>
      </c>
      <c r="E34" s="126">
        <f>'Financial impact (cash)'!E15*$C$34</f>
        <v>1888.2204912027064</v>
      </c>
      <c r="F34" s="126">
        <f>'Financial impact (cash)'!F15*$C$34</f>
        <v>1634.0797282528524</v>
      </c>
      <c r="G34" s="126">
        <f>'Financial impact (cash)'!G15*$C$34</f>
        <v>1374.8626753111466</v>
      </c>
      <c r="H34" s="126">
        <f>'Financial impact (cash)'!H15*$C$34</f>
        <v>1388.1188365158387</v>
      </c>
      <c r="I34" s="126">
        <f>'Financial impact (cash)'!I15*$C$34</f>
        <v>1401.5028110745775</v>
      </c>
      <c r="J34" s="214"/>
      <c r="K34" s="524">
        <f>'Unit costs'!N43</f>
        <v>17.075760000000002</v>
      </c>
      <c r="L34" s="284">
        <f>(D34*$K$34)/1000</f>
        <v>44.480739469168022</v>
      </c>
      <c r="M34" s="284">
        <f t="shared" ref="M34:Q34" si="21">(E34*$K$34)/1000</f>
        <v>32.242799934859526</v>
      </c>
      <c r="N34" s="284">
        <f t="shared" si="21"/>
        <v>27.90315326051093</v>
      </c>
      <c r="O34" s="284">
        <f t="shared" si="21"/>
        <v>23.476825076571068</v>
      </c>
      <c r="P34" s="284">
        <f t="shared" si="21"/>
        <v>23.703184103823698</v>
      </c>
      <c r="Q34" s="284">
        <f t="shared" si="21"/>
        <v>23.931725641234831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79"/>
      <c r="AK34" s="279"/>
      <c r="AL34" s="279"/>
      <c r="AM34" s="279"/>
      <c r="AN34" s="279"/>
    </row>
    <row r="35" spans="1:40" x14ac:dyDescent="0.25">
      <c r="A35" s="281"/>
      <c r="B35" s="273"/>
      <c r="C35" s="276"/>
      <c r="D35" s="183">
        <f>SUM(D32:D34)</f>
        <v>3339.6223104000005</v>
      </c>
      <c r="E35" s="183">
        <f t="shared" ref="E35:I35" si="22">SUM(E32:E34)</f>
        <v>3709.0045362910305</v>
      </c>
      <c r="F35" s="183">
        <f t="shared" si="22"/>
        <v>3858.243802819235</v>
      </c>
      <c r="G35" s="183">
        <f t="shared" si="22"/>
        <v>4010.0161363241778</v>
      </c>
      <c r="H35" s="183">
        <f t="shared" si="22"/>
        <v>4048.6799398378625</v>
      </c>
      <c r="I35" s="183">
        <f t="shared" si="22"/>
        <v>4087.7165323008508</v>
      </c>
      <c r="J35" s="214"/>
      <c r="K35" s="214"/>
      <c r="L35" s="285">
        <f>SUM(L32:L34)</f>
        <v>57.026589063035921</v>
      </c>
      <c r="M35" s="285">
        <f t="shared" ref="M35" si="23">SUM(M32:M34)</f>
        <v>63.334071300616927</v>
      </c>
      <c r="N35" s="285">
        <f t="shared" ref="N35" si="24">SUM(N32:N34)</f>
        <v>65.882445198428584</v>
      </c>
      <c r="O35" s="285">
        <f t="shared" ref="O35" si="25">SUM(O32:O34)</f>
        <v>68.47407313999895</v>
      </c>
      <c r="P35" s="285">
        <f t="shared" ref="P35" si="26">SUM(P32:P34)</f>
        <v>69.134286969485785</v>
      </c>
      <c r="Q35" s="285">
        <f t="shared" ref="Q35" si="27">SUM(Q32:Q34)</f>
        <v>69.800866453601586</v>
      </c>
      <c r="R35" s="131"/>
      <c r="S35" s="131"/>
      <c r="T35" s="131"/>
      <c r="U35" s="131"/>
      <c r="V35" s="131"/>
      <c r="W35" s="131"/>
      <c r="X35" s="131"/>
      <c r="Y35" s="131"/>
      <c r="Z35" s="131"/>
      <c r="AJ35" s="279"/>
      <c r="AK35" s="279"/>
      <c r="AL35" s="279"/>
      <c r="AM35" s="279"/>
      <c r="AN35" s="279"/>
    </row>
    <row r="36" spans="1:40" x14ac:dyDescent="0.25">
      <c r="A36" s="281"/>
      <c r="B36" s="301"/>
      <c r="C36" s="251"/>
      <c r="D36" s="278" t="s">
        <v>916</v>
      </c>
      <c r="E36" s="183">
        <f>E35-$D$35</f>
        <v>369.38222589102998</v>
      </c>
      <c r="F36" s="183">
        <f t="shared" ref="F36:I36" si="28">F35-$D$35</f>
        <v>518.62149241923453</v>
      </c>
      <c r="G36" s="183">
        <f t="shared" si="28"/>
        <v>670.39382592417724</v>
      </c>
      <c r="H36" s="183">
        <f t="shared" si="28"/>
        <v>709.05762943786203</v>
      </c>
      <c r="I36" s="183">
        <f t="shared" si="28"/>
        <v>748.09422190085024</v>
      </c>
      <c r="J36" s="214"/>
      <c r="K36" s="214"/>
      <c r="L36" s="214"/>
      <c r="M36" s="285">
        <f>M35-$L35</f>
        <v>6.3074822375810058</v>
      </c>
      <c r="N36" s="285">
        <f t="shared" ref="N36:Q36" si="29">N35-$L35</f>
        <v>8.8558561353926635</v>
      </c>
      <c r="O36" s="285">
        <f t="shared" si="29"/>
        <v>11.447484076963029</v>
      </c>
      <c r="P36" s="285">
        <f t="shared" si="29"/>
        <v>12.107697906449864</v>
      </c>
      <c r="Q36" s="285">
        <f t="shared" si="29"/>
        <v>12.774277390565665</v>
      </c>
      <c r="R36" s="131"/>
      <c r="S36" s="131"/>
      <c r="T36" s="131"/>
      <c r="U36" s="131"/>
      <c r="V36" s="131"/>
      <c r="W36" s="131"/>
      <c r="X36" s="131"/>
      <c r="Y36" s="131"/>
      <c r="Z36" s="131"/>
      <c r="AJ36" s="279"/>
      <c r="AK36" s="279"/>
      <c r="AL36" s="279"/>
      <c r="AM36" s="279"/>
      <c r="AN36" s="279"/>
    </row>
    <row r="37" spans="1:40" x14ac:dyDescent="0.25">
      <c r="A37" s="281"/>
      <c r="B37" s="281"/>
      <c r="C37" s="281"/>
      <c r="D37" s="515"/>
      <c r="E37" s="516"/>
      <c r="F37" s="516"/>
      <c r="G37" s="516"/>
      <c r="H37" s="516"/>
      <c r="I37" s="516"/>
      <c r="J37" s="214"/>
      <c r="K37" s="214"/>
      <c r="L37" s="214"/>
      <c r="M37" s="214"/>
      <c r="N37" s="214"/>
      <c r="O37" s="214"/>
      <c r="P37" s="214"/>
      <c r="Q37" s="214"/>
      <c r="R37" s="131"/>
      <c r="S37" s="131"/>
      <c r="T37" s="131"/>
      <c r="U37" s="131"/>
      <c r="V37" s="131"/>
      <c r="W37" s="131"/>
      <c r="X37" s="131"/>
      <c r="Y37" s="131"/>
      <c r="Z37" s="131"/>
      <c r="AJ37" s="279"/>
      <c r="AK37" s="279"/>
      <c r="AL37" s="279"/>
      <c r="AM37" s="279"/>
      <c r="AN37" s="279"/>
    </row>
    <row r="38" spans="1:40" x14ac:dyDescent="0.25">
      <c r="A38" s="288"/>
      <c r="B38" s="309" t="s">
        <v>918</v>
      </c>
      <c r="C38" s="289"/>
      <c r="D38" s="289"/>
      <c r="E38" s="290"/>
      <c r="F38" s="291"/>
      <c r="G38" s="292"/>
      <c r="H38" s="292"/>
      <c r="I38" s="399"/>
      <c r="J38" s="400"/>
      <c r="K38" s="288"/>
      <c r="L38" s="288"/>
      <c r="M38" s="288"/>
      <c r="N38" s="288"/>
      <c r="O38" s="288"/>
      <c r="P38" s="288"/>
      <c r="Q38" s="210"/>
      <c r="R38" s="131"/>
      <c r="S38" s="131"/>
      <c r="V38" s="131"/>
    </row>
    <row r="39" spans="1:40" x14ac:dyDescent="0.25">
      <c r="A39" s="296"/>
      <c r="B39" s="363" t="s">
        <v>919</v>
      </c>
      <c r="C39" s="364"/>
      <c r="D39" s="364"/>
      <c r="E39" s="364"/>
      <c r="F39" s="364"/>
      <c r="G39" s="364"/>
      <c r="H39" s="364"/>
      <c r="I39" s="364"/>
      <c r="J39" s="395"/>
      <c r="K39" s="210"/>
      <c r="L39" s="210"/>
      <c r="M39" s="210"/>
      <c r="N39" s="210"/>
      <c r="O39" s="210"/>
      <c r="P39" s="210"/>
      <c r="Q39" s="210"/>
      <c r="R39" s="131"/>
      <c r="S39" s="131"/>
      <c r="T39" s="131"/>
      <c r="U39" s="131"/>
      <c r="V39" s="131"/>
      <c r="W39" s="131"/>
      <c r="X39" s="131"/>
      <c r="Y39" s="131"/>
      <c r="Z39" s="131"/>
      <c r="AJ39" s="279"/>
      <c r="AK39" s="279"/>
      <c r="AL39" s="279"/>
      <c r="AM39" s="279"/>
      <c r="AN39" s="279"/>
    </row>
    <row r="40" spans="1:40" ht="45" x14ac:dyDescent="0.25">
      <c r="A40" s="296"/>
      <c r="B40" s="307" t="s">
        <v>826</v>
      </c>
      <c r="C40" s="485"/>
      <c r="D40" s="817" t="s">
        <v>903</v>
      </c>
      <c r="E40" s="250" t="s">
        <v>715</v>
      </c>
      <c r="F40" s="250" t="s">
        <v>716</v>
      </c>
      <c r="G40" s="163" t="s">
        <v>866</v>
      </c>
      <c r="H40" s="163" t="s">
        <v>867</v>
      </c>
      <c r="I40" s="250" t="s">
        <v>868</v>
      </c>
      <c r="J40" s="395"/>
      <c r="K40" s="210"/>
      <c r="L40" s="210"/>
      <c r="M40" s="210"/>
      <c r="N40" s="210"/>
      <c r="O40" s="210"/>
      <c r="P40" s="210"/>
      <c r="Q40" s="210"/>
      <c r="R40" s="131"/>
      <c r="S40" s="131"/>
      <c r="T40" s="131"/>
      <c r="U40" s="131"/>
      <c r="V40" s="131"/>
      <c r="W40" s="131"/>
      <c r="X40" s="131"/>
      <c r="Y40" s="131"/>
      <c r="Z40" s="131"/>
      <c r="AJ40" s="279"/>
      <c r="AK40" s="279"/>
      <c r="AL40" s="279"/>
      <c r="AM40" s="279"/>
      <c r="AN40" s="279"/>
    </row>
    <row r="41" spans="1:40" x14ac:dyDescent="0.25">
      <c r="A41" s="296"/>
      <c r="B41" s="484" t="s">
        <v>1030</v>
      </c>
      <c r="C41" s="469"/>
      <c r="D41" s="126">
        <f>D54+D55</f>
        <v>1934.7545251584004</v>
      </c>
      <c r="E41" s="126">
        <f t="shared" ref="E41:I41" si="30">E54+E55</f>
        <v>3873.0998885026938</v>
      </c>
      <c r="F41" s="126">
        <f t="shared" si="30"/>
        <v>4616.2752323143086</v>
      </c>
      <c r="G41" s="126">
        <f t="shared" si="30"/>
        <v>5373.4216226743974</v>
      </c>
      <c r="H41" s="126">
        <f t="shared" si="30"/>
        <v>5425.2311193827363</v>
      </c>
      <c r="I41" s="126">
        <f t="shared" si="30"/>
        <v>5477.5401532831402</v>
      </c>
      <c r="J41" s="395"/>
      <c r="K41" s="210"/>
      <c r="L41" s="210"/>
      <c r="M41" s="210"/>
      <c r="N41" s="210"/>
      <c r="O41" s="210"/>
      <c r="P41" s="210"/>
      <c r="Q41" s="210"/>
      <c r="R41" s="131"/>
      <c r="S41" s="131"/>
      <c r="T41" s="131"/>
      <c r="U41" s="131"/>
      <c r="V41" s="131"/>
      <c r="W41" s="131"/>
      <c r="X41" s="131"/>
      <c r="Y41" s="131"/>
      <c r="Z41" s="131"/>
      <c r="AJ41" s="279"/>
      <c r="AK41" s="279"/>
      <c r="AL41" s="279"/>
      <c r="AM41" s="279"/>
      <c r="AN41" s="279"/>
    </row>
    <row r="42" spans="1:40" x14ac:dyDescent="0.25">
      <c r="A42" s="296"/>
      <c r="B42" s="483"/>
      <c r="C42" s="311"/>
      <c r="D42" s="183">
        <f t="shared" ref="D42" si="31">SUM(D41:D41)</f>
        <v>1934.7545251584004</v>
      </c>
      <c r="E42" s="183">
        <f>SUM(E41:E41)</f>
        <v>3873.0998885026938</v>
      </c>
      <c r="F42" s="183">
        <f>SUM(F41:F41)</f>
        <v>4616.2752323143086</v>
      </c>
      <c r="G42" s="183">
        <f>SUM(G41:G41)</f>
        <v>5373.4216226743974</v>
      </c>
      <c r="H42" s="183">
        <f>SUM(H41:H41)</f>
        <v>5425.2311193827363</v>
      </c>
      <c r="I42" s="183">
        <f>SUM(I41:I41)</f>
        <v>5477.5401532831402</v>
      </c>
      <c r="J42" s="395"/>
      <c r="K42" s="210"/>
      <c r="L42" s="210"/>
      <c r="M42" s="210"/>
      <c r="N42" s="210"/>
      <c r="O42" s="210"/>
      <c r="P42" s="210"/>
      <c r="Q42" s="210"/>
      <c r="R42" s="131"/>
      <c r="S42" s="131"/>
      <c r="T42" s="131"/>
      <c r="U42" s="131"/>
      <c r="V42" s="131"/>
      <c r="W42" s="131"/>
      <c r="X42" s="131"/>
      <c r="Y42" s="131"/>
      <c r="Z42" s="131"/>
      <c r="AJ42" s="279"/>
      <c r="AK42" s="279"/>
      <c r="AL42" s="279"/>
      <c r="AM42" s="279"/>
      <c r="AN42" s="279"/>
    </row>
    <row r="43" spans="1:40" x14ac:dyDescent="0.25">
      <c r="A43" s="296"/>
      <c r="B43" s="251"/>
      <c r="C43" s="251"/>
      <c r="D43" s="278" t="s">
        <v>920</v>
      </c>
      <c r="E43" s="183">
        <f>E42-$D$42</f>
        <v>1938.3453633442934</v>
      </c>
      <c r="F43" s="183">
        <f>F42-$D$42</f>
        <v>2681.520707155908</v>
      </c>
      <c r="G43" s="183">
        <f>G42-$D$42</f>
        <v>3438.6670975159968</v>
      </c>
      <c r="H43" s="183">
        <f>H42-$D$42</f>
        <v>3490.4765942243357</v>
      </c>
      <c r="I43" s="183">
        <f>I42-$D$42</f>
        <v>3542.7856281247396</v>
      </c>
      <c r="J43" s="395"/>
      <c r="K43" s="210"/>
      <c r="L43" s="210"/>
      <c r="M43" s="210"/>
      <c r="N43" s="210"/>
      <c r="O43" s="210"/>
      <c r="P43" s="210"/>
      <c r="Q43" s="210"/>
      <c r="R43" s="131"/>
      <c r="S43" s="131"/>
      <c r="T43" s="131"/>
      <c r="U43" s="131"/>
      <c r="V43" s="131"/>
      <c r="W43" s="131"/>
      <c r="X43" s="131"/>
      <c r="Y43" s="131"/>
      <c r="Z43" s="131"/>
      <c r="AJ43" s="279"/>
      <c r="AK43" s="279"/>
      <c r="AL43" s="279"/>
      <c r="AM43" s="279"/>
      <c r="AN43" s="279"/>
    </row>
    <row r="44" spans="1:40" x14ac:dyDescent="0.25">
      <c r="A44" s="288"/>
      <c r="B44" s="310"/>
      <c r="C44" s="294"/>
      <c r="D44" s="293"/>
      <c r="E44" s="294"/>
      <c r="F44" s="295"/>
      <c r="G44" s="288"/>
      <c r="H44" s="288"/>
      <c r="I44" s="292"/>
      <c r="J44" s="210"/>
      <c r="K44" s="210"/>
      <c r="L44" s="210"/>
      <c r="M44" s="210"/>
      <c r="N44" s="210"/>
      <c r="O44" s="210"/>
      <c r="P44" s="210"/>
      <c r="Q44" s="210"/>
      <c r="R44" s="131"/>
      <c r="S44" s="131"/>
      <c r="T44" s="131"/>
      <c r="U44" s="131"/>
      <c r="V44" s="131"/>
      <c r="W44" s="131"/>
      <c r="X44" s="131"/>
      <c r="Y44" s="131"/>
      <c r="Z44" s="131"/>
      <c r="AJ44" s="279"/>
      <c r="AK44" s="279"/>
      <c r="AL44" s="279"/>
      <c r="AM44" s="279"/>
      <c r="AN44" s="279"/>
    </row>
    <row r="45" spans="1:40" x14ac:dyDescent="0.25">
      <c r="A45" s="296"/>
      <c r="B45" s="363" t="s">
        <v>921</v>
      </c>
      <c r="C45" s="364"/>
      <c r="D45" s="364"/>
      <c r="E45" s="364"/>
      <c r="F45" s="364"/>
      <c r="G45" s="364"/>
      <c r="H45" s="364"/>
      <c r="I45" s="364"/>
      <c r="J45" s="395"/>
      <c r="K45" s="210"/>
      <c r="L45" s="210"/>
      <c r="M45" s="210"/>
      <c r="N45" s="210"/>
      <c r="O45" s="210"/>
      <c r="P45" s="210"/>
      <c r="Q45" s="210"/>
      <c r="R45" s="131"/>
      <c r="S45" s="131"/>
      <c r="T45" s="131"/>
      <c r="U45" s="131"/>
      <c r="V45" s="131"/>
      <c r="W45" s="131"/>
      <c r="X45" s="131"/>
      <c r="Y45" s="131"/>
      <c r="Z45" s="131"/>
      <c r="AJ45" s="279"/>
      <c r="AK45" s="279"/>
      <c r="AL45" s="279"/>
      <c r="AM45" s="279"/>
      <c r="AN45" s="279"/>
    </row>
    <row r="46" spans="1:40" ht="45" x14ac:dyDescent="0.25">
      <c r="A46" s="288"/>
      <c r="B46" s="272" t="s">
        <v>826</v>
      </c>
      <c r="C46" s="485"/>
      <c r="D46" s="817" t="s">
        <v>903</v>
      </c>
      <c r="E46" s="250" t="s">
        <v>715</v>
      </c>
      <c r="F46" s="250" t="s">
        <v>716</v>
      </c>
      <c r="G46" s="163" t="s">
        <v>866</v>
      </c>
      <c r="H46" s="163" t="s">
        <v>867</v>
      </c>
      <c r="I46" s="250" t="s">
        <v>868</v>
      </c>
      <c r="J46" s="395"/>
      <c r="K46" s="508" t="s">
        <v>937</v>
      </c>
      <c r="L46" s="817" t="s">
        <v>903</v>
      </c>
      <c r="M46" s="492" t="s">
        <v>715</v>
      </c>
      <c r="N46" s="492" t="s">
        <v>716</v>
      </c>
      <c r="O46" s="392" t="s">
        <v>866</v>
      </c>
      <c r="P46" s="392" t="s">
        <v>867</v>
      </c>
      <c r="Q46" s="492" t="s">
        <v>868</v>
      </c>
      <c r="R46" s="131"/>
      <c r="S46" s="131"/>
      <c r="T46" s="131"/>
      <c r="U46" s="131"/>
      <c r="V46" s="131"/>
      <c r="W46" s="131"/>
      <c r="X46" s="131"/>
      <c r="Y46" s="131"/>
      <c r="Z46" s="131"/>
      <c r="AJ46" s="279"/>
      <c r="AK46" s="279"/>
      <c r="AL46" s="279"/>
      <c r="AM46" s="279"/>
      <c r="AN46" s="279"/>
    </row>
    <row r="47" spans="1:40" x14ac:dyDescent="0.25">
      <c r="A47" s="288"/>
      <c r="B47" s="194" t="s">
        <v>1031</v>
      </c>
      <c r="C47" s="839"/>
      <c r="D47" s="126">
        <f>D54+D55</f>
        <v>1934.7545251584004</v>
      </c>
      <c r="E47" s="126">
        <f t="shared" ref="E47:I47" si="32">E54+E55</f>
        <v>3873.0998885026938</v>
      </c>
      <c r="F47" s="126">
        <f t="shared" si="32"/>
        <v>4616.2752323143086</v>
      </c>
      <c r="G47" s="126">
        <f t="shared" si="32"/>
        <v>5373.4216226743974</v>
      </c>
      <c r="H47" s="126">
        <f t="shared" si="32"/>
        <v>5425.2311193827363</v>
      </c>
      <c r="I47" s="126">
        <f t="shared" si="32"/>
        <v>5477.5401532831402</v>
      </c>
      <c r="J47" s="395"/>
      <c r="K47" s="524">
        <f>'Unit costs'!N34</f>
        <v>178</v>
      </c>
      <c r="L47" s="284">
        <f>(D47*$K$47)/1000</f>
        <v>344.38630547819525</v>
      </c>
      <c r="M47" s="284">
        <f t="shared" ref="M47:Q47" si="33">(E47*$K$47)/1000</f>
        <v>689.41178015347953</v>
      </c>
      <c r="N47" s="284">
        <f t="shared" si="33"/>
        <v>821.69699135194696</v>
      </c>
      <c r="O47" s="284">
        <f t="shared" si="33"/>
        <v>956.4690488360427</v>
      </c>
      <c r="P47" s="284">
        <f t="shared" si="33"/>
        <v>965.69113925012698</v>
      </c>
      <c r="Q47" s="284">
        <f t="shared" si="33"/>
        <v>975.00214728439892</v>
      </c>
      <c r="R47" s="131"/>
      <c r="S47" s="131"/>
      <c r="T47" s="131"/>
      <c r="U47" s="131"/>
      <c r="V47" s="131"/>
      <c r="W47" s="131"/>
      <c r="X47" s="131"/>
      <c r="Y47" s="131"/>
      <c r="Z47" s="131"/>
      <c r="AJ47" s="279"/>
      <c r="AK47" s="279"/>
      <c r="AL47" s="279"/>
      <c r="AM47" s="279"/>
      <c r="AN47" s="279"/>
    </row>
    <row r="48" spans="1:40" x14ac:dyDescent="0.25">
      <c r="A48" s="288"/>
      <c r="B48" s="194" t="s">
        <v>1032</v>
      </c>
      <c r="C48" s="839"/>
      <c r="D48" s="126">
        <f>D56</f>
        <v>5470.3013444352009</v>
      </c>
      <c r="E48" s="126">
        <f t="shared" ref="E48:I48" si="34">E56</f>
        <v>3965.2630315256829</v>
      </c>
      <c r="F48" s="126">
        <f t="shared" si="34"/>
        <v>3431.5674293309903</v>
      </c>
      <c r="G48" s="126">
        <f t="shared" si="34"/>
        <v>2887.2116181534079</v>
      </c>
      <c r="H48" s="126">
        <f t="shared" si="34"/>
        <v>2915.049556683261</v>
      </c>
      <c r="I48" s="126">
        <f t="shared" si="34"/>
        <v>2943.1559032566124</v>
      </c>
      <c r="J48" s="395"/>
      <c r="K48" s="524">
        <f>'Unit costs'!N35</f>
        <v>142</v>
      </c>
      <c r="L48" s="284">
        <f>(D48*$K$48)/1000</f>
        <v>776.78279090979856</v>
      </c>
      <c r="M48" s="284">
        <f t="shared" ref="M48:Q48" si="35">(E48*$K$48)/1000</f>
        <v>563.06735047664699</v>
      </c>
      <c r="N48" s="284">
        <f t="shared" si="35"/>
        <v>487.28257496500061</v>
      </c>
      <c r="O48" s="284">
        <f t="shared" si="35"/>
        <v>409.98404977778392</v>
      </c>
      <c r="P48" s="284">
        <f t="shared" si="35"/>
        <v>413.9370370490231</v>
      </c>
      <c r="Q48" s="284">
        <f t="shared" si="35"/>
        <v>417.92813826243895</v>
      </c>
      <c r="R48" s="131"/>
      <c r="S48" s="131"/>
      <c r="T48" s="131"/>
      <c r="U48" s="131"/>
      <c r="V48" s="131"/>
      <c r="W48" s="131"/>
      <c r="X48" s="131"/>
      <c r="Y48" s="131"/>
      <c r="Z48" s="131"/>
      <c r="AJ48" s="279"/>
      <c r="AK48" s="279"/>
      <c r="AL48" s="279"/>
      <c r="AM48" s="279"/>
      <c r="AN48" s="279"/>
    </row>
    <row r="49" spans="1:40" x14ac:dyDescent="0.25">
      <c r="A49" s="288"/>
      <c r="B49" s="273"/>
      <c r="C49" s="311"/>
      <c r="D49" s="183">
        <f>SUM(D47:D48)</f>
        <v>7405.0558695936015</v>
      </c>
      <c r="E49" s="183">
        <f t="shared" ref="E49:I49" si="36">SUM(E47:E48)</f>
        <v>7838.3629200283767</v>
      </c>
      <c r="F49" s="183">
        <f t="shared" si="36"/>
        <v>8047.8426616452989</v>
      </c>
      <c r="G49" s="183">
        <f t="shared" si="36"/>
        <v>8260.6332408278049</v>
      </c>
      <c r="H49" s="183">
        <f t="shared" si="36"/>
        <v>8340.2806760659969</v>
      </c>
      <c r="I49" s="183">
        <f t="shared" si="36"/>
        <v>8420.696056539753</v>
      </c>
      <c r="J49" s="395"/>
      <c r="K49" s="210"/>
      <c r="L49" s="285">
        <f>SUM(L47:L48)</f>
        <v>1121.1690963879937</v>
      </c>
      <c r="M49" s="285">
        <f t="shared" ref="M49:Q49" si="37">SUM(M47:M48)</f>
        <v>1252.4791306301265</v>
      </c>
      <c r="N49" s="285">
        <f t="shared" si="37"/>
        <v>1308.9795663169475</v>
      </c>
      <c r="O49" s="285">
        <f t="shared" si="37"/>
        <v>1366.4530986138266</v>
      </c>
      <c r="P49" s="285">
        <f t="shared" si="37"/>
        <v>1379.62817629915</v>
      </c>
      <c r="Q49" s="285">
        <f t="shared" si="37"/>
        <v>1392.9302855468379</v>
      </c>
      <c r="R49" s="131"/>
      <c r="S49" s="131"/>
      <c r="T49" s="131"/>
      <c r="U49" s="131"/>
      <c r="V49" s="131"/>
      <c r="W49" s="131"/>
      <c r="X49" s="131"/>
      <c r="Y49" s="131"/>
      <c r="Z49" s="131"/>
      <c r="AJ49" s="279"/>
      <c r="AK49" s="279"/>
      <c r="AL49" s="279"/>
      <c r="AM49" s="279"/>
      <c r="AN49" s="279"/>
    </row>
    <row r="50" spans="1:40" x14ac:dyDescent="0.25">
      <c r="A50" s="288"/>
      <c r="B50" s="301"/>
      <c r="C50" s="222"/>
      <c r="D50" s="278" t="s">
        <v>922</v>
      </c>
      <c r="E50" s="183">
        <f>E49-D49</f>
        <v>433.30705043477519</v>
      </c>
      <c r="F50" s="183">
        <f>F49-$D$49</f>
        <v>642.78679205169738</v>
      </c>
      <c r="G50" s="183">
        <f t="shared" ref="G50:I50" si="38">G49-$D$49</f>
        <v>855.57737123420338</v>
      </c>
      <c r="H50" s="183">
        <f t="shared" si="38"/>
        <v>935.22480647239536</v>
      </c>
      <c r="I50" s="183">
        <f t="shared" si="38"/>
        <v>1015.6401869461515</v>
      </c>
      <c r="J50" s="395"/>
      <c r="K50" s="210"/>
      <c r="L50" s="496"/>
      <c r="M50" s="285">
        <f>M49-$L49</f>
        <v>131.31003424213282</v>
      </c>
      <c r="N50" s="285">
        <f t="shared" ref="N50:Q50" si="39">N49-$L49</f>
        <v>187.81046992895381</v>
      </c>
      <c r="O50" s="285">
        <f t="shared" si="39"/>
        <v>245.28400222583286</v>
      </c>
      <c r="P50" s="285">
        <f t="shared" si="39"/>
        <v>258.45907991115632</v>
      </c>
      <c r="Q50" s="285">
        <f t="shared" si="39"/>
        <v>271.76118915884422</v>
      </c>
      <c r="R50" s="131"/>
      <c r="S50" s="131"/>
      <c r="T50" s="131"/>
      <c r="U50" s="131"/>
      <c r="V50" s="131"/>
      <c r="W50" s="131"/>
      <c r="X50" s="131"/>
      <c r="Y50" s="131"/>
      <c r="Z50" s="131"/>
      <c r="AJ50" s="279"/>
      <c r="AK50" s="279"/>
      <c r="AL50" s="279"/>
      <c r="AM50" s="279"/>
      <c r="AN50" s="279"/>
    </row>
    <row r="51" spans="1:40" x14ac:dyDescent="0.25">
      <c r="A51" s="288"/>
      <c r="B51" s="310"/>
      <c r="C51" s="294"/>
      <c r="D51" s="293"/>
      <c r="E51" s="294"/>
      <c r="F51" s="295"/>
      <c r="G51" s="288"/>
      <c r="H51" s="288"/>
      <c r="I51" s="292"/>
      <c r="J51" s="210"/>
      <c r="K51" s="210"/>
      <c r="L51" s="210"/>
      <c r="M51" s="210"/>
      <c r="N51" s="210"/>
      <c r="O51" s="210"/>
      <c r="P51" s="210"/>
      <c r="Q51" s="210"/>
      <c r="R51" s="131"/>
      <c r="S51" s="131"/>
      <c r="T51" s="131"/>
      <c r="U51" s="131"/>
      <c r="V51" s="131"/>
      <c r="W51" s="131"/>
      <c r="X51" s="131"/>
      <c r="Y51" s="131"/>
      <c r="Z51" s="131"/>
      <c r="AJ51" s="279"/>
      <c r="AK51" s="279"/>
      <c r="AL51" s="279"/>
      <c r="AM51" s="279"/>
      <c r="AN51" s="279"/>
    </row>
    <row r="52" spans="1:40" x14ac:dyDescent="0.25">
      <c r="A52" s="296"/>
      <c r="B52" s="363" t="s">
        <v>923</v>
      </c>
      <c r="C52" s="364"/>
      <c r="D52" s="364"/>
      <c r="E52" s="364"/>
      <c r="F52" s="364"/>
      <c r="G52" s="364"/>
      <c r="H52" s="364"/>
      <c r="I52" s="364"/>
      <c r="J52" s="395"/>
      <c r="K52" s="210"/>
      <c r="L52" s="210"/>
      <c r="M52" s="210"/>
      <c r="N52" s="210"/>
      <c r="O52" s="210"/>
      <c r="P52" s="210"/>
      <c r="Q52" s="210"/>
      <c r="S52" s="131"/>
      <c r="T52" s="131"/>
      <c r="U52" s="131"/>
      <c r="V52" s="131"/>
      <c r="W52" s="131"/>
      <c r="X52" s="131"/>
      <c r="Y52" s="131"/>
      <c r="Z52" s="131"/>
      <c r="AJ52" s="279"/>
      <c r="AK52" s="279"/>
      <c r="AL52" s="279"/>
      <c r="AM52" s="279"/>
      <c r="AN52" s="279"/>
    </row>
    <row r="53" spans="1:40" ht="45" x14ac:dyDescent="0.25">
      <c r="A53" s="296"/>
      <c r="B53" s="307" t="s">
        <v>826</v>
      </c>
      <c r="C53" s="164" t="s">
        <v>817</v>
      </c>
      <c r="D53" s="817" t="s">
        <v>903</v>
      </c>
      <c r="E53" s="250" t="s">
        <v>715</v>
      </c>
      <c r="F53" s="250" t="s">
        <v>716</v>
      </c>
      <c r="G53" s="163" t="s">
        <v>866</v>
      </c>
      <c r="H53" s="163" t="s">
        <v>867</v>
      </c>
      <c r="I53" s="250" t="s">
        <v>868</v>
      </c>
      <c r="J53" s="395"/>
      <c r="K53" s="210"/>
      <c r="L53" s="210"/>
      <c r="M53" s="210"/>
      <c r="N53" s="210"/>
      <c r="O53" s="210"/>
      <c r="P53" s="210"/>
      <c r="Q53" s="210"/>
      <c r="V53" s="131"/>
      <c r="AJ53" s="279"/>
      <c r="AK53" s="279"/>
      <c r="AL53" s="279"/>
      <c r="AM53" s="279"/>
      <c r="AN53" s="279"/>
    </row>
    <row r="54" spans="1:40" x14ac:dyDescent="0.25">
      <c r="A54" s="296"/>
      <c r="B54" s="328" t="s">
        <v>754</v>
      </c>
      <c r="C54" s="287">
        <f>'Inputs and eligible population'!F47</f>
        <v>7.8</v>
      </c>
      <c r="D54" s="126">
        <f>'Inputs and eligible population'!L60*'Capacity (national prices)'!$C54</f>
        <v>0</v>
      </c>
      <c r="E54" s="126">
        <f>E$7*'Inputs and eligible population'!F60*'Capacity (national prices)'!$C54</f>
        <v>2630.0213984609122</v>
      </c>
      <c r="F54" s="126">
        <f>F$7*'Inputs and eligible population'!G60*'Capacity (national prices)'!$C54</f>
        <v>3540.5060778811808</v>
      </c>
      <c r="G54" s="126">
        <f>G$7*'Inputs and eligible population'!H60*'Capacity (national prices)'!$C54</f>
        <v>4468.3036947612263</v>
      </c>
      <c r="H54" s="126">
        <f>H$7*'Inputs and eligible population'!I60*'Capacity (national prices)'!$C54</f>
        <v>4511.3862186764754</v>
      </c>
      <c r="I54" s="126">
        <f>I$7*'Inputs and eligible population'!J60*'Capacity (national prices)'!$C54</f>
        <v>4554.8841359923763</v>
      </c>
      <c r="J54" s="395"/>
      <c r="K54" s="210"/>
      <c r="L54" s="210"/>
      <c r="M54" s="210"/>
      <c r="N54" s="210"/>
      <c r="O54" s="210"/>
      <c r="P54" s="210"/>
      <c r="Q54" s="210"/>
      <c r="V54" s="131"/>
      <c r="AJ54" s="279"/>
      <c r="AK54" s="279"/>
      <c r="AL54" s="279"/>
      <c r="AM54" s="279"/>
      <c r="AN54" s="279"/>
    </row>
    <row r="55" spans="1:40" x14ac:dyDescent="0.25">
      <c r="A55" s="296"/>
      <c r="B55" s="328" t="s">
        <v>1028</v>
      </c>
      <c r="C55" s="287">
        <f>'Inputs and eligible population'!F48</f>
        <v>7.9</v>
      </c>
      <c r="D55" s="126">
        <f>'Inputs and eligible population'!L61*'Capacity (national prices)'!$C55</f>
        <v>1934.7545251584004</v>
      </c>
      <c r="E55" s="126">
        <f>E$7*'Inputs and eligible population'!F61*'Capacity (national prices)'!$C55</f>
        <v>1243.0784900417816</v>
      </c>
      <c r="F55" s="126">
        <f>F$7*'Inputs and eligible population'!G61*'Capacity (national prices)'!$C55</f>
        <v>1075.7691544331281</v>
      </c>
      <c r="G55" s="126">
        <f>G$7*'Inputs and eligible population'!H61*'Capacity (national prices)'!$C55</f>
        <v>905.11792791317157</v>
      </c>
      <c r="H55" s="126">
        <f>H$7*'Inputs and eligible population'!I61*'Capacity (national prices)'!$C55</f>
        <v>913.84490070626055</v>
      </c>
      <c r="I55" s="126">
        <f>I$7*'Inputs and eligible population'!J61*'Capacity (national prices)'!$C55</f>
        <v>922.65601729076354</v>
      </c>
      <c r="J55" s="395"/>
      <c r="K55" s="210"/>
      <c r="L55" s="210"/>
      <c r="M55" s="210"/>
      <c r="N55" s="210"/>
      <c r="O55" s="210"/>
      <c r="P55" s="210"/>
      <c r="Q55" s="210"/>
      <c r="V55" s="131"/>
      <c r="AJ55" s="279"/>
      <c r="AK55" s="279"/>
      <c r="AL55" s="279"/>
      <c r="AM55" s="279"/>
      <c r="AN55" s="279"/>
    </row>
    <row r="56" spans="1:40" x14ac:dyDescent="0.25">
      <c r="A56" s="296"/>
      <c r="B56" s="328" t="s">
        <v>1029</v>
      </c>
      <c r="C56" s="287">
        <f>'Inputs and eligible population'!F49</f>
        <v>6.3</v>
      </c>
      <c r="D56" s="126">
        <f>'Inputs and eligible population'!L62*'Capacity (national prices)'!$C56</f>
        <v>5470.3013444352009</v>
      </c>
      <c r="E56" s="126">
        <f>E$7*'Inputs and eligible population'!F62*'Capacity (national prices)'!$C56</f>
        <v>3965.2630315256829</v>
      </c>
      <c r="F56" s="126">
        <f>F$7*'Inputs and eligible population'!G62*'Capacity (national prices)'!$C56</f>
        <v>3431.5674293309903</v>
      </c>
      <c r="G56" s="126">
        <f>G$7*'Inputs and eligible population'!H62*'Capacity (national prices)'!$C56</f>
        <v>2887.2116181534079</v>
      </c>
      <c r="H56" s="126">
        <f>H$7*'Inputs and eligible population'!I62*'Capacity (national prices)'!$C56</f>
        <v>2915.049556683261</v>
      </c>
      <c r="I56" s="126">
        <f>I$7*'Inputs and eligible population'!J62*'Capacity (national prices)'!$C56</f>
        <v>2943.1559032566124</v>
      </c>
      <c r="J56" s="288"/>
      <c r="K56" s="288"/>
      <c r="L56" s="288"/>
      <c r="M56" s="288"/>
      <c r="N56" s="288"/>
      <c r="O56" s="288"/>
      <c r="P56" s="288"/>
      <c r="Q56" s="288"/>
      <c r="V56" s="131"/>
      <c r="AJ56" s="279"/>
      <c r="AK56" s="279"/>
      <c r="AL56" s="279"/>
      <c r="AM56" s="279"/>
      <c r="AN56" s="279"/>
    </row>
    <row r="57" spans="1:40" x14ac:dyDescent="0.25">
      <c r="A57" s="296"/>
      <c r="B57" s="311"/>
      <c r="C57" s="311"/>
      <c r="D57" s="183">
        <f t="shared" ref="D57:I57" si="40">SUM(D54:D56)</f>
        <v>7405.0558695936015</v>
      </c>
      <c r="E57" s="183">
        <f t="shared" si="40"/>
        <v>7838.3629200283767</v>
      </c>
      <c r="F57" s="183">
        <f t="shared" si="40"/>
        <v>8047.8426616452989</v>
      </c>
      <c r="G57" s="183">
        <f t="shared" si="40"/>
        <v>8260.6332408278049</v>
      </c>
      <c r="H57" s="183">
        <f t="shared" si="40"/>
        <v>8340.2806760659969</v>
      </c>
      <c r="I57" s="183">
        <f t="shared" si="40"/>
        <v>8420.696056539753</v>
      </c>
      <c r="J57" s="288"/>
      <c r="K57" s="288"/>
      <c r="L57" s="288"/>
      <c r="M57" s="288"/>
      <c r="N57" s="288"/>
      <c r="O57" s="288"/>
      <c r="P57" s="288"/>
      <c r="Q57" s="288"/>
      <c r="V57" s="131"/>
      <c r="AJ57" s="279"/>
      <c r="AK57" s="279"/>
      <c r="AL57" s="279"/>
      <c r="AM57" s="279"/>
      <c r="AN57" s="279"/>
    </row>
    <row r="58" spans="1:40" x14ac:dyDescent="0.25">
      <c r="A58" s="296"/>
      <c r="B58" s="251"/>
      <c r="C58" s="251"/>
      <c r="D58" s="278" t="s">
        <v>924</v>
      </c>
      <c r="E58" s="183">
        <f>E57-$D$57</f>
        <v>433.30705043477519</v>
      </c>
      <c r="F58" s="183">
        <f>F57-$D$57</f>
        <v>642.78679205169738</v>
      </c>
      <c r="G58" s="183">
        <f>G57-$D$57</f>
        <v>855.57737123420338</v>
      </c>
      <c r="H58" s="183">
        <f>H57-$D$57</f>
        <v>935.22480647239536</v>
      </c>
      <c r="I58" s="183">
        <f>I57-$D$57</f>
        <v>1015.6401869461515</v>
      </c>
      <c r="J58" s="288"/>
      <c r="K58" s="288"/>
      <c r="L58" s="288"/>
      <c r="M58" s="288"/>
      <c r="N58" s="288"/>
      <c r="O58" s="288"/>
      <c r="P58" s="288"/>
      <c r="Q58" s="288"/>
      <c r="S58" s="131"/>
      <c r="T58" s="131"/>
      <c r="U58" s="131"/>
      <c r="V58" s="131"/>
      <c r="W58" s="131"/>
      <c r="X58" s="131"/>
      <c r="Y58" s="131"/>
      <c r="Z58" s="131"/>
      <c r="AJ58" s="279"/>
      <c r="AK58" s="279"/>
      <c r="AL58" s="279"/>
      <c r="AM58" s="279"/>
      <c r="AN58" s="279"/>
    </row>
    <row r="59" spans="1:40" x14ac:dyDescent="0.25">
      <c r="A59" s="288"/>
      <c r="B59" s="310"/>
      <c r="C59" s="294"/>
      <c r="D59" s="294"/>
      <c r="E59" s="295"/>
      <c r="F59" s="288"/>
      <c r="G59" s="288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S59" s="131"/>
      <c r="T59" s="131"/>
      <c r="U59" s="131"/>
      <c r="V59" s="131"/>
      <c r="W59" s="131"/>
      <c r="X59" s="131"/>
      <c r="Y59" s="131"/>
      <c r="Z59" s="131"/>
      <c r="AJ59" s="279"/>
      <c r="AK59" s="279"/>
      <c r="AL59" s="279"/>
      <c r="AM59" s="279"/>
      <c r="AN59" s="279"/>
    </row>
    <row r="60" spans="1:40" x14ac:dyDescent="0.25">
      <c r="A60" s="280"/>
      <c r="B60" s="312" t="s">
        <v>925</v>
      </c>
      <c r="C60" s="297"/>
      <c r="D60" s="297"/>
      <c r="E60" s="298"/>
      <c r="F60" s="299"/>
      <c r="G60" s="300"/>
      <c r="H60" s="300"/>
      <c r="I60" s="300"/>
      <c r="J60" s="401"/>
      <c r="K60" s="280"/>
      <c r="L60" s="280"/>
      <c r="M60" s="280"/>
      <c r="N60" s="280"/>
      <c r="O60" s="280"/>
      <c r="P60" s="280"/>
      <c r="Q60" s="212"/>
      <c r="V60" s="131"/>
    </row>
    <row r="61" spans="1:40" x14ac:dyDescent="0.25">
      <c r="A61" s="280"/>
      <c r="B61" s="365" t="s">
        <v>926</v>
      </c>
      <c r="C61" s="366"/>
      <c r="D61" s="366"/>
      <c r="E61" s="366"/>
      <c r="F61" s="366"/>
      <c r="G61" s="366"/>
      <c r="H61" s="366"/>
      <c r="I61" s="211"/>
      <c r="J61" s="397"/>
      <c r="K61" s="212"/>
      <c r="L61" s="280"/>
      <c r="M61" s="280"/>
      <c r="N61" s="280"/>
      <c r="O61" s="280"/>
      <c r="P61" s="280"/>
      <c r="Q61" s="212"/>
      <c r="V61" s="131"/>
    </row>
    <row r="62" spans="1:40" ht="60" x14ac:dyDescent="0.25">
      <c r="A62" s="280"/>
      <c r="B62" s="275" t="s">
        <v>826</v>
      </c>
      <c r="C62" s="164" t="s">
        <v>927</v>
      </c>
      <c r="D62" s="817" t="s">
        <v>903</v>
      </c>
      <c r="E62" s="250" t="s">
        <v>715</v>
      </c>
      <c r="F62" s="250" t="s">
        <v>716</v>
      </c>
      <c r="G62" s="163" t="s">
        <v>866</v>
      </c>
      <c r="H62" s="163" t="s">
        <v>867</v>
      </c>
      <c r="I62" s="250" t="s">
        <v>868</v>
      </c>
      <c r="J62" s="280"/>
      <c r="K62" s="280"/>
      <c r="L62" s="280"/>
      <c r="M62" s="280"/>
      <c r="N62" s="280"/>
      <c r="O62" s="280"/>
      <c r="P62" s="280"/>
      <c r="Q62" s="212"/>
      <c r="V62" s="131"/>
    </row>
    <row r="63" spans="1:40" x14ac:dyDescent="0.25">
      <c r="A63" s="280"/>
      <c r="B63" s="328" t="s">
        <v>754</v>
      </c>
      <c r="C63" s="147">
        <f>'Inputs and eligible population'!F77</f>
        <v>4</v>
      </c>
      <c r="D63" s="126">
        <f>(D54*$C$63)/60</f>
        <v>0</v>
      </c>
      <c r="E63" s="126">
        <f t="shared" ref="E63:I63" si="41">(E54*$C$63)/60</f>
        <v>175.33475989739415</v>
      </c>
      <c r="F63" s="126">
        <f t="shared" si="41"/>
        <v>236.03373852541205</v>
      </c>
      <c r="G63" s="126">
        <f t="shared" si="41"/>
        <v>297.88691298408173</v>
      </c>
      <c r="H63" s="126">
        <f t="shared" si="41"/>
        <v>300.75908124509834</v>
      </c>
      <c r="I63" s="126">
        <f t="shared" si="41"/>
        <v>303.65894239949176</v>
      </c>
      <c r="J63" s="280"/>
      <c r="K63" s="280"/>
      <c r="L63" s="280"/>
      <c r="M63" s="280"/>
      <c r="N63" s="280"/>
      <c r="O63" s="280"/>
      <c r="P63" s="280"/>
      <c r="Q63" s="212"/>
      <c r="S63" s="131"/>
      <c r="T63" s="131"/>
      <c r="U63" s="131"/>
      <c r="V63" s="131"/>
      <c r="W63" s="131"/>
      <c r="X63" s="131"/>
      <c r="Y63" s="131"/>
      <c r="Z63" s="131"/>
      <c r="AJ63" s="279"/>
      <c r="AK63" s="279"/>
      <c r="AL63" s="279"/>
      <c r="AM63" s="279"/>
      <c r="AN63" s="279"/>
    </row>
    <row r="64" spans="1:40" x14ac:dyDescent="0.25">
      <c r="A64" s="280"/>
      <c r="B64" s="328" t="s">
        <v>1028</v>
      </c>
      <c r="C64" s="147">
        <f>'Inputs and eligible population'!G77</f>
        <v>4</v>
      </c>
      <c r="D64" s="126">
        <f>(D55*$C$64)/60</f>
        <v>128.98363501056002</v>
      </c>
      <c r="E64" s="126">
        <f t="shared" ref="E64:I64" si="42">(E55*$C$64)/60</f>
        <v>82.871899336118773</v>
      </c>
      <c r="F64" s="126">
        <f t="shared" si="42"/>
        <v>71.717943628875204</v>
      </c>
      <c r="G64" s="126">
        <f t="shared" si="42"/>
        <v>60.341195194211437</v>
      </c>
      <c r="H64" s="126">
        <f t="shared" si="42"/>
        <v>60.922993380417367</v>
      </c>
      <c r="I64" s="126">
        <f t="shared" si="42"/>
        <v>61.51040115271757</v>
      </c>
      <c r="J64" s="280"/>
      <c r="K64" s="280"/>
      <c r="L64" s="280"/>
      <c r="M64" s="280"/>
      <c r="N64" s="280"/>
      <c r="O64" s="280"/>
      <c r="P64" s="280"/>
      <c r="Q64" s="212"/>
      <c r="S64" s="131"/>
      <c r="T64" s="131"/>
      <c r="U64" s="131"/>
      <c r="V64" s="131"/>
      <c r="W64" s="131"/>
      <c r="X64" s="131"/>
      <c r="Y64" s="131"/>
      <c r="Z64" s="131"/>
      <c r="AJ64" s="279"/>
      <c r="AK64" s="279"/>
      <c r="AL64" s="279"/>
      <c r="AM64" s="279"/>
      <c r="AN64" s="279"/>
    </row>
    <row r="65" spans="1:40" x14ac:dyDescent="0.25">
      <c r="A65" s="280"/>
      <c r="B65" s="328" t="s">
        <v>1029</v>
      </c>
      <c r="C65" s="147">
        <f>'Inputs and eligible population'!H77</f>
        <v>0</v>
      </c>
      <c r="D65" s="126">
        <f t="shared" ref="D65:I65" si="43">(D56*$C$65)/60</f>
        <v>0</v>
      </c>
      <c r="E65" s="126">
        <f t="shared" si="43"/>
        <v>0</v>
      </c>
      <c r="F65" s="126">
        <f t="shared" si="43"/>
        <v>0</v>
      </c>
      <c r="G65" s="126">
        <f t="shared" si="43"/>
        <v>0</v>
      </c>
      <c r="H65" s="126">
        <f t="shared" si="43"/>
        <v>0</v>
      </c>
      <c r="I65" s="126">
        <f t="shared" si="43"/>
        <v>0</v>
      </c>
      <c r="J65" s="280"/>
      <c r="K65" s="280"/>
      <c r="L65" s="280"/>
      <c r="M65" s="280"/>
      <c r="N65" s="280"/>
      <c r="O65" s="280"/>
      <c r="P65" s="280"/>
      <c r="Q65" s="212"/>
      <c r="S65" s="131"/>
      <c r="T65" s="131"/>
      <c r="U65" s="131"/>
      <c r="V65" s="131"/>
      <c r="W65" s="131"/>
      <c r="X65" s="131"/>
      <c r="Y65" s="131"/>
      <c r="Z65" s="131"/>
      <c r="AJ65" s="279"/>
      <c r="AK65" s="279"/>
      <c r="AL65" s="279"/>
      <c r="AM65" s="279"/>
      <c r="AN65" s="279"/>
    </row>
    <row r="66" spans="1:40" x14ac:dyDescent="0.25">
      <c r="A66" s="280"/>
      <c r="B66" s="276" t="s">
        <v>928</v>
      </c>
      <c r="C66" s="311"/>
      <c r="D66" s="183">
        <f>SUM(D63:D65)</f>
        <v>128.98363501056002</v>
      </c>
      <c r="E66" s="183">
        <f t="shared" ref="E66:I66" si="44">SUM(E63:E65)</f>
        <v>258.20665923351294</v>
      </c>
      <c r="F66" s="183">
        <f t="shared" si="44"/>
        <v>307.75168215428727</v>
      </c>
      <c r="G66" s="183">
        <f t="shared" si="44"/>
        <v>358.22810817829316</v>
      </c>
      <c r="H66" s="183">
        <f t="shared" si="44"/>
        <v>361.68207462551572</v>
      </c>
      <c r="I66" s="183">
        <f t="shared" si="44"/>
        <v>365.16934355220934</v>
      </c>
      <c r="J66" s="280"/>
      <c r="K66" s="280"/>
      <c r="L66" s="280"/>
      <c r="M66" s="280"/>
      <c r="N66" s="280"/>
      <c r="O66" s="280"/>
      <c r="P66" s="280"/>
      <c r="Q66" s="212"/>
      <c r="S66" s="131"/>
      <c r="T66" s="131"/>
      <c r="U66" s="131"/>
      <c r="V66" s="131"/>
      <c r="W66" s="131"/>
      <c r="X66" s="131"/>
      <c r="Y66" s="131"/>
      <c r="Z66" s="131"/>
      <c r="AJ66" s="279"/>
      <c r="AK66" s="279"/>
      <c r="AL66" s="279"/>
      <c r="AM66" s="279"/>
      <c r="AN66" s="279"/>
    </row>
    <row r="67" spans="1:40" x14ac:dyDescent="0.25">
      <c r="A67" s="280"/>
      <c r="B67" s="301"/>
      <c r="C67" s="251"/>
      <c r="D67" s="278" t="s">
        <v>929</v>
      </c>
      <c r="E67" s="183">
        <f>E66-$D$66</f>
        <v>129.22302422295292</v>
      </c>
      <c r="F67" s="183">
        <f>F66-$D$66</f>
        <v>178.76804714372724</v>
      </c>
      <c r="G67" s="183">
        <f>G66-$D$66</f>
        <v>229.24447316773313</v>
      </c>
      <c r="H67" s="183">
        <f>H66-$D$66</f>
        <v>232.6984396149557</v>
      </c>
      <c r="I67" s="183">
        <f>I66-$D$66</f>
        <v>236.18570854164932</v>
      </c>
      <c r="J67" s="280"/>
      <c r="K67" s="280"/>
      <c r="L67" s="280"/>
      <c r="M67" s="280"/>
      <c r="N67" s="280"/>
      <c r="O67" s="280"/>
      <c r="P67" s="280"/>
      <c r="Q67" s="212"/>
      <c r="S67" s="131"/>
      <c r="T67" s="131"/>
      <c r="U67" s="131"/>
      <c r="V67" s="131"/>
      <c r="W67" s="131"/>
      <c r="X67" s="131"/>
      <c r="Y67" s="131"/>
      <c r="Z67" s="131"/>
      <c r="AJ67" s="279"/>
      <c r="AK67" s="279"/>
      <c r="AL67" s="279"/>
      <c r="AM67" s="279"/>
      <c r="AN67" s="279"/>
    </row>
    <row r="68" spans="1:40" x14ac:dyDescent="0.25">
      <c r="A68" s="280"/>
      <c r="B68" s="313"/>
      <c r="C68" s="212"/>
      <c r="D68" s="212"/>
      <c r="E68" s="212"/>
      <c r="F68" s="212"/>
      <c r="G68" s="212"/>
      <c r="H68" s="212"/>
      <c r="I68" s="212"/>
      <c r="J68" s="212"/>
      <c r="K68" s="212"/>
      <c r="L68" s="280"/>
      <c r="M68" s="280"/>
      <c r="N68" s="280"/>
      <c r="O68" s="280"/>
      <c r="P68" s="280"/>
      <c r="Q68" s="212"/>
      <c r="S68" s="131"/>
      <c r="T68" s="131"/>
      <c r="U68" s="131"/>
      <c r="V68" s="131"/>
      <c r="W68" s="131"/>
      <c r="X68" s="131"/>
      <c r="Y68" s="131"/>
      <c r="Z68" s="131"/>
      <c r="AJ68" s="279"/>
      <c r="AK68" s="279"/>
      <c r="AL68" s="279"/>
      <c r="AM68" s="279"/>
      <c r="AN68" s="279"/>
    </row>
    <row r="69" spans="1:40" x14ac:dyDescent="0.25">
      <c r="A69" s="280"/>
      <c r="B69" s="367" t="s">
        <v>930</v>
      </c>
      <c r="C69" s="366"/>
      <c r="D69" s="366"/>
      <c r="E69" s="366"/>
      <c r="F69" s="366"/>
      <c r="G69" s="366"/>
      <c r="H69" s="366"/>
      <c r="I69" s="211"/>
      <c r="J69" s="397"/>
      <c r="K69" s="212"/>
      <c r="L69" s="280"/>
      <c r="M69" s="280"/>
      <c r="N69" s="280"/>
      <c r="O69" s="280"/>
      <c r="P69" s="280"/>
      <c r="Q69" s="212"/>
      <c r="S69" s="131"/>
      <c r="T69" s="131"/>
      <c r="U69" s="131"/>
      <c r="V69" s="131"/>
      <c r="W69" s="131"/>
      <c r="X69" s="131"/>
      <c r="Y69" s="131"/>
      <c r="Z69" s="131"/>
      <c r="AJ69" s="279"/>
      <c r="AK69" s="279"/>
      <c r="AL69" s="279"/>
      <c r="AM69" s="279"/>
      <c r="AN69" s="279"/>
    </row>
    <row r="70" spans="1:40" ht="75" x14ac:dyDescent="0.25">
      <c r="A70" s="280"/>
      <c r="B70" s="275" t="s">
        <v>826</v>
      </c>
      <c r="C70" s="164" t="s">
        <v>777</v>
      </c>
      <c r="D70" s="817" t="s">
        <v>903</v>
      </c>
      <c r="E70" s="250" t="s">
        <v>715</v>
      </c>
      <c r="F70" s="250" t="s">
        <v>716</v>
      </c>
      <c r="G70" s="163" t="s">
        <v>866</v>
      </c>
      <c r="H70" s="163" t="s">
        <v>867</v>
      </c>
      <c r="I70" s="250" t="s">
        <v>868</v>
      </c>
      <c r="J70" s="280"/>
      <c r="K70" s="280"/>
      <c r="L70" s="280"/>
      <c r="M70" s="280"/>
      <c r="N70" s="280"/>
      <c r="O70" s="280"/>
      <c r="P70" s="280"/>
      <c r="Q70" s="212"/>
      <c r="S70" s="131"/>
      <c r="T70" s="131"/>
      <c r="U70" s="131"/>
      <c r="V70" s="131"/>
      <c r="W70" s="131"/>
      <c r="X70" s="131"/>
      <c r="Y70" s="131"/>
      <c r="Z70" s="131"/>
      <c r="AJ70" s="279"/>
      <c r="AK70" s="279"/>
      <c r="AL70" s="279"/>
      <c r="AM70" s="279"/>
      <c r="AN70" s="279"/>
    </row>
    <row r="71" spans="1:40" x14ac:dyDescent="0.25">
      <c r="A71" s="280"/>
      <c r="B71" s="328" t="s">
        <v>754</v>
      </c>
      <c r="C71" s="147">
        <f>'Inputs and eligible population'!F78</f>
        <v>1</v>
      </c>
      <c r="D71" s="126">
        <f>($C54*$C71*'Financial impact (cash)'!D13)/60</f>
        <v>0</v>
      </c>
      <c r="E71" s="126">
        <f>($C54*$C71*'Financial impact (cash)'!E13)/60</f>
        <v>43.833689974348538</v>
      </c>
      <c r="F71" s="126">
        <f>($C54*$C71*'Financial impact (cash)'!F13)/60</f>
        <v>59.008434631353012</v>
      </c>
      <c r="G71" s="126">
        <f>($C54*$C71*'Financial impact (cash)'!G13)/60</f>
        <v>74.471728246020433</v>
      </c>
      <c r="H71" s="126">
        <f>($C54*$C71*'Financial impact (cash)'!H13)/60</f>
        <v>75.189770311274586</v>
      </c>
      <c r="I71" s="126">
        <f>($C54*$C71*'Financial impact (cash)'!I13)/60</f>
        <v>75.914735599872941</v>
      </c>
      <c r="J71" s="280"/>
      <c r="K71" s="280"/>
      <c r="L71" s="280"/>
      <c r="M71" s="280"/>
      <c r="N71" s="280"/>
      <c r="O71" s="280"/>
      <c r="P71" s="280"/>
      <c r="Q71" s="212"/>
      <c r="S71" s="131"/>
      <c r="T71" s="131"/>
      <c r="U71" s="131"/>
      <c r="V71" s="131"/>
      <c r="W71" s="131"/>
      <c r="X71" s="131"/>
      <c r="Y71" s="131"/>
      <c r="Z71" s="131"/>
      <c r="AJ71" s="279"/>
      <c r="AK71" s="279"/>
      <c r="AL71" s="279"/>
      <c r="AM71" s="279"/>
      <c r="AN71" s="279"/>
    </row>
    <row r="72" spans="1:40" x14ac:dyDescent="0.25">
      <c r="A72" s="280"/>
      <c r="B72" s="328" t="s">
        <v>1028</v>
      </c>
      <c r="C72" s="147">
        <f>'Inputs and eligible population'!G78</f>
        <v>1</v>
      </c>
      <c r="D72" s="126">
        <f>($C55*$C72*'Financial impact (cash)'!D14)/60</f>
        <v>32.245908752640005</v>
      </c>
      <c r="E72" s="126">
        <f>($C55*$C72*'Financial impact (cash)'!E14)/60</f>
        <v>20.717974834029693</v>
      </c>
      <c r="F72" s="126">
        <f>($C55*$C72*'Financial impact (cash)'!F14)/60</f>
        <v>17.929485907218801</v>
      </c>
      <c r="G72" s="126">
        <f>($C55*$C72*'Financial impact (cash)'!G14)/60</f>
        <v>15.085298798552859</v>
      </c>
      <c r="H72" s="126">
        <f>($C55*$C72*'Financial impact (cash)'!H14)/60</f>
        <v>15.230748345104342</v>
      </c>
      <c r="I72" s="126">
        <f>($C55*$C72*'Financial impact (cash)'!I14)/60</f>
        <v>15.377600288179393</v>
      </c>
      <c r="J72" s="280"/>
      <c r="K72" s="280"/>
      <c r="L72" s="280"/>
      <c r="M72" s="280"/>
      <c r="N72" s="280"/>
      <c r="O72" s="280"/>
      <c r="P72" s="280"/>
      <c r="Q72" s="212"/>
      <c r="S72" s="131"/>
      <c r="T72" s="131"/>
      <c r="U72" s="131"/>
      <c r="V72" s="131"/>
      <c r="W72" s="131"/>
      <c r="X72" s="131"/>
      <c r="Y72" s="131"/>
      <c r="Z72" s="131"/>
      <c r="AJ72" s="279"/>
      <c r="AK72" s="279"/>
      <c r="AL72" s="279"/>
      <c r="AM72" s="279"/>
      <c r="AN72" s="279"/>
    </row>
    <row r="73" spans="1:40" x14ac:dyDescent="0.25">
      <c r="A73" s="280"/>
      <c r="B73" s="328" t="s">
        <v>1029</v>
      </c>
      <c r="C73" s="147">
        <f>'Inputs and eligible population'!H78</f>
        <v>0</v>
      </c>
      <c r="D73" s="126">
        <f>($C56*$C73*'Financial impact (cash)'!D15)/60</f>
        <v>0</v>
      </c>
      <c r="E73" s="126">
        <f>($C56*$C73*'Financial impact (cash)'!E15)/60</f>
        <v>0</v>
      </c>
      <c r="F73" s="126">
        <f>($C56*$C73*'Financial impact (cash)'!F15)/60</f>
        <v>0</v>
      </c>
      <c r="G73" s="126">
        <f>($C56*$C73*'Financial impact (cash)'!G15)/60</f>
        <v>0</v>
      </c>
      <c r="H73" s="126">
        <f>($C56*$C73*'Financial impact (cash)'!H15)/60</f>
        <v>0</v>
      </c>
      <c r="I73" s="126">
        <f>($C56*$C73*'Financial impact (cash)'!I15)/60</f>
        <v>0</v>
      </c>
      <c r="J73" s="280"/>
      <c r="K73" s="280"/>
      <c r="L73" s="280"/>
      <c r="M73" s="280"/>
      <c r="N73" s="280"/>
      <c r="O73" s="280"/>
      <c r="P73" s="280"/>
      <c r="Q73" s="212"/>
      <c r="S73" s="131"/>
      <c r="T73" s="131"/>
      <c r="U73" s="131"/>
      <c r="V73" s="131"/>
      <c r="W73" s="131"/>
      <c r="X73" s="131"/>
      <c r="Y73" s="131"/>
      <c r="Z73" s="131"/>
      <c r="AJ73" s="279"/>
      <c r="AK73" s="279"/>
      <c r="AL73" s="279"/>
      <c r="AM73" s="279"/>
      <c r="AN73" s="279"/>
    </row>
    <row r="74" spans="1:40" x14ac:dyDescent="0.25">
      <c r="A74" s="280"/>
      <c r="B74" s="276"/>
      <c r="C74" s="276"/>
      <c r="D74" s="183">
        <f t="shared" ref="D74:I74" si="45">SUM(D71:D73)</f>
        <v>32.245908752640005</v>
      </c>
      <c r="E74" s="183">
        <f t="shared" si="45"/>
        <v>64.551664808378234</v>
      </c>
      <c r="F74" s="183">
        <f t="shared" si="45"/>
        <v>76.937920538571817</v>
      </c>
      <c r="G74" s="183">
        <f t="shared" si="45"/>
        <v>89.557027044573289</v>
      </c>
      <c r="H74" s="183">
        <f t="shared" si="45"/>
        <v>90.420518656378931</v>
      </c>
      <c r="I74" s="183">
        <f t="shared" si="45"/>
        <v>91.292335888052335</v>
      </c>
      <c r="J74" s="280"/>
      <c r="K74" s="280"/>
      <c r="L74" s="280"/>
      <c r="M74" s="280"/>
      <c r="N74" s="280"/>
      <c r="O74" s="280"/>
      <c r="P74" s="280"/>
      <c r="Q74" s="212"/>
      <c r="S74" s="131"/>
      <c r="T74" s="131"/>
      <c r="U74" s="131"/>
      <c r="V74" s="131"/>
      <c r="W74" s="131"/>
      <c r="X74" s="131"/>
      <c r="Y74" s="131"/>
      <c r="Z74" s="131"/>
      <c r="AJ74" s="279"/>
      <c r="AK74" s="279"/>
      <c r="AL74" s="279"/>
      <c r="AM74" s="279"/>
      <c r="AN74" s="279"/>
    </row>
    <row r="75" spans="1:40" x14ac:dyDescent="0.25">
      <c r="A75" s="280"/>
      <c r="B75" s="276"/>
      <c r="C75" s="276"/>
      <c r="D75" s="278" t="s">
        <v>931</v>
      </c>
      <c r="E75" s="183">
        <f>E74-$D$74</f>
        <v>32.305756055738229</v>
      </c>
      <c r="F75" s="183">
        <f>F74-$D$74</f>
        <v>44.692011785931811</v>
      </c>
      <c r="G75" s="183">
        <f>G74-$D$74</f>
        <v>57.311118291933283</v>
      </c>
      <c r="H75" s="183">
        <f>H74-$D$74</f>
        <v>58.174609903738926</v>
      </c>
      <c r="I75" s="183">
        <f>I74-$D$74</f>
        <v>59.04642713541233</v>
      </c>
      <c r="J75" s="280"/>
      <c r="K75" s="280"/>
      <c r="L75" s="280"/>
      <c r="M75" s="280"/>
      <c r="N75" s="280"/>
      <c r="O75" s="280"/>
      <c r="P75" s="280"/>
      <c r="Q75" s="212"/>
      <c r="S75" s="131"/>
      <c r="T75" s="131"/>
      <c r="U75" s="131"/>
      <c r="V75" s="131"/>
      <c r="W75" s="131"/>
      <c r="X75" s="131"/>
      <c r="Y75" s="131"/>
      <c r="Z75" s="131"/>
      <c r="AJ75" s="279"/>
      <c r="AK75" s="279"/>
      <c r="AL75" s="279"/>
      <c r="AM75" s="279"/>
      <c r="AN75" s="279"/>
    </row>
    <row r="76" spans="1:40" x14ac:dyDescent="0.25">
      <c r="A76" s="280"/>
      <c r="B76" s="313"/>
      <c r="C76" s="212"/>
      <c r="D76" s="212"/>
      <c r="E76" s="212"/>
      <c r="F76" s="212"/>
      <c r="G76" s="212"/>
      <c r="H76" s="212"/>
      <c r="I76" s="212"/>
      <c r="J76" s="212"/>
      <c r="K76" s="212"/>
      <c r="L76" s="280"/>
      <c r="M76" s="280"/>
      <c r="N76" s="280"/>
      <c r="O76" s="280"/>
      <c r="P76" s="280"/>
      <c r="Q76" s="212"/>
      <c r="S76" s="131"/>
      <c r="T76" s="131"/>
      <c r="U76" s="131"/>
      <c r="V76" s="131"/>
      <c r="W76" s="131"/>
      <c r="X76" s="131"/>
      <c r="Y76" s="131"/>
      <c r="Z76" s="131"/>
      <c r="AJ76" s="279"/>
      <c r="AK76" s="279"/>
      <c r="AL76" s="279"/>
      <c r="AM76" s="279"/>
      <c r="AN76" s="279"/>
    </row>
    <row r="77" spans="1:40" x14ac:dyDescent="0.25">
      <c r="A77" s="280"/>
      <c r="B77" s="367" t="s">
        <v>895</v>
      </c>
      <c r="C77" s="366"/>
      <c r="D77" s="366"/>
      <c r="E77" s="366"/>
      <c r="F77" s="366"/>
      <c r="G77" s="366"/>
      <c r="H77" s="366"/>
      <c r="I77" s="211"/>
      <c r="J77" s="397"/>
      <c r="K77" s="212"/>
      <c r="L77" s="280"/>
      <c r="M77" s="280"/>
      <c r="N77" s="280"/>
      <c r="O77" s="280"/>
      <c r="P77" s="280"/>
      <c r="Q77" s="212"/>
      <c r="V77" s="131"/>
      <c r="AJ77" s="279"/>
      <c r="AK77" s="279"/>
      <c r="AL77" s="279"/>
      <c r="AM77" s="279"/>
      <c r="AN77" s="279"/>
    </row>
    <row r="78" spans="1:40" ht="60" x14ac:dyDescent="0.25">
      <c r="A78" s="280"/>
      <c r="B78" s="275" t="s">
        <v>826</v>
      </c>
      <c r="C78" s="164" t="s">
        <v>778</v>
      </c>
      <c r="D78" s="817" t="s">
        <v>903</v>
      </c>
      <c r="E78" s="250" t="s">
        <v>715</v>
      </c>
      <c r="F78" s="250" t="s">
        <v>716</v>
      </c>
      <c r="G78" s="163" t="s">
        <v>866</v>
      </c>
      <c r="H78" s="163" t="s">
        <v>867</v>
      </c>
      <c r="I78" s="250" t="s">
        <v>868</v>
      </c>
      <c r="J78" s="280"/>
      <c r="K78" s="280"/>
      <c r="L78" s="280"/>
      <c r="M78" s="280"/>
      <c r="N78" s="280"/>
      <c r="O78" s="280"/>
      <c r="P78" s="280"/>
      <c r="Q78" s="212"/>
      <c r="V78" s="131"/>
      <c r="AJ78" s="279"/>
      <c r="AK78" s="279"/>
      <c r="AL78" s="279"/>
      <c r="AM78" s="279"/>
      <c r="AN78" s="279"/>
    </row>
    <row r="79" spans="1:40" x14ac:dyDescent="0.25">
      <c r="A79" s="280"/>
      <c r="B79" s="328" t="s">
        <v>754</v>
      </c>
      <c r="C79" s="147">
        <f>'Inputs and eligible population'!F79</f>
        <v>0</v>
      </c>
      <c r="D79" s="126">
        <f>($C54*$C79*'Financial impact (cash)'!D13)/60</f>
        <v>0</v>
      </c>
      <c r="E79" s="126">
        <f>($C54*$C79*'Financial impact (cash)'!E13)/60</f>
        <v>0</v>
      </c>
      <c r="F79" s="126">
        <f>($C54*$C79*'Financial impact (cash)'!F13)/60</f>
        <v>0</v>
      </c>
      <c r="G79" s="126">
        <f>($C54*$C79*'Financial impact (cash)'!G13)/60</f>
        <v>0</v>
      </c>
      <c r="H79" s="126">
        <f>($C54*$C79*'Financial impact (cash)'!H13)/60</f>
        <v>0</v>
      </c>
      <c r="I79" s="126">
        <f>($C54*$C79*'Financial impact (cash)'!I13)/60</f>
        <v>0</v>
      </c>
      <c r="J79" s="280"/>
      <c r="K79" s="280"/>
      <c r="L79" s="280"/>
      <c r="M79" s="280"/>
      <c r="N79" s="280"/>
      <c r="O79" s="280"/>
      <c r="P79" s="280"/>
      <c r="Q79" s="212"/>
      <c r="V79" s="131"/>
      <c r="AJ79" s="279"/>
      <c r="AK79" s="279"/>
      <c r="AL79" s="279"/>
      <c r="AM79" s="279"/>
      <c r="AN79" s="279"/>
    </row>
    <row r="80" spans="1:40" x14ac:dyDescent="0.25">
      <c r="A80" s="280"/>
      <c r="B80" s="328" t="s">
        <v>1028</v>
      </c>
      <c r="C80" s="147">
        <f>'Inputs and eligible population'!G79</f>
        <v>0</v>
      </c>
      <c r="D80" s="126">
        <f>($C55*$C80*'Financial impact (cash)'!D14)/60</f>
        <v>0</v>
      </c>
      <c r="E80" s="126">
        <f>($C55*$C80*'Financial impact (cash)'!E14)/60</f>
        <v>0</v>
      </c>
      <c r="F80" s="126">
        <f>($C55*$C80*'Financial impact (cash)'!F14)/60</f>
        <v>0</v>
      </c>
      <c r="G80" s="126">
        <f>($C55*$C80*'Financial impact (cash)'!G14)/60</f>
        <v>0</v>
      </c>
      <c r="H80" s="126">
        <f>($C55*$C80*'Financial impact (cash)'!H14)/60</f>
        <v>0</v>
      </c>
      <c r="I80" s="126">
        <f>($C55*$C80*'Financial impact (cash)'!I14)/60</f>
        <v>0</v>
      </c>
      <c r="J80" s="280"/>
      <c r="K80" s="280"/>
      <c r="L80" s="280"/>
      <c r="M80" s="280"/>
      <c r="N80" s="280"/>
      <c r="O80" s="280"/>
      <c r="P80" s="280"/>
      <c r="Q80" s="212"/>
      <c r="V80" s="131"/>
      <c r="AJ80" s="279"/>
      <c r="AK80" s="279"/>
      <c r="AL80" s="279"/>
      <c r="AM80" s="279"/>
      <c r="AN80" s="279"/>
    </row>
    <row r="81" spans="1:40" x14ac:dyDescent="0.25">
      <c r="A81" s="280"/>
      <c r="B81" s="328" t="s">
        <v>1029</v>
      </c>
      <c r="C81" s="147">
        <f>'Inputs and eligible population'!H79</f>
        <v>0</v>
      </c>
      <c r="D81" s="126">
        <f>($C56*$C81*'Financial impact (cash)'!D15)/60</f>
        <v>0</v>
      </c>
      <c r="E81" s="126">
        <f>($C56*$C81*'Financial impact (cash)'!E15)/60</f>
        <v>0</v>
      </c>
      <c r="F81" s="126">
        <f>($C56*$C81*'Financial impact (cash)'!F15)/60</f>
        <v>0</v>
      </c>
      <c r="G81" s="126">
        <f>($C56*$C81*'Financial impact (cash)'!G15)/60</f>
        <v>0</v>
      </c>
      <c r="H81" s="126">
        <f>($C56*$C81*'Financial impact (cash)'!H15)/60</f>
        <v>0</v>
      </c>
      <c r="I81" s="126">
        <f>($C56*$C81*'Financial impact (cash)'!I15)/60</f>
        <v>0</v>
      </c>
      <c r="J81" s="280"/>
      <c r="K81" s="280"/>
      <c r="L81" s="280"/>
      <c r="M81" s="280"/>
      <c r="N81" s="280"/>
      <c r="O81" s="280"/>
      <c r="P81" s="280"/>
      <c r="Q81" s="212"/>
      <c r="V81" s="131"/>
      <c r="AJ81" s="279"/>
      <c r="AK81" s="279"/>
      <c r="AL81" s="279"/>
      <c r="AM81" s="279"/>
      <c r="AN81" s="279"/>
    </row>
    <row r="82" spans="1:40" x14ac:dyDescent="0.25">
      <c r="A82" s="280"/>
      <c r="B82" s="276"/>
      <c r="C82" s="276"/>
      <c r="D82" s="183">
        <f t="shared" ref="D82:I82" si="46">SUM(D79:D81)</f>
        <v>0</v>
      </c>
      <c r="E82" s="183">
        <f t="shared" si="46"/>
        <v>0</v>
      </c>
      <c r="F82" s="183">
        <f t="shared" si="46"/>
        <v>0</v>
      </c>
      <c r="G82" s="183">
        <f t="shared" si="46"/>
        <v>0</v>
      </c>
      <c r="H82" s="183">
        <f t="shared" si="46"/>
        <v>0</v>
      </c>
      <c r="I82" s="183">
        <f t="shared" si="46"/>
        <v>0</v>
      </c>
      <c r="J82" s="280"/>
      <c r="K82" s="280"/>
      <c r="L82" s="280"/>
      <c r="M82" s="280"/>
      <c r="N82" s="280"/>
      <c r="O82" s="280"/>
      <c r="P82" s="280"/>
      <c r="Q82" s="212"/>
      <c r="R82" s="131"/>
      <c r="S82" s="131"/>
      <c r="T82" s="131"/>
      <c r="U82" s="131"/>
      <c r="V82" s="131"/>
      <c r="W82" s="131"/>
      <c r="X82" s="131"/>
      <c r="Y82" s="131"/>
      <c r="Z82" s="131"/>
      <c r="AJ82" s="279"/>
      <c r="AK82" s="279"/>
      <c r="AL82" s="279"/>
      <c r="AM82" s="279"/>
      <c r="AN82" s="279"/>
    </row>
    <row r="83" spans="1:40" x14ac:dyDescent="0.25">
      <c r="A83" s="280"/>
      <c r="B83" s="301"/>
      <c r="C83" s="276"/>
      <c r="D83" s="278" t="s">
        <v>932</v>
      </c>
      <c r="E83" s="183">
        <f>E82-$D$82</f>
        <v>0</v>
      </c>
      <c r="F83" s="183">
        <f>F82-$D$82</f>
        <v>0</v>
      </c>
      <c r="G83" s="183">
        <f>G82-$D$82</f>
        <v>0</v>
      </c>
      <c r="H83" s="183">
        <f>H82-$D$82</f>
        <v>0</v>
      </c>
      <c r="I83" s="183">
        <f>I82-$D$82</f>
        <v>0</v>
      </c>
      <c r="J83" s="280"/>
      <c r="K83" s="280"/>
      <c r="L83" s="280"/>
      <c r="M83" s="280"/>
      <c r="N83" s="280"/>
      <c r="O83" s="280"/>
      <c r="P83" s="280"/>
      <c r="Q83" s="212"/>
      <c r="R83" s="131"/>
      <c r="S83" s="131"/>
      <c r="T83" s="131"/>
      <c r="U83" s="131"/>
      <c r="V83" s="131"/>
      <c r="W83" s="131"/>
      <c r="X83" s="131"/>
      <c r="Y83" s="131"/>
      <c r="Z83" s="131"/>
      <c r="AJ83" s="279"/>
      <c r="AK83" s="279"/>
      <c r="AL83" s="279"/>
      <c r="AM83" s="279"/>
      <c r="AN83" s="279"/>
    </row>
    <row r="84" spans="1:40" x14ac:dyDescent="0.25">
      <c r="A84" s="280"/>
      <c r="B84" s="313"/>
      <c r="C84" s="212"/>
      <c r="D84" s="212"/>
      <c r="E84" s="212"/>
      <c r="F84" s="212"/>
      <c r="G84" s="212"/>
      <c r="H84" s="212"/>
      <c r="I84" s="212"/>
      <c r="J84" s="280"/>
      <c r="K84" s="280"/>
      <c r="L84" s="280"/>
      <c r="M84" s="280"/>
      <c r="N84" s="280"/>
      <c r="O84" s="280"/>
      <c r="P84" s="280"/>
      <c r="Q84" s="212"/>
      <c r="R84" s="131"/>
      <c r="S84" s="131"/>
      <c r="T84" s="131"/>
      <c r="U84" s="131"/>
      <c r="V84" s="131"/>
      <c r="W84" s="131"/>
      <c r="X84" s="131"/>
      <c r="Y84" s="131"/>
      <c r="Z84" s="131"/>
      <c r="AJ84" s="279"/>
      <c r="AK84" s="279"/>
      <c r="AL84" s="279"/>
      <c r="AM84" s="279"/>
      <c r="AN84" s="279"/>
    </row>
    <row r="85" spans="1:40" x14ac:dyDescent="0.25">
      <c r="A85" s="684"/>
      <c r="B85" s="691" t="s">
        <v>933</v>
      </c>
      <c r="C85" s="685"/>
      <c r="D85" s="686"/>
      <c r="E85" s="685"/>
      <c r="F85" s="687"/>
      <c r="G85" s="688"/>
      <c r="H85" s="688"/>
      <c r="I85" s="689"/>
      <c r="J85" s="684"/>
      <c r="K85" s="684"/>
      <c r="L85" s="684"/>
      <c r="M85" s="684"/>
      <c r="N85" s="684"/>
      <c r="O85" s="684"/>
      <c r="P85" s="282"/>
      <c r="Q85" s="282"/>
      <c r="R85" s="131"/>
      <c r="S85" s="131"/>
      <c r="T85" s="131"/>
      <c r="U85" s="131"/>
      <c r="V85" s="131"/>
      <c r="W85" s="131"/>
      <c r="X85" s="131"/>
      <c r="Y85" s="131"/>
      <c r="Z85" s="131"/>
      <c r="AJ85" s="279"/>
      <c r="AK85" s="279"/>
      <c r="AL85" s="279"/>
      <c r="AM85" s="279"/>
      <c r="AN85" s="279"/>
    </row>
    <row r="86" spans="1:40" x14ac:dyDescent="0.25">
      <c r="A86" s="282"/>
      <c r="B86" s="368" t="s">
        <v>934</v>
      </c>
      <c r="C86" s="369"/>
      <c r="D86" s="369"/>
      <c r="E86" s="369"/>
      <c r="F86" s="369"/>
      <c r="G86" s="369"/>
      <c r="H86" s="369"/>
      <c r="I86" s="215"/>
      <c r="J86" s="282"/>
      <c r="K86" s="282"/>
      <c r="L86" s="216"/>
      <c r="M86" s="216"/>
      <c r="N86" s="282"/>
      <c r="O86" s="216"/>
      <c r="P86" s="216"/>
      <c r="Q86" s="216"/>
      <c r="V86" s="131"/>
    </row>
    <row r="87" spans="1:40" ht="45" x14ac:dyDescent="0.25">
      <c r="A87" s="282"/>
      <c r="B87" s="272" t="s">
        <v>826</v>
      </c>
      <c r="C87" s="164" t="s">
        <v>935</v>
      </c>
      <c r="D87" s="817" t="s">
        <v>903</v>
      </c>
      <c r="E87" s="250" t="s">
        <v>715</v>
      </c>
      <c r="F87" s="250" t="s">
        <v>716</v>
      </c>
      <c r="G87" s="163" t="s">
        <v>866</v>
      </c>
      <c r="H87" s="163" t="s">
        <v>867</v>
      </c>
      <c r="I87" s="250" t="s">
        <v>868</v>
      </c>
      <c r="J87" s="282"/>
      <c r="K87" s="282"/>
      <c r="L87" s="216"/>
      <c r="M87" s="216"/>
      <c r="N87" s="282"/>
      <c r="O87" s="216"/>
      <c r="P87" s="216"/>
      <c r="Q87" s="216"/>
      <c r="V87" s="131"/>
    </row>
    <row r="88" spans="1:40" x14ac:dyDescent="0.25">
      <c r="A88" s="282"/>
      <c r="B88" s="328" t="s">
        <v>754</v>
      </c>
      <c r="C88" s="147">
        <f>'Inputs and eligible population'!F80</f>
        <v>10</v>
      </c>
      <c r="D88" s="126">
        <f>($C88*'Financial impact (cash)'!D13*'Inputs and eligible population'!$F47)/60</f>
        <v>0</v>
      </c>
      <c r="E88" s="126">
        <f>($C88*'Financial impact (cash)'!E13*'Inputs and eligible population'!$F47)/60</f>
        <v>438.33689974348533</v>
      </c>
      <c r="F88" s="126">
        <f>($C88*'Financial impact (cash)'!F13*'Inputs and eligible population'!$F47)/60</f>
        <v>590.08434631353009</v>
      </c>
      <c r="G88" s="126">
        <f>($C88*'Financial impact (cash)'!G13*'Inputs and eligible population'!$F47)/60</f>
        <v>744.71728246020439</v>
      </c>
      <c r="H88" s="126">
        <f>($C88*'Financial impact (cash)'!H13*'Inputs and eligible population'!$F47)/60</f>
        <v>751.89770311274594</v>
      </c>
      <c r="I88" s="126">
        <f>($C88*'Financial impact (cash)'!I13*'Inputs and eligible population'!$F47)/60</f>
        <v>759.14735599872938</v>
      </c>
      <c r="J88" s="282"/>
      <c r="K88" s="282"/>
      <c r="L88" s="216"/>
      <c r="M88" s="216"/>
      <c r="N88" s="282"/>
      <c r="O88" s="216"/>
      <c r="P88" s="216"/>
      <c r="Q88" s="216"/>
      <c r="V88" s="131"/>
    </row>
    <row r="89" spans="1:40" x14ac:dyDescent="0.25">
      <c r="A89" s="282"/>
      <c r="B89" s="328" t="s">
        <v>1028</v>
      </c>
      <c r="C89" s="147">
        <f>'Inputs and eligible population'!G80</f>
        <v>10</v>
      </c>
      <c r="D89" s="126">
        <f>($C89*'Financial impact (cash)'!D14*'Inputs and eligible population'!$F48)/60</f>
        <v>322.45908752640008</v>
      </c>
      <c r="E89" s="126">
        <f>($C89*'Financial impact (cash)'!E14*'Inputs and eligible population'!$F48)/60</f>
        <v>207.17974834029695</v>
      </c>
      <c r="F89" s="126">
        <f>($C89*'Financial impact (cash)'!F14*'Inputs and eligible population'!$F48)/60</f>
        <v>179.29485907218802</v>
      </c>
      <c r="G89" s="126">
        <f>($C89*'Financial impact (cash)'!G14*'Inputs and eligible population'!$F48)/60</f>
        <v>150.85298798552859</v>
      </c>
      <c r="H89" s="126">
        <f>($C89*'Financial impact (cash)'!H14*'Inputs and eligible population'!$F48)/60</f>
        <v>152.30748345104342</v>
      </c>
      <c r="I89" s="126">
        <f>($C89*'Financial impact (cash)'!I14*'Inputs and eligible population'!$F48)/60</f>
        <v>153.77600288179391</v>
      </c>
      <c r="J89" s="282"/>
      <c r="K89" s="282"/>
      <c r="L89" s="216"/>
      <c r="M89" s="216"/>
      <c r="N89" s="282"/>
      <c r="O89" s="216"/>
      <c r="P89" s="216"/>
      <c r="Q89" s="216"/>
      <c r="V89" s="131"/>
    </row>
    <row r="90" spans="1:40" x14ac:dyDescent="0.25">
      <c r="A90" s="282"/>
      <c r="B90" s="328" t="s">
        <v>1029</v>
      </c>
      <c r="C90" s="147">
        <f>'Inputs and eligible population'!H80</f>
        <v>5</v>
      </c>
      <c r="D90" s="126">
        <f>($C90*'Financial impact (cash)'!D15*'Inputs and eligible population'!$F49)/60</f>
        <v>455.85844536960008</v>
      </c>
      <c r="E90" s="126">
        <f>($C90*'Financial impact (cash)'!E15*'Inputs and eligible population'!$F49)/60</f>
        <v>330.43858596047357</v>
      </c>
      <c r="F90" s="126">
        <f>($C90*'Financial impact (cash)'!F15*'Inputs and eligible population'!$F49)/60</f>
        <v>285.96395244424917</v>
      </c>
      <c r="G90" s="126">
        <f>($C90*'Financial impact (cash)'!G15*'Inputs and eligible population'!$F49)/60</f>
        <v>240.60096817945066</v>
      </c>
      <c r="H90" s="126">
        <f>($C90*'Financial impact (cash)'!H15*'Inputs and eligible population'!$F49)/60</f>
        <v>242.92079639027176</v>
      </c>
      <c r="I90" s="126">
        <f>($C90*'Financial impact (cash)'!I15*'Inputs and eligible population'!$F49)/60</f>
        <v>245.26299193805104</v>
      </c>
      <c r="J90" s="282"/>
      <c r="K90" s="282"/>
      <c r="L90" s="216"/>
      <c r="M90" s="216"/>
      <c r="N90" s="282"/>
      <c r="O90" s="216"/>
      <c r="P90" s="216"/>
      <c r="Q90" s="216"/>
      <c r="V90" s="131"/>
    </row>
    <row r="91" spans="1:40" x14ac:dyDescent="0.25">
      <c r="A91" s="282"/>
      <c r="B91" s="276"/>
      <c r="C91" s="202"/>
      <c r="D91" s="183">
        <f t="shared" ref="D91:I91" si="47">SUM(D88:D90)</f>
        <v>778.3175328960001</v>
      </c>
      <c r="E91" s="183">
        <f t="shared" si="47"/>
        <v>975.9552340442558</v>
      </c>
      <c r="F91" s="183">
        <f t="shared" si="47"/>
        <v>1055.3431578299674</v>
      </c>
      <c r="G91" s="183">
        <f t="shared" si="47"/>
        <v>1136.1712386251836</v>
      </c>
      <c r="H91" s="183">
        <f t="shared" si="47"/>
        <v>1147.1259829540611</v>
      </c>
      <c r="I91" s="183">
        <f t="shared" si="47"/>
        <v>1158.1863508185743</v>
      </c>
      <c r="J91" s="282"/>
      <c r="K91" s="282"/>
      <c r="L91" s="216"/>
      <c r="M91" s="216"/>
      <c r="N91" s="282"/>
      <c r="O91" s="216"/>
      <c r="P91" s="216"/>
      <c r="Q91" s="216"/>
      <c r="V91" s="131"/>
    </row>
    <row r="92" spans="1:40" x14ac:dyDescent="0.25">
      <c r="A92" s="282"/>
      <c r="B92" s="301"/>
      <c r="C92" s="218"/>
      <c r="D92" s="278" t="s">
        <v>897</v>
      </c>
      <c r="E92" s="183">
        <f>E91-$D$91</f>
        <v>197.6377011482557</v>
      </c>
      <c r="F92" s="183">
        <f>F91-$D$91</f>
        <v>277.02562493396726</v>
      </c>
      <c r="G92" s="183">
        <f>G91-$D$91</f>
        <v>357.8537057291835</v>
      </c>
      <c r="H92" s="183">
        <f>H91-$D$91</f>
        <v>368.808450058061</v>
      </c>
      <c r="I92" s="183">
        <f>I91-$D$91</f>
        <v>379.86881792257418</v>
      </c>
      <c r="J92" s="282"/>
      <c r="K92" s="282"/>
      <c r="L92" s="216"/>
      <c r="M92" s="216"/>
      <c r="N92" s="282"/>
      <c r="O92" s="216"/>
      <c r="P92" s="216"/>
      <c r="Q92" s="216"/>
      <c r="V92" s="131"/>
    </row>
    <row r="93" spans="1:40" x14ac:dyDescent="0.25">
      <c r="A93" s="282"/>
      <c r="B93" s="314"/>
      <c r="C93" s="369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82"/>
      <c r="O93" s="216"/>
      <c r="P93" s="216"/>
      <c r="Q93" s="216"/>
      <c r="R93" s="131"/>
      <c r="S93" s="131"/>
      <c r="T93" s="131"/>
      <c r="U93" s="131"/>
      <c r="V93" s="131"/>
      <c r="W93" s="131"/>
      <c r="X93" s="131"/>
      <c r="Y93" s="131"/>
      <c r="Z93" s="131"/>
      <c r="AJ93" s="279"/>
      <c r="AK93" s="279"/>
      <c r="AL93" s="279"/>
      <c r="AM93" s="279"/>
      <c r="AN93" s="279"/>
    </row>
    <row r="94" spans="1:40" x14ac:dyDescent="0.25">
      <c r="A94" s="283"/>
      <c r="B94" s="315" t="s">
        <v>788</v>
      </c>
      <c r="C94" s="303"/>
      <c r="D94" s="304"/>
      <c r="E94" s="305"/>
      <c r="F94" s="306"/>
      <c r="G94" s="306"/>
      <c r="H94" s="306"/>
      <c r="I94" s="398"/>
      <c r="J94" s="404"/>
      <c r="K94" s="283"/>
      <c r="L94" s="283"/>
      <c r="M94" s="283"/>
      <c r="N94" s="283"/>
      <c r="O94" s="283"/>
      <c r="P94" s="283"/>
      <c r="Q94" s="283"/>
      <c r="R94" s="131"/>
      <c r="S94" s="131"/>
      <c r="T94" s="131"/>
      <c r="U94" s="131"/>
      <c r="V94" s="131"/>
      <c r="W94" s="131"/>
      <c r="X94" s="131"/>
      <c r="Y94" s="131"/>
      <c r="Z94" s="131"/>
      <c r="AJ94" s="279"/>
      <c r="AK94" s="279"/>
      <c r="AL94" s="279"/>
      <c r="AM94" s="279"/>
      <c r="AN94" s="279"/>
    </row>
    <row r="95" spans="1:40" x14ac:dyDescent="0.25">
      <c r="A95" s="283"/>
      <c r="B95" s="372" t="s">
        <v>936</v>
      </c>
      <c r="C95" s="373"/>
      <c r="D95" s="373"/>
      <c r="E95" s="373"/>
      <c r="F95" s="373"/>
      <c r="G95" s="373"/>
      <c r="H95" s="373"/>
      <c r="I95" s="217"/>
      <c r="J95" s="402"/>
      <c r="K95" s="402"/>
      <c r="L95" s="403"/>
      <c r="M95" s="403"/>
      <c r="N95" s="403"/>
      <c r="O95" s="403"/>
      <c r="P95" s="403"/>
      <c r="Q95" s="403"/>
      <c r="R95" s="131"/>
      <c r="S95" s="131"/>
      <c r="T95" s="131"/>
      <c r="U95" s="131"/>
      <c r="V95" s="131"/>
      <c r="W95" s="131"/>
      <c r="X95" s="131"/>
      <c r="Y95" s="131"/>
      <c r="Z95" s="131"/>
      <c r="AJ95" s="279"/>
      <c r="AK95" s="279"/>
      <c r="AL95" s="279"/>
      <c r="AM95" s="279"/>
      <c r="AN95" s="279"/>
    </row>
    <row r="96" spans="1:40" ht="45" x14ac:dyDescent="0.25">
      <c r="A96" s="283"/>
      <c r="B96" s="272" t="s">
        <v>826</v>
      </c>
      <c r="C96" s="204"/>
      <c r="D96" s="817" t="s">
        <v>903</v>
      </c>
      <c r="E96" s="250" t="s">
        <v>715</v>
      </c>
      <c r="F96" s="250" t="s">
        <v>716</v>
      </c>
      <c r="G96" s="163" t="s">
        <v>866</v>
      </c>
      <c r="H96" s="163" t="s">
        <v>867</v>
      </c>
      <c r="I96" s="250" t="s">
        <v>868</v>
      </c>
      <c r="J96" s="283"/>
      <c r="K96" s="508" t="s">
        <v>937</v>
      </c>
      <c r="L96" s="817" t="s">
        <v>903</v>
      </c>
      <c r="M96" s="250" t="s">
        <v>715</v>
      </c>
      <c r="N96" s="250" t="s">
        <v>716</v>
      </c>
      <c r="O96" s="163" t="s">
        <v>866</v>
      </c>
      <c r="P96" s="163" t="s">
        <v>867</v>
      </c>
      <c r="Q96" s="250" t="s">
        <v>868</v>
      </c>
      <c r="R96" s="131"/>
      <c r="S96" s="131"/>
      <c r="T96" s="131"/>
      <c r="U96" s="131"/>
      <c r="V96" s="131"/>
      <c r="W96" s="131"/>
      <c r="X96" s="131"/>
      <c r="Y96" s="131"/>
      <c r="Z96" s="131"/>
      <c r="AJ96" s="279"/>
      <c r="AK96" s="279"/>
      <c r="AL96" s="279"/>
      <c r="AM96" s="279"/>
      <c r="AN96" s="279"/>
    </row>
    <row r="97" spans="1:40" x14ac:dyDescent="0.25">
      <c r="A97" s="283"/>
      <c r="B97" s="244" t="s">
        <v>857</v>
      </c>
      <c r="C97" s="166"/>
      <c r="D97" s="126">
        <f>('Unit costs'!$C42*'Financial impact (cash)'!D$13)+('Unit costs'!$D42*'Financial impact (cash)'!D$14)+('Unit costs'!$E42*'Financial impact (cash)'!D$15)</f>
        <v>44.906788000512009</v>
      </c>
      <c r="E97" s="126">
        <f>('Unit costs'!$C42*'Financial impact (cash)'!E$13)+('Unit costs'!$D42*'Financial impact (cash)'!E$14)+('Unit costs'!$E42*'Financial impact (cash)'!E$15)</f>
        <v>62.356233840432225</v>
      </c>
      <c r="F97" s="126">
        <f>('Unit costs'!$C42*'Financial impact (cash)'!F$13)+('Unit costs'!$D42*'Financial impact (cash)'!F$14)+('Unit costs'!$E42*'Financial impact (cash)'!F$15)</f>
        <v>69.039868518683022</v>
      </c>
      <c r="G97" s="126">
        <f>('Unit costs'!$C42*'Financial impact (cash)'!G$13)+('Unit costs'!$D42*'Financial impact (cash)'!G$14)+('Unit costs'!$E42*'Financial impact (cash)'!G$15)</f>
        <v>75.846590921331583</v>
      </c>
      <c r="H97" s="126">
        <f>('Unit costs'!$C42*'Financial impact (cash)'!H$13)+('Unit costs'!$D42*'Financial impact (cash)'!H$14)+('Unit costs'!$E42*'Financial impact (cash)'!H$15)</f>
        <v>76.577889147790444</v>
      </c>
      <c r="I97" s="126">
        <f>('Unit costs'!$C42*'Financial impact (cash)'!I$13)+('Unit costs'!$D42*'Financial impact (cash)'!I$14)+('Unit costs'!$E42*'Financial impact (cash)'!I$15)</f>
        <v>77.31623841094752</v>
      </c>
      <c r="J97" s="283"/>
      <c r="K97" s="285">
        <f>'Unit costs'!G42</f>
        <v>164.19</v>
      </c>
      <c r="L97" s="284">
        <f>(D97*$K97)/1000</f>
        <v>7.3732455218040664</v>
      </c>
      <c r="M97" s="284">
        <f t="shared" ref="M97:Q97" si="48">(E97*$K97)/1000</f>
        <v>10.238270034260568</v>
      </c>
      <c r="N97" s="284">
        <f t="shared" si="48"/>
        <v>11.335656012082564</v>
      </c>
      <c r="O97" s="284">
        <f t="shared" si="48"/>
        <v>12.453251763373432</v>
      </c>
      <c r="P97" s="284">
        <f t="shared" si="48"/>
        <v>12.573323619175714</v>
      </c>
      <c r="Q97" s="284">
        <f t="shared" si="48"/>
        <v>12.694553184693474</v>
      </c>
      <c r="R97" s="131"/>
      <c r="S97" s="131"/>
      <c r="T97" s="131"/>
      <c r="U97" s="131"/>
      <c r="V97" s="131"/>
      <c r="W97" s="131"/>
      <c r="X97" s="131"/>
      <c r="Y97" s="131"/>
      <c r="Z97" s="131"/>
      <c r="AJ97" s="279"/>
      <c r="AK97" s="279"/>
      <c r="AL97" s="279"/>
      <c r="AM97" s="279"/>
      <c r="AN97" s="279"/>
    </row>
    <row r="98" spans="1:40" x14ac:dyDescent="0.25">
      <c r="A98" s="283"/>
      <c r="B98" s="244" t="s">
        <v>858</v>
      </c>
      <c r="C98" s="166"/>
      <c r="D98" s="126">
        <f>('Unit costs'!$C43*'Financial impact (cash)'!D$13)+('Unit costs'!$D43*'Financial impact (cash)'!D$14)+('Unit costs'!$E43*'Financial impact (cash)'!D$15)</f>
        <v>40.520750699520008</v>
      </c>
      <c r="E98" s="126">
        <f>('Unit costs'!$C43*'Financial impact (cash)'!E$13)+('Unit costs'!$D43*'Financial impact (cash)'!E$14)+('Unit costs'!$E43*'Financial impact (cash)'!E$15)</f>
        <v>76.989942647253201</v>
      </c>
      <c r="F98" s="126">
        <f>('Unit costs'!$C43*'Financial impact (cash)'!F$13)+('Unit costs'!$D43*'Financial impact (cash)'!F$14)+('Unit costs'!$E43*'Financial impact (cash)'!F$15)</f>
        <v>90.782207125158479</v>
      </c>
      <c r="G98" s="126">
        <f>('Unit costs'!$C43*'Financial impact (cash)'!G$13)+('Unit costs'!$D43*'Financial impact (cash)'!G$14)+('Unit costs'!$E43*'Financial impact (cash)'!G$15)</f>
        <v>104.83327899247492</v>
      </c>
      <c r="H98" s="126">
        <f>('Unit costs'!$C43*'Financial impact (cash)'!H$13)+('Unit costs'!$D43*'Financial impact (cash)'!H$14)+('Unit costs'!$E43*'Financial impact (cash)'!H$15)</f>
        <v>105.8440612843327</v>
      </c>
      <c r="I98" s="126">
        <f>('Unit costs'!$C43*'Financial impact (cash)'!I$13)+('Unit costs'!$D43*'Financial impact (cash)'!I$14)+('Unit costs'!$E43*'Financial impact (cash)'!I$15)</f>
        <v>106.86458934443652</v>
      </c>
      <c r="J98" s="283"/>
      <c r="K98" s="285">
        <f>'Unit costs'!G43</f>
        <v>164.19</v>
      </c>
      <c r="L98" s="284">
        <f t="shared" ref="L98:L102" si="49">(D98*$K98)/1000</f>
        <v>6.6531020573541904</v>
      </c>
      <c r="M98" s="284">
        <f t="shared" ref="M98:M102" si="50">(E98*$K98)/1000</f>
        <v>12.640978683252502</v>
      </c>
      <c r="N98" s="284">
        <f t="shared" ref="N98:N102" si="51">(F98*$K98)/1000</f>
        <v>14.90553058787977</v>
      </c>
      <c r="O98" s="284">
        <f t="shared" ref="O98:O102" si="52">(G98*$K98)/1000</f>
        <v>17.212576077774457</v>
      </c>
      <c r="P98" s="284">
        <f t="shared" ref="P98:P102" si="53">(H98*$K98)/1000</f>
        <v>17.378536422274586</v>
      </c>
      <c r="Q98" s="284">
        <f t="shared" ref="Q98:Q102" si="54">(I98*$K98)/1000</f>
        <v>17.546096924463033</v>
      </c>
      <c r="R98" s="131"/>
      <c r="S98" s="131"/>
      <c r="T98" s="131"/>
      <c r="U98" s="131"/>
      <c r="V98" s="131"/>
      <c r="W98" s="131"/>
      <c r="X98" s="131"/>
      <c r="Y98" s="131"/>
      <c r="Z98" s="131"/>
      <c r="AJ98" s="279"/>
      <c r="AK98" s="279"/>
      <c r="AL98" s="279"/>
      <c r="AM98" s="279"/>
      <c r="AN98" s="279"/>
    </row>
    <row r="99" spans="1:40" x14ac:dyDescent="0.25">
      <c r="A99" s="283"/>
      <c r="B99" s="244" t="s">
        <v>859</v>
      </c>
      <c r="C99" s="166"/>
      <c r="D99" s="126">
        <f>('Unit costs'!$C44*'Financial impact (cash)'!D$13)+('Unit costs'!$D44*'Financial impact (cash)'!D$14)+('Unit costs'!$E44*'Financial impact (cash)'!D$15)</f>
        <v>40.520750699520008</v>
      </c>
      <c r="E99" s="126">
        <f>('Unit costs'!$C44*'Financial impact (cash)'!E$13)+('Unit costs'!$D44*'Financial impact (cash)'!E$14)+('Unit costs'!$E44*'Financial impact (cash)'!E$15)</f>
        <v>33.493434903476576</v>
      </c>
      <c r="F99" s="126">
        <f>('Unit costs'!$C44*'Financial impact (cash)'!F$13)+('Unit costs'!$D44*'Financial impact (cash)'!F$14)+('Unit costs'!$E44*'Financial impact (cash)'!F$15)</f>
        <v>32.22768352943126</v>
      </c>
      <c r="G99" s="126">
        <f>('Unit costs'!$C44*'Financial impact (cash)'!G$13)+('Unit costs'!$D44*'Financial impact (cash)'!G$14)+('Unit costs'!$E44*'Financial impact (cash)'!G$15)</f>
        <v>30.934410194500796</v>
      </c>
      <c r="H99" s="126">
        <f>('Unit costs'!$C44*'Financial impact (cash)'!H$13)+('Unit costs'!$D44*'Financial impact (cash)'!H$14)+('Unit costs'!$E44*'Financial impact (cash)'!H$15)</f>
        <v>31.232673821606372</v>
      </c>
      <c r="I99" s="126">
        <f>('Unit costs'!$C44*'Financial impact (cash)'!I$13)+('Unit costs'!$D44*'Financial impact (cash)'!I$14)+('Unit costs'!$E44*'Financial impact (cash)'!I$15)</f>
        <v>31.533813249177992</v>
      </c>
      <c r="J99" s="283"/>
      <c r="K99" s="285">
        <f>'Unit costs'!G44</f>
        <v>164</v>
      </c>
      <c r="L99" s="284">
        <f t="shared" si="49"/>
        <v>6.6454031147212813</v>
      </c>
      <c r="M99" s="284">
        <f t="shared" si="50"/>
        <v>5.4929233241701585</v>
      </c>
      <c r="N99" s="284">
        <f t="shared" si="51"/>
        <v>5.285340098826727</v>
      </c>
      <c r="O99" s="284">
        <f t="shared" si="52"/>
        <v>5.0732432718981304</v>
      </c>
      <c r="P99" s="284">
        <f t="shared" si="53"/>
        <v>5.1221585067434452</v>
      </c>
      <c r="Q99" s="284">
        <f t="shared" si="54"/>
        <v>5.1715453728651912</v>
      </c>
      <c r="R99" s="131"/>
      <c r="S99" s="131"/>
      <c r="T99" s="131"/>
      <c r="U99" s="131"/>
      <c r="V99" s="131"/>
      <c r="W99" s="131"/>
      <c r="X99" s="131"/>
      <c r="Y99" s="131"/>
      <c r="Z99" s="131"/>
      <c r="AJ99" s="279"/>
      <c r="AK99" s="279"/>
      <c r="AL99" s="279"/>
      <c r="AM99" s="279"/>
      <c r="AN99" s="279"/>
    </row>
    <row r="100" spans="1:40" x14ac:dyDescent="0.25">
      <c r="A100" s="283"/>
      <c r="B100" s="244" t="s">
        <v>860</v>
      </c>
      <c r="C100" s="166"/>
      <c r="D100" s="126">
        <f>('Unit costs'!$C45*'Financial impact (cash)'!D$13)+('Unit costs'!$D45*'Financial impact (cash)'!D$14)+('Unit costs'!$E45*'Financial impact (cash)'!D$15)</f>
        <v>141.978476489472</v>
      </c>
      <c r="E100" s="126">
        <f>('Unit costs'!$C45*'Financial impact (cash)'!E$13)+('Unit costs'!$D45*'Financial impact (cash)'!E$14)+('Unit costs'!$E45*'Financial impact (cash)'!E$15)</f>
        <v>104.95358896935042</v>
      </c>
      <c r="F100" s="126">
        <f>('Unit costs'!$C45*'Financial impact (cash)'!F$13)+('Unit costs'!$D45*'Financial impact (cash)'!F$14)+('Unit costs'!$E45*'Financial impact (cash)'!F$15)</f>
        <v>95.366708584978966</v>
      </c>
      <c r="G100" s="126">
        <f>('Unit costs'!$C45*'Financial impact (cash)'!G$13)+('Unit costs'!$D45*'Financial impact (cash)'!G$14)+('Unit costs'!$E45*'Financial impact (cash)'!G$15)</f>
        <v>85.585201538118866</v>
      </c>
      <c r="H100" s="126">
        <f>('Unit costs'!$C45*'Financial impact (cash)'!H$13)+('Unit costs'!$D45*'Financial impact (cash)'!H$14)+('Unit costs'!$E45*'Financial impact (cash)'!H$15)</f>
        <v>86.410397573110956</v>
      </c>
      <c r="I100" s="126">
        <f>('Unit costs'!$C45*'Financial impact (cash)'!I$13)+('Unit costs'!$D45*'Financial impact (cash)'!I$14)+('Unit costs'!$E45*'Financial impact (cash)'!I$15)</f>
        <v>87.243549989392449</v>
      </c>
      <c r="J100" s="283"/>
      <c r="K100" s="285">
        <f>'Unit costs'!G45</f>
        <v>1532.85</v>
      </c>
      <c r="L100" s="284">
        <f t="shared" si="49"/>
        <v>217.63170768688715</v>
      </c>
      <c r="M100" s="284">
        <f t="shared" si="50"/>
        <v>160.87810885166877</v>
      </c>
      <c r="N100" s="284">
        <f t="shared" si="51"/>
        <v>146.18285925448501</v>
      </c>
      <c r="O100" s="284">
        <f t="shared" si="52"/>
        <v>131.18927617770549</v>
      </c>
      <c r="P100" s="284">
        <f t="shared" si="53"/>
        <v>132.45417791994311</v>
      </c>
      <c r="Q100" s="284">
        <f t="shared" si="54"/>
        <v>133.73127560124018</v>
      </c>
      <c r="R100" s="131"/>
      <c r="S100" s="131"/>
      <c r="T100" s="131"/>
      <c r="U100" s="131"/>
      <c r="V100" s="131"/>
      <c r="W100" s="131"/>
      <c r="X100" s="131"/>
      <c r="Y100" s="131"/>
      <c r="Z100" s="131"/>
      <c r="AJ100" s="279"/>
      <c r="AK100" s="279"/>
      <c r="AL100" s="279"/>
      <c r="AM100" s="279"/>
      <c r="AN100" s="279"/>
    </row>
    <row r="101" spans="1:40" x14ac:dyDescent="0.25">
      <c r="A101" s="283"/>
      <c r="B101" s="244" t="s">
        <v>861</v>
      </c>
      <c r="C101" s="166"/>
      <c r="D101" s="126">
        <f>('Unit costs'!$C46*'Financial impact (cash)'!D$13)+('Unit costs'!$D46*'Financial impact (cash)'!D$14)+('Unit costs'!$E46*'Financial impact (cash)'!D$15)</f>
        <v>76.81131313920001</v>
      </c>
      <c r="E101" s="126">
        <f>('Unit costs'!$C46*'Financial impact (cash)'!E$13)+('Unit costs'!$D46*'Financial impact (cash)'!E$14)+('Unit costs'!$E46*'Financial impact (cash)'!E$15)</f>
        <v>61.816742271517171</v>
      </c>
      <c r="F101" s="126">
        <f>('Unit costs'!$C46*'Financial impact (cash)'!F$13)+('Unit costs'!$D46*'Financial impact (cash)'!F$14)+('Unit costs'!$E46*'Financial impact (cash)'!F$15)</f>
        <v>56.738879453224044</v>
      </c>
      <c r="G101" s="126">
        <f>('Unit costs'!$C46*'Financial impact (cash)'!G$13)+('Unit costs'!$D46*'Financial impact (cash)'!G$14)+('Unit costs'!$E46*'Financial impact (cash)'!G$15)</f>
        <v>51.557350324167999</v>
      </c>
      <c r="H101" s="126">
        <f>('Unit costs'!$C46*'Financial impact (cash)'!H$13)+('Unit costs'!$D46*'Financial impact (cash)'!H$14)+('Unit costs'!$E46*'Financial impact (cash)'!H$15)</f>
        <v>52.054456369343953</v>
      </c>
      <c r="I101" s="126">
        <f>('Unit costs'!$C46*'Financial impact (cash)'!I$13)+('Unit costs'!$D46*'Financial impact (cash)'!I$14)+('Unit costs'!$E46*'Financial impact (cash)'!I$15)</f>
        <v>52.55635541529665</v>
      </c>
      <c r="J101" s="283"/>
      <c r="K101" s="285">
        <f>'Unit costs'!G46</f>
        <v>1273.3900000000001</v>
      </c>
      <c r="L101" s="284">
        <f t="shared" si="49"/>
        <v>97.810758038325901</v>
      </c>
      <c r="M101" s="284">
        <f t="shared" si="50"/>
        <v>78.716821441127266</v>
      </c>
      <c r="N101" s="284">
        <f t="shared" si="51"/>
        <v>72.250721706940965</v>
      </c>
      <c r="O101" s="284">
        <f t="shared" si="52"/>
        <v>65.652614329292291</v>
      </c>
      <c r="P101" s="284">
        <f t="shared" si="53"/>
        <v>66.285624196158892</v>
      </c>
      <c r="Q101" s="284">
        <f t="shared" si="54"/>
        <v>66.924737422284608</v>
      </c>
      <c r="R101" s="131"/>
      <c r="S101" s="131"/>
      <c r="T101" s="131"/>
      <c r="U101" s="131"/>
      <c r="V101" s="131"/>
      <c r="W101" s="131"/>
      <c r="X101" s="131"/>
      <c r="Y101" s="131"/>
      <c r="Z101" s="131"/>
      <c r="AJ101" s="279"/>
      <c r="AK101" s="279"/>
      <c r="AL101" s="279"/>
      <c r="AM101" s="279"/>
      <c r="AN101" s="279"/>
    </row>
    <row r="102" spans="1:40" x14ac:dyDescent="0.25">
      <c r="A102" s="283"/>
      <c r="B102" s="244" t="s">
        <v>862</v>
      </c>
      <c r="C102" s="166"/>
      <c r="D102" s="126">
        <f>('Unit costs'!$C47*'Financial impact (cash)'!D$13)+('Unit costs'!$D47*'Financial impact (cash)'!D$14)+('Unit costs'!$E47*'Financial impact (cash)'!D$15)</f>
        <v>69.464144056320009</v>
      </c>
      <c r="E102" s="126">
        <f>('Unit costs'!$C47*'Financial impact (cash)'!E$13)+('Unit costs'!$D47*'Financial impact (cash)'!E$14)+('Unit costs'!$E47*'Financial impact (cash)'!E$15)</f>
        <v>57.096191043510402</v>
      </c>
      <c r="F102" s="126">
        <f>('Unit costs'!$C47*'Financial impact (cash)'!F$13)+('Unit costs'!$D47*'Financial impact (cash)'!F$14)+('Unit costs'!$E47*'Financial impact (cash)'!F$15)</f>
        <v>52.653680132591916</v>
      </c>
      <c r="G102" s="126">
        <f>('Unit costs'!$C47*'Financial impact (cash)'!G$13)+('Unit costs'!$D47*'Financial impact (cash)'!G$14)+('Unit costs'!$E47*'Financial impact (cash)'!G$15)</f>
        <v>48.120193635890132</v>
      </c>
      <c r="H102" s="126">
        <f>('Unit costs'!$C47*'Financial impact (cash)'!H$13)+('Unit costs'!$D47*'Financial impact (cash)'!H$14)+('Unit costs'!$E47*'Financial impact (cash)'!H$15)</f>
        <v>48.584159278054358</v>
      </c>
      <c r="I102" s="126">
        <f>('Unit costs'!$C47*'Financial impact (cash)'!I$13)+('Unit costs'!$D47*'Financial impact (cash)'!I$14)+('Unit costs'!$E47*'Financial impact (cash)'!I$15)</f>
        <v>49.05259838761021</v>
      </c>
      <c r="J102" s="283"/>
      <c r="K102" s="285">
        <f>'Unit costs'!G47</f>
        <v>694.96</v>
      </c>
      <c r="L102" s="284">
        <f t="shared" si="49"/>
        <v>48.274801553380158</v>
      </c>
      <c r="M102" s="284">
        <f t="shared" si="50"/>
        <v>39.679568927597991</v>
      </c>
      <c r="N102" s="284">
        <f t="shared" si="51"/>
        <v>36.592201544946079</v>
      </c>
      <c r="O102" s="284">
        <f t="shared" si="52"/>
        <v>33.441609769198209</v>
      </c>
      <c r="P102" s="284">
        <f t="shared" si="53"/>
        <v>33.764047331876661</v>
      </c>
      <c r="Q102" s="284">
        <f t="shared" si="54"/>
        <v>34.089593775453594</v>
      </c>
      <c r="R102" s="131"/>
      <c r="S102" s="131"/>
      <c r="T102" s="131"/>
      <c r="U102" s="131"/>
      <c r="V102" s="131"/>
      <c r="W102" s="131"/>
      <c r="X102" s="131"/>
      <c r="Y102" s="131"/>
      <c r="Z102" s="131"/>
      <c r="AJ102" s="279"/>
      <c r="AK102" s="279"/>
      <c r="AL102" s="279"/>
      <c r="AM102" s="279"/>
      <c r="AN102" s="279"/>
    </row>
    <row r="103" spans="1:40" x14ac:dyDescent="0.25">
      <c r="A103" s="283"/>
      <c r="B103" s="273"/>
      <c r="C103" s="204"/>
      <c r="D103" s="183">
        <f t="shared" ref="D103:I103" si="55">SUM(D97:D102)</f>
        <v>414.20222308454402</v>
      </c>
      <c r="E103" s="183">
        <f t="shared" si="55"/>
        <v>396.70613367553995</v>
      </c>
      <c r="F103" s="183">
        <f t="shared" si="55"/>
        <v>396.80902734406777</v>
      </c>
      <c r="G103" s="183">
        <f t="shared" si="55"/>
        <v>396.87702560648432</v>
      </c>
      <c r="H103" s="183">
        <f t="shared" si="55"/>
        <v>400.70363747423875</v>
      </c>
      <c r="I103" s="183">
        <f t="shared" si="55"/>
        <v>404.56714479686133</v>
      </c>
      <c r="J103" s="283"/>
      <c r="K103" s="283"/>
      <c r="L103" s="285">
        <f t="shared" ref="L103:Q103" si="56">SUM(L97:L102)</f>
        <v>384.38901797247274</v>
      </c>
      <c r="M103" s="285">
        <f t="shared" si="56"/>
        <v>307.64667126207723</v>
      </c>
      <c r="N103" s="285">
        <f t="shared" si="56"/>
        <v>286.55230920516112</v>
      </c>
      <c r="O103" s="285">
        <f t="shared" si="56"/>
        <v>265.02257138924199</v>
      </c>
      <c r="P103" s="285">
        <f t="shared" si="56"/>
        <v>267.57786799617242</v>
      </c>
      <c r="Q103" s="285">
        <f t="shared" si="56"/>
        <v>270.1578022810001</v>
      </c>
      <c r="R103" s="131"/>
      <c r="S103" s="131"/>
      <c r="T103" s="131"/>
      <c r="U103" s="131"/>
      <c r="V103" s="131"/>
      <c r="W103" s="131"/>
      <c r="X103" s="131"/>
      <c r="Y103" s="131"/>
      <c r="Z103" s="131"/>
      <c r="AJ103" s="279"/>
      <c r="AK103" s="279"/>
      <c r="AL103" s="279"/>
      <c r="AM103" s="279"/>
      <c r="AN103" s="279"/>
    </row>
    <row r="104" spans="1:40" x14ac:dyDescent="0.25">
      <c r="A104" s="283"/>
      <c r="B104" s="301"/>
      <c r="C104" s="204"/>
      <c r="D104" s="278" t="s">
        <v>938</v>
      </c>
      <c r="E104" s="183">
        <f>E103-$D$103</f>
        <v>-17.496089409004071</v>
      </c>
      <c r="F104" s="183">
        <f>F103-$D$103</f>
        <v>-17.393195740476244</v>
      </c>
      <c r="G104" s="183">
        <f>G103-$D$103</f>
        <v>-17.325197478059692</v>
      </c>
      <c r="H104" s="183">
        <f>H103-$D$103</f>
        <v>-13.49858561030527</v>
      </c>
      <c r="I104" s="183">
        <f>I103-$D$103</f>
        <v>-9.6350782876826884</v>
      </c>
      <c r="J104" s="283"/>
      <c r="K104" s="283"/>
      <c r="L104" s="495"/>
      <c r="M104" s="285">
        <f>M103-$L$103</f>
        <v>-76.742346710395509</v>
      </c>
      <c r="N104" s="285">
        <f t="shared" ref="N104:Q104" si="57">N103-$L$103</f>
        <v>-97.83670876731162</v>
      </c>
      <c r="O104" s="285">
        <f t="shared" si="57"/>
        <v>-119.36644658323075</v>
      </c>
      <c r="P104" s="285">
        <f t="shared" si="57"/>
        <v>-116.81114997630033</v>
      </c>
      <c r="Q104" s="285">
        <f t="shared" si="57"/>
        <v>-114.23121569147264</v>
      </c>
    </row>
    <row r="105" spans="1:40" x14ac:dyDescent="0.25">
      <c r="A105" s="283"/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</row>
    <row r="106" spans="1:40" x14ac:dyDescent="0.25">
      <c r="B106"/>
    </row>
    <row r="107" spans="1:40" x14ac:dyDescent="0.25">
      <c r="B107"/>
    </row>
    <row r="108" spans="1:40" x14ac:dyDescent="0.25">
      <c r="B108"/>
    </row>
    <row r="109" spans="1:40" x14ac:dyDescent="0.25">
      <c r="B109"/>
    </row>
    <row r="110" spans="1:40" x14ac:dyDescent="0.25">
      <c r="B110"/>
    </row>
  </sheetData>
  <sheetProtection algorithmName="SHA-512" hashValue="f2Vlcmu7XhFPKZ+2iN+FDnmCk4fvmbdyJz0kiGzBV1EMXycAeFZdbahUu94SQh4Ys/TwmjG4wHtd1RfXSWgqcg==" saltValue="fKvWQW5X10hy/gvcsiaGGw==" spinCount="100000" sheet="1" objects="1" scenarios="1"/>
  <protectedRanges>
    <protectedRange sqref="B97:B102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/>
  </sheetViews>
  <sheetFormatPr defaultColWidth="8.5703125" defaultRowHeight="15" x14ac:dyDescent="0.25"/>
  <cols>
    <col min="1" max="1" width="13.5703125" customWidth="1"/>
    <col min="2" max="2" width="32.5703125" customWidth="1"/>
    <col min="3" max="4" width="12.7109375" customWidth="1"/>
    <col min="5" max="6" width="11.85546875" customWidth="1"/>
    <col min="7" max="7" width="10.42578125" style="445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15" width="15.42578125" customWidth="1"/>
    <col min="16" max="16" width="13.42578125" customWidth="1"/>
    <col min="17" max="17" width="14.42578125" customWidth="1"/>
    <col min="18" max="18" width="10.42578125" customWidth="1"/>
    <col min="19" max="21" width="8.5703125" customWidth="1"/>
    <col min="22" max="22" width="47.28515625" bestFit="1" customWidth="1"/>
    <col min="23" max="23" width="10" customWidth="1"/>
  </cols>
  <sheetData>
    <row r="1" spans="1:24" ht="21" customHeight="1" x14ac:dyDescent="0.25">
      <c r="A1" s="683" t="s">
        <v>942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</row>
    <row r="2" spans="1:24" ht="14.4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45" customHeight="1" x14ac:dyDescent="0.25">
      <c r="A3" s="127"/>
      <c r="B3" s="692" t="s">
        <v>6</v>
      </c>
      <c r="C3" s="693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45" customHeight="1" x14ac:dyDescent="0.25">
      <c r="A4" s="127"/>
      <c r="B4" s="694" t="s">
        <v>943</v>
      </c>
      <c r="C4" s="719" t="s">
        <v>944</v>
      </c>
      <c r="D4" s="695" t="s">
        <v>945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45" customHeight="1" x14ac:dyDescent="0.25">
      <c r="A5" s="127"/>
      <c r="B5" s="694" t="s">
        <v>946</v>
      </c>
      <c r="C5" s="720">
        <v>5000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45" customHeight="1" x14ac:dyDescent="0.25">
      <c r="A6" s="127"/>
      <c r="B6" s="694" t="s">
        <v>947</v>
      </c>
      <c r="C6" s="721">
        <v>0.15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45" customHeight="1" x14ac:dyDescent="0.25">
      <c r="A7" s="127"/>
      <c r="B7" s="694" t="s">
        <v>948</v>
      </c>
      <c r="C7" s="721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45" customHeight="1" x14ac:dyDescent="0.25">
      <c r="A8" s="127"/>
      <c r="B8" s="694" t="s">
        <v>949</v>
      </c>
      <c r="C8" s="721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45" customHeight="1" thickBot="1" x14ac:dyDescent="0.3">
      <c r="A9" s="127"/>
      <c r="B9" s="696" t="s">
        <v>950</v>
      </c>
      <c r="C9" s="722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697"/>
    </row>
    <row r="10" spans="1:24" ht="15.75" thickBot="1" x14ac:dyDescent="0.3">
      <c r="P10" s="698"/>
      <c r="R10" s="698"/>
    </row>
    <row r="11" spans="1:24" ht="109.5" customHeight="1" thickBot="1" x14ac:dyDescent="0.3">
      <c r="A11" s="699" t="s">
        <v>951</v>
      </c>
      <c r="B11" s="700" t="s">
        <v>952</v>
      </c>
      <c r="C11" s="701" t="s">
        <v>953</v>
      </c>
      <c r="D11" s="701" t="s">
        <v>954</v>
      </c>
      <c r="E11" s="701" t="s">
        <v>955</v>
      </c>
      <c r="F11" s="701" t="s">
        <v>956</v>
      </c>
      <c r="G11" s="702" t="s">
        <v>957</v>
      </c>
      <c r="H11" s="701" t="s">
        <v>958</v>
      </c>
      <c r="I11" s="703" t="s">
        <v>959</v>
      </c>
      <c r="J11" s="704" t="s">
        <v>960</v>
      </c>
      <c r="K11" s="705" t="s">
        <v>915</v>
      </c>
      <c r="L11" s="706" t="s">
        <v>961</v>
      </c>
      <c r="M11" s="707" t="s">
        <v>962</v>
      </c>
      <c r="O11" t="s">
        <v>944</v>
      </c>
      <c r="P11" t="s">
        <v>963</v>
      </c>
      <c r="Q11" t="s">
        <v>964</v>
      </c>
      <c r="R11" t="s">
        <v>965</v>
      </c>
    </row>
    <row r="12" spans="1:24" x14ac:dyDescent="0.25">
      <c r="A12" s="708">
        <v>2</v>
      </c>
      <c r="B12" s="709" t="s">
        <v>966</v>
      </c>
      <c r="C12" s="710">
        <f>HLOOKUP($C$4,$O$11:$R$41,2,FALSE)</f>
        <v>23615</v>
      </c>
      <c r="D12" s="710">
        <f>C12*$C$9</f>
        <v>0</v>
      </c>
      <c r="E12" s="710">
        <f>C12*(100%+$C$9)</f>
        <v>23615</v>
      </c>
      <c r="F12" s="710">
        <f>(E12-$C$5)*$C$6</f>
        <v>2792.25</v>
      </c>
      <c r="G12" s="711">
        <f>E12*$C$8</f>
        <v>118.075</v>
      </c>
      <c r="H12" s="710">
        <f>E12*$C$7</f>
        <v>5615.6469999999999</v>
      </c>
      <c r="I12" s="712">
        <f>SUM(E12:H12)</f>
        <v>32140.972000000002</v>
      </c>
      <c r="J12" s="723">
        <v>1560</v>
      </c>
      <c r="K12" s="713">
        <f>ROUND(I12/J12,2)</f>
        <v>20.6</v>
      </c>
      <c r="L12" s="714">
        <v>0.41</v>
      </c>
      <c r="M12" s="715">
        <v>0.83</v>
      </c>
      <c r="O12" s="697">
        <v>23615</v>
      </c>
      <c r="P12" s="279">
        <v>29029</v>
      </c>
      <c r="Q12">
        <v>28166</v>
      </c>
      <c r="R12">
        <v>24873</v>
      </c>
      <c r="V12" s="170"/>
      <c r="W12" s="814"/>
      <c r="X12" s="155"/>
    </row>
    <row r="13" spans="1:24" x14ac:dyDescent="0.25">
      <c r="A13" s="458">
        <v>2</v>
      </c>
      <c r="B13" s="449" t="s">
        <v>967</v>
      </c>
      <c r="C13" s="446">
        <f>HLOOKUP($C$4,$O$11:$R$41,3,FALSE)</f>
        <v>23615</v>
      </c>
      <c r="D13" s="446">
        <f t="shared" ref="D13:D47" si="0">C13*$C$9</f>
        <v>0</v>
      </c>
      <c r="E13" s="446">
        <f t="shared" ref="E13:E47" si="1">C13*(100%+$C$9)</f>
        <v>23615</v>
      </c>
      <c r="F13" s="446">
        <f t="shared" ref="F13:F47" si="2">(E13-$C$5)*$C$6</f>
        <v>2792.25</v>
      </c>
      <c r="G13" s="450">
        <f t="shared" ref="G13:G47" si="3">E13*$C$8</f>
        <v>118.075</v>
      </c>
      <c r="H13" s="446">
        <f t="shared" ref="H13:H47" si="4">E13*$C$7</f>
        <v>5615.6469999999999</v>
      </c>
      <c r="I13" s="712">
        <f t="shared" ref="I13:I47" si="5">SUM(E13:H13)</f>
        <v>32140.972000000002</v>
      </c>
      <c r="J13" s="126">
        <v>1560</v>
      </c>
      <c r="K13" s="713">
        <f t="shared" ref="K13:K47" si="6">ROUND(I13/J13,2)</f>
        <v>20.6</v>
      </c>
      <c r="L13" s="447">
        <v>0.41</v>
      </c>
      <c r="M13" s="678">
        <v>0.83</v>
      </c>
      <c r="O13" s="697">
        <v>23615</v>
      </c>
      <c r="P13" s="279">
        <v>29029</v>
      </c>
      <c r="Q13">
        <v>28166</v>
      </c>
      <c r="R13">
        <v>24873</v>
      </c>
      <c r="V13" s="497" t="s">
        <v>968</v>
      </c>
      <c r="X13" s="157"/>
    </row>
    <row r="14" spans="1:24" x14ac:dyDescent="0.25">
      <c r="A14" s="458">
        <v>3</v>
      </c>
      <c r="B14" s="449" t="s">
        <v>969</v>
      </c>
      <c r="C14" s="446">
        <f>HLOOKUP($C$4,$O$11:$R$41,4,FALSE)</f>
        <v>24071</v>
      </c>
      <c r="D14" s="446">
        <f t="shared" si="0"/>
        <v>0</v>
      </c>
      <c r="E14" s="446">
        <f t="shared" si="1"/>
        <v>24071</v>
      </c>
      <c r="F14" s="446">
        <f t="shared" si="2"/>
        <v>2860.65</v>
      </c>
      <c r="G14" s="450">
        <f t="shared" si="3"/>
        <v>120.355</v>
      </c>
      <c r="H14" s="446">
        <f t="shared" si="4"/>
        <v>5724.0838000000003</v>
      </c>
      <c r="I14" s="712">
        <f t="shared" si="5"/>
        <v>32776.088799999998</v>
      </c>
      <c r="J14" s="126">
        <v>1560</v>
      </c>
      <c r="K14" s="713">
        <f t="shared" si="6"/>
        <v>21.01</v>
      </c>
      <c r="L14" s="447">
        <v>0.35</v>
      </c>
      <c r="M14" s="678">
        <v>0.69</v>
      </c>
      <c r="O14" s="697">
        <v>24071</v>
      </c>
      <c r="P14" s="279">
        <v>29485</v>
      </c>
      <c r="Q14">
        <v>28622</v>
      </c>
      <c r="R14">
        <v>25329</v>
      </c>
      <c r="S14" t="s">
        <v>944</v>
      </c>
      <c r="V14" s="498" t="s">
        <v>970</v>
      </c>
      <c r="W14">
        <v>260</v>
      </c>
      <c r="X14" s="157"/>
    </row>
    <row r="15" spans="1:24" x14ac:dyDescent="0.25">
      <c r="A15" s="458">
        <v>3</v>
      </c>
      <c r="B15" s="449" t="s">
        <v>971</v>
      </c>
      <c r="C15" s="446">
        <f>HLOOKUP($C$4,$O$11:$R$41,5,FALSE)</f>
        <v>25674</v>
      </c>
      <c r="D15" s="446">
        <f t="shared" si="0"/>
        <v>0</v>
      </c>
      <c r="E15" s="446">
        <f t="shared" si="1"/>
        <v>25674</v>
      </c>
      <c r="F15" s="446">
        <f t="shared" si="2"/>
        <v>3101.1</v>
      </c>
      <c r="G15" s="450">
        <f t="shared" si="3"/>
        <v>128.37</v>
      </c>
      <c r="H15" s="446">
        <f t="shared" si="4"/>
        <v>6105.2772000000004</v>
      </c>
      <c r="I15" s="712">
        <f t="shared" si="5"/>
        <v>35008.747199999998</v>
      </c>
      <c r="J15" s="126">
        <v>1560</v>
      </c>
      <c r="K15" s="713">
        <f t="shared" si="6"/>
        <v>22.44</v>
      </c>
      <c r="L15" s="447">
        <v>0.35</v>
      </c>
      <c r="M15" s="678">
        <v>0.69</v>
      </c>
      <c r="O15" s="697">
        <v>25674</v>
      </c>
      <c r="P15" s="279">
        <v>31088</v>
      </c>
      <c r="Q15">
        <v>30225</v>
      </c>
      <c r="R15">
        <v>26958</v>
      </c>
      <c r="S15" t="s">
        <v>972</v>
      </c>
      <c r="V15" s="498" t="s">
        <v>973</v>
      </c>
      <c r="W15">
        <v>-40</v>
      </c>
      <c r="X15" s="157"/>
    </row>
    <row r="16" spans="1:24" x14ac:dyDescent="0.25">
      <c r="A16" s="458">
        <v>4</v>
      </c>
      <c r="B16" s="449" t="s">
        <v>974</v>
      </c>
      <c r="C16" s="446">
        <f>HLOOKUP($C$4,$O$11:$R$41,6,FALSE)</f>
        <v>26530</v>
      </c>
      <c r="D16" s="446">
        <f t="shared" si="0"/>
        <v>0</v>
      </c>
      <c r="E16" s="446">
        <f t="shared" si="1"/>
        <v>26530</v>
      </c>
      <c r="F16" s="446">
        <f t="shared" si="2"/>
        <v>3229.5</v>
      </c>
      <c r="G16" s="450">
        <f t="shared" si="3"/>
        <v>132.65</v>
      </c>
      <c r="H16" s="446">
        <f t="shared" si="4"/>
        <v>6308.8340000000007</v>
      </c>
      <c r="I16" s="712">
        <f t="shared" si="5"/>
        <v>36200.984000000004</v>
      </c>
      <c r="J16" s="126">
        <v>1560</v>
      </c>
      <c r="K16" s="713">
        <f t="shared" si="6"/>
        <v>23.21</v>
      </c>
      <c r="L16" s="447">
        <v>0.3</v>
      </c>
      <c r="M16" s="678">
        <v>0.6</v>
      </c>
      <c r="O16" s="697">
        <v>26530</v>
      </c>
      <c r="P16" s="279">
        <v>31944</v>
      </c>
      <c r="Q16">
        <v>31081</v>
      </c>
      <c r="R16">
        <v>27857</v>
      </c>
      <c r="S16" t="s">
        <v>975</v>
      </c>
      <c r="V16" s="498" t="s">
        <v>976</v>
      </c>
      <c r="W16">
        <v>-2</v>
      </c>
      <c r="X16" s="157"/>
    </row>
    <row r="17" spans="1:24" x14ac:dyDescent="0.25">
      <c r="A17" s="458">
        <v>4</v>
      </c>
      <c r="B17" s="449" t="s">
        <v>977</v>
      </c>
      <c r="C17" s="446">
        <f>HLOOKUP($C$4,$O$11:$R$41,7,FALSE)</f>
        <v>29114</v>
      </c>
      <c r="D17" s="446">
        <f t="shared" si="0"/>
        <v>0</v>
      </c>
      <c r="E17" s="446">
        <f t="shared" si="1"/>
        <v>29114</v>
      </c>
      <c r="F17" s="446">
        <f t="shared" si="2"/>
        <v>3617.1</v>
      </c>
      <c r="G17" s="450">
        <f t="shared" si="3"/>
        <v>145.57</v>
      </c>
      <c r="H17" s="446">
        <f t="shared" si="4"/>
        <v>6923.3092000000006</v>
      </c>
      <c r="I17" s="712">
        <f t="shared" si="5"/>
        <v>39799.979200000002</v>
      </c>
      <c r="J17" s="126">
        <v>1560</v>
      </c>
      <c r="K17" s="713">
        <f t="shared" si="6"/>
        <v>25.51</v>
      </c>
      <c r="L17" s="447">
        <v>0.3</v>
      </c>
      <c r="M17" s="678">
        <v>0.6</v>
      </c>
      <c r="O17" s="697">
        <v>29114</v>
      </c>
      <c r="P17" s="279">
        <v>34937</v>
      </c>
      <c r="Q17">
        <v>33665</v>
      </c>
      <c r="R17">
        <v>30570</v>
      </c>
      <c r="S17" t="s">
        <v>978</v>
      </c>
      <c r="V17" s="498" t="s">
        <v>979</v>
      </c>
      <c r="W17">
        <v>-10</v>
      </c>
      <c r="X17" s="157"/>
    </row>
    <row r="18" spans="1:24" x14ac:dyDescent="0.25">
      <c r="A18" s="458">
        <v>5</v>
      </c>
      <c r="B18" s="449" t="s">
        <v>980</v>
      </c>
      <c r="C18" s="446">
        <f>HLOOKUP($C$4,$O$11:$R$41,8,FALSE)</f>
        <v>29970</v>
      </c>
      <c r="D18" s="446">
        <f t="shared" si="0"/>
        <v>0</v>
      </c>
      <c r="E18" s="446">
        <f t="shared" si="1"/>
        <v>29970</v>
      </c>
      <c r="F18" s="446">
        <f t="shared" si="2"/>
        <v>3745.5</v>
      </c>
      <c r="G18" s="450">
        <f t="shared" si="3"/>
        <v>149.85</v>
      </c>
      <c r="H18" s="446">
        <f t="shared" si="4"/>
        <v>7126.866</v>
      </c>
      <c r="I18" s="712">
        <f t="shared" si="5"/>
        <v>40992.216</v>
      </c>
      <c r="J18" s="126">
        <v>1560</v>
      </c>
      <c r="K18" s="713">
        <f t="shared" si="6"/>
        <v>26.28</v>
      </c>
      <c r="L18" s="447">
        <v>0.3</v>
      </c>
      <c r="M18" s="678">
        <v>0.6</v>
      </c>
      <c r="O18" s="697">
        <v>29970</v>
      </c>
      <c r="P18" s="279">
        <v>35964</v>
      </c>
      <c r="Q18">
        <v>34521</v>
      </c>
      <c r="R18">
        <v>31469</v>
      </c>
      <c r="V18" s="498"/>
      <c r="W18" s="814">
        <v>208</v>
      </c>
      <c r="X18" s="157"/>
    </row>
    <row r="19" spans="1:24" x14ac:dyDescent="0.25">
      <c r="A19" s="458">
        <v>5</v>
      </c>
      <c r="B19" s="449" t="s">
        <v>981</v>
      </c>
      <c r="C19" s="446">
        <f>HLOOKUP($C$4,$O$11:$R$41,9,FALSE)</f>
        <v>32324</v>
      </c>
      <c r="D19" s="446">
        <f t="shared" si="0"/>
        <v>0</v>
      </c>
      <c r="E19" s="446">
        <f t="shared" si="1"/>
        <v>32324</v>
      </c>
      <c r="F19" s="446">
        <f t="shared" si="2"/>
        <v>4098.5999999999995</v>
      </c>
      <c r="G19" s="450">
        <f t="shared" si="3"/>
        <v>161.62</v>
      </c>
      <c r="H19" s="446">
        <f t="shared" si="4"/>
        <v>7686.6472000000003</v>
      </c>
      <c r="I19" s="712">
        <f t="shared" si="5"/>
        <v>44270.867200000001</v>
      </c>
      <c r="J19" s="126">
        <v>1560</v>
      </c>
      <c r="K19" s="713">
        <f t="shared" si="6"/>
        <v>28.38</v>
      </c>
      <c r="L19" s="447">
        <v>0.3</v>
      </c>
      <c r="M19" s="678">
        <v>0.6</v>
      </c>
      <c r="O19" s="697">
        <v>32324</v>
      </c>
      <c r="P19" s="279">
        <v>38789</v>
      </c>
      <c r="Q19">
        <v>37173</v>
      </c>
      <c r="R19">
        <v>33941</v>
      </c>
      <c r="V19" s="498" t="s">
        <v>982</v>
      </c>
      <c r="W19" s="339">
        <f>7.5*W18</f>
        <v>1560</v>
      </c>
      <c r="X19" s="157"/>
    </row>
    <row r="20" spans="1:24" x14ac:dyDescent="0.25">
      <c r="A20" s="458">
        <v>5</v>
      </c>
      <c r="B20" s="449" t="s">
        <v>983</v>
      </c>
      <c r="C20" s="446">
        <f>HLOOKUP($C$4,$O$11:$R$41,10,FALSE)</f>
        <v>36483</v>
      </c>
      <c r="D20" s="446">
        <f t="shared" si="0"/>
        <v>0</v>
      </c>
      <c r="E20" s="446">
        <f t="shared" si="1"/>
        <v>36483</v>
      </c>
      <c r="F20" s="446">
        <f t="shared" si="2"/>
        <v>4722.45</v>
      </c>
      <c r="G20" s="450">
        <f t="shared" si="3"/>
        <v>182.41499999999999</v>
      </c>
      <c r="H20" s="446">
        <f t="shared" si="4"/>
        <v>8675.6574000000001</v>
      </c>
      <c r="I20" s="712">
        <f t="shared" si="5"/>
        <v>50063.522400000002</v>
      </c>
      <c r="J20" s="126">
        <v>1560</v>
      </c>
      <c r="K20" s="713">
        <f t="shared" si="6"/>
        <v>32.090000000000003</v>
      </c>
      <c r="L20" s="447">
        <v>0.3</v>
      </c>
      <c r="M20" s="678">
        <v>0.6</v>
      </c>
      <c r="O20" s="697">
        <v>36483</v>
      </c>
      <c r="P20" s="279">
        <v>43780</v>
      </c>
      <c r="Q20">
        <v>41956</v>
      </c>
      <c r="R20">
        <v>38308</v>
      </c>
      <c r="V20" s="158"/>
      <c r="X20" s="157"/>
    </row>
    <row r="21" spans="1:24" x14ac:dyDescent="0.25">
      <c r="A21" s="458">
        <v>6</v>
      </c>
      <c r="B21" s="449" t="s">
        <v>984</v>
      </c>
      <c r="C21" s="446">
        <f>HLOOKUP($C$4,$O$11:$R$41,11,FALSE)</f>
        <v>37338</v>
      </c>
      <c r="D21" s="446">
        <f t="shared" si="0"/>
        <v>0</v>
      </c>
      <c r="E21" s="446">
        <f t="shared" si="1"/>
        <v>37338</v>
      </c>
      <c r="F21" s="446">
        <f t="shared" si="2"/>
        <v>4850.7</v>
      </c>
      <c r="G21" s="450">
        <f t="shared" si="3"/>
        <v>186.69</v>
      </c>
      <c r="H21" s="446">
        <f t="shared" si="4"/>
        <v>8878.9763999999996</v>
      </c>
      <c r="I21" s="712">
        <f t="shared" si="5"/>
        <v>51254.366399999999</v>
      </c>
      <c r="J21" s="126">
        <v>1560</v>
      </c>
      <c r="K21" s="713">
        <f t="shared" si="6"/>
        <v>32.86</v>
      </c>
      <c r="L21" s="447">
        <v>0.3</v>
      </c>
      <c r="M21" s="678">
        <v>0.6</v>
      </c>
      <c r="O21" s="697">
        <v>37338</v>
      </c>
      <c r="P21" s="279">
        <v>44806</v>
      </c>
      <c r="Q21">
        <v>42939</v>
      </c>
      <c r="R21">
        <v>39205</v>
      </c>
      <c r="V21" s="498"/>
      <c r="X21" s="157"/>
    </row>
    <row r="22" spans="1:24" x14ac:dyDescent="0.25">
      <c r="A22" s="458">
        <v>6</v>
      </c>
      <c r="B22" s="449" t="s">
        <v>785</v>
      </c>
      <c r="C22" s="446">
        <f>HLOOKUP($C$4,$O$11:$R$41,12,FALSE)</f>
        <v>39405</v>
      </c>
      <c r="D22" s="446">
        <f t="shared" si="0"/>
        <v>0</v>
      </c>
      <c r="E22" s="446">
        <f t="shared" si="1"/>
        <v>39405</v>
      </c>
      <c r="F22" s="446">
        <f t="shared" si="2"/>
        <v>5160.75</v>
      </c>
      <c r="G22" s="450">
        <f t="shared" si="3"/>
        <v>197.02500000000001</v>
      </c>
      <c r="H22" s="446">
        <f t="shared" si="4"/>
        <v>9370.509</v>
      </c>
      <c r="I22" s="712">
        <f t="shared" si="5"/>
        <v>54133.284</v>
      </c>
      <c r="J22" s="126">
        <v>1560</v>
      </c>
      <c r="K22" s="713">
        <f t="shared" si="6"/>
        <v>34.700000000000003</v>
      </c>
      <c r="L22" s="447">
        <v>0.3</v>
      </c>
      <c r="M22" s="678">
        <v>0.6</v>
      </c>
      <c r="O22" s="697">
        <v>39405</v>
      </c>
      <c r="P22" s="279">
        <v>47286</v>
      </c>
      <c r="Q22">
        <v>45140</v>
      </c>
      <c r="R22">
        <v>41376</v>
      </c>
      <c r="V22" s="497" t="s">
        <v>985</v>
      </c>
      <c r="X22" s="157"/>
    </row>
    <row r="23" spans="1:24" x14ac:dyDescent="0.25">
      <c r="A23" s="458">
        <v>6</v>
      </c>
      <c r="B23" s="449" t="s">
        <v>986</v>
      </c>
      <c r="C23" s="446">
        <f>HLOOKUP($C$4,$O$11:$R$41,13,FALSE)</f>
        <v>44962</v>
      </c>
      <c r="D23" s="446">
        <f t="shared" si="0"/>
        <v>0</v>
      </c>
      <c r="E23" s="446">
        <f t="shared" si="1"/>
        <v>44962</v>
      </c>
      <c r="F23" s="446">
        <f t="shared" si="2"/>
        <v>5994.3</v>
      </c>
      <c r="G23" s="450">
        <f t="shared" si="3"/>
        <v>224.81</v>
      </c>
      <c r="H23" s="446">
        <f t="shared" si="4"/>
        <v>10691.963600000001</v>
      </c>
      <c r="I23" s="712">
        <f t="shared" si="5"/>
        <v>61873.073600000003</v>
      </c>
      <c r="J23" s="126">
        <v>1560</v>
      </c>
      <c r="K23" s="713">
        <f t="shared" si="6"/>
        <v>39.659999999999997</v>
      </c>
      <c r="L23" s="447">
        <v>0.3</v>
      </c>
      <c r="M23" s="678">
        <v>0.6</v>
      </c>
      <c r="O23" s="697">
        <v>44962</v>
      </c>
      <c r="P23" s="279">
        <v>53134</v>
      </c>
      <c r="Q23">
        <v>50697</v>
      </c>
      <c r="R23">
        <v>47084</v>
      </c>
      <c r="V23" s="498" t="s">
        <v>987</v>
      </c>
      <c r="W23">
        <v>43</v>
      </c>
      <c r="X23" s="157"/>
    </row>
    <row r="24" spans="1:24" x14ac:dyDescent="0.25">
      <c r="A24" s="458">
        <v>7</v>
      </c>
      <c r="B24" s="449" t="s">
        <v>988</v>
      </c>
      <c r="C24" s="446">
        <f>HLOOKUP($C$4,$O$11:$R$41,14,FALSE)</f>
        <v>46148</v>
      </c>
      <c r="D24" s="446">
        <f t="shared" si="0"/>
        <v>0</v>
      </c>
      <c r="E24" s="446">
        <f t="shared" si="1"/>
        <v>46148</v>
      </c>
      <c r="F24" s="446">
        <f t="shared" si="2"/>
        <v>6172.2</v>
      </c>
      <c r="G24" s="450">
        <f t="shared" si="3"/>
        <v>230.74</v>
      </c>
      <c r="H24" s="446">
        <f t="shared" si="4"/>
        <v>10973.994400000001</v>
      </c>
      <c r="I24" s="712">
        <f t="shared" si="5"/>
        <v>63524.934399999998</v>
      </c>
      <c r="J24" s="126">
        <v>1560</v>
      </c>
      <c r="K24" s="713">
        <f t="shared" si="6"/>
        <v>40.72</v>
      </c>
      <c r="L24" s="447">
        <v>0.3</v>
      </c>
      <c r="M24" s="678">
        <v>0.6</v>
      </c>
      <c r="O24" s="697">
        <v>46148</v>
      </c>
      <c r="P24" s="279">
        <v>54320</v>
      </c>
      <c r="Q24">
        <v>51883</v>
      </c>
      <c r="R24">
        <v>48270</v>
      </c>
      <c r="V24" s="498"/>
      <c r="X24" s="157"/>
    </row>
    <row r="25" spans="1:24" x14ac:dyDescent="0.25">
      <c r="A25" s="458">
        <v>7</v>
      </c>
      <c r="B25" s="449" t="s">
        <v>776</v>
      </c>
      <c r="C25" s="446">
        <f>HLOOKUP($C$4,$O$11:$R$41,15,FALSE)</f>
        <v>48526</v>
      </c>
      <c r="D25" s="446">
        <f t="shared" si="0"/>
        <v>0</v>
      </c>
      <c r="E25" s="446">
        <f t="shared" si="1"/>
        <v>48526</v>
      </c>
      <c r="F25" s="446">
        <f t="shared" si="2"/>
        <v>6528.9</v>
      </c>
      <c r="G25" s="450">
        <f t="shared" si="3"/>
        <v>242.63</v>
      </c>
      <c r="H25" s="446">
        <f t="shared" si="4"/>
        <v>11539.4828</v>
      </c>
      <c r="I25" s="712">
        <f t="shared" si="5"/>
        <v>66837.012799999997</v>
      </c>
      <c r="J25" s="126">
        <v>1560</v>
      </c>
      <c r="K25" s="713">
        <f t="shared" si="6"/>
        <v>42.84</v>
      </c>
      <c r="L25" s="447">
        <v>0.3</v>
      </c>
      <c r="M25" s="678">
        <v>0.6</v>
      </c>
      <c r="O25" s="697">
        <v>48526</v>
      </c>
      <c r="P25" s="279">
        <v>56698</v>
      </c>
      <c r="Q25">
        <v>54261</v>
      </c>
      <c r="R25">
        <v>50648</v>
      </c>
      <c r="V25" s="498" t="s">
        <v>989</v>
      </c>
      <c r="W25">
        <v>10</v>
      </c>
      <c r="X25" s="157"/>
    </row>
    <row r="26" spans="1:24" x14ac:dyDescent="0.25">
      <c r="A26" s="458">
        <v>7</v>
      </c>
      <c r="B26" s="449" t="s">
        <v>990</v>
      </c>
      <c r="C26" s="446">
        <f>HLOOKUP($C$4,$O$11:$R$41,16,FALSE)</f>
        <v>52809</v>
      </c>
      <c r="D26" s="446">
        <f t="shared" si="0"/>
        <v>0</v>
      </c>
      <c r="E26" s="446">
        <f t="shared" si="1"/>
        <v>52809</v>
      </c>
      <c r="F26" s="446">
        <f t="shared" si="2"/>
        <v>7171.3499999999995</v>
      </c>
      <c r="G26" s="450">
        <f t="shared" si="3"/>
        <v>264.04500000000002</v>
      </c>
      <c r="H26" s="446">
        <f t="shared" si="4"/>
        <v>12557.9802</v>
      </c>
      <c r="I26" s="712">
        <f t="shared" si="5"/>
        <v>72802.375199999995</v>
      </c>
      <c r="J26" s="126">
        <v>1560</v>
      </c>
      <c r="K26" s="713">
        <f t="shared" si="6"/>
        <v>46.67</v>
      </c>
      <c r="L26" s="447">
        <v>0.3</v>
      </c>
      <c r="M26" s="678">
        <v>0.6</v>
      </c>
      <c r="O26" s="697">
        <v>52809</v>
      </c>
      <c r="P26" s="279">
        <v>60981</v>
      </c>
      <c r="Q26">
        <v>58544</v>
      </c>
      <c r="R26">
        <v>54931</v>
      </c>
      <c r="V26" s="498" t="s">
        <v>991</v>
      </c>
      <c r="W26">
        <v>-2</v>
      </c>
      <c r="X26" s="157"/>
    </row>
    <row r="27" spans="1:24" x14ac:dyDescent="0.25">
      <c r="A27" s="458" t="s">
        <v>992</v>
      </c>
      <c r="B27" s="449" t="s">
        <v>781</v>
      </c>
      <c r="C27" s="446">
        <f>HLOOKUP($C$4,$O$11:$R$41,17,FALSE)</f>
        <v>53754.676500000001</v>
      </c>
      <c r="D27" s="446">
        <f t="shared" si="0"/>
        <v>0</v>
      </c>
      <c r="E27" s="446">
        <f t="shared" si="1"/>
        <v>53754.676500000001</v>
      </c>
      <c r="F27" s="446">
        <f t="shared" si="2"/>
        <v>7313.2014749999998</v>
      </c>
      <c r="G27" s="450">
        <f t="shared" si="3"/>
        <v>268.77338250000003</v>
      </c>
      <c r="H27" s="446">
        <f t="shared" si="4"/>
        <v>12782.862071700001</v>
      </c>
      <c r="I27" s="712">
        <f t="shared" si="5"/>
        <v>74119.513429200015</v>
      </c>
      <c r="J27" s="126">
        <v>1560</v>
      </c>
      <c r="K27" s="713">
        <f t="shared" si="6"/>
        <v>47.51</v>
      </c>
      <c r="L27" s="447">
        <v>0.3</v>
      </c>
      <c r="M27" s="678">
        <v>0.6</v>
      </c>
      <c r="O27" s="697">
        <v>53754.676500000001</v>
      </c>
      <c r="P27" s="279">
        <v>61927</v>
      </c>
      <c r="Q27">
        <v>59490</v>
      </c>
      <c r="R27">
        <v>55877</v>
      </c>
      <c r="V27" s="498"/>
      <c r="W27" s="814">
        <v>8</v>
      </c>
      <c r="X27" s="157"/>
    </row>
    <row r="28" spans="1:24" x14ac:dyDescent="0.25">
      <c r="A28" s="458" t="s">
        <v>992</v>
      </c>
      <c r="B28" s="449" t="s">
        <v>787</v>
      </c>
      <c r="C28" s="446">
        <f>HLOOKUP($C$4,$O$11:$R$41,18,FALSE)</f>
        <v>56454</v>
      </c>
      <c r="D28" s="446">
        <f t="shared" si="0"/>
        <v>0</v>
      </c>
      <c r="E28" s="446">
        <f t="shared" si="1"/>
        <v>56454</v>
      </c>
      <c r="F28" s="446">
        <f t="shared" si="2"/>
        <v>7718.0999999999995</v>
      </c>
      <c r="G28" s="450">
        <f t="shared" si="3"/>
        <v>282.27</v>
      </c>
      <c r="H28" s="446">
        <f t="shared" si="4"/>
        <v>13424.761200000001</v>
      </c>
      <c r="I28" s="712">
        <f t="shared" si="5"/>
        <v>77879.131200000003</v>
      </c>
      <c r="J28" s="126">
        <v>1560</v>
      </c>
      <c r="K28" s="713">
        <f t="shared" si="6"/>
        <v>49.92</v>
      </c>
      <c r="L28" s="447">
        <v>0.3</v>
      </c>
      <c r="M28" s="678">
        <v>0.6</v>
      </c>
      <c r="O28" s="697">
        <v>56454</v>
      </c>
      <c r="P28" s="279">
        <v>64626</v>
      </c>
      <c r="Q28">
        <v>62189</v>
      </c>
      <c r="R28">
        <v>58576</v>
      </c>
      <c r="V28" s="498" t="s">
        <v>993</v>
      </c>
      <c r="W28" s="339">
        <f>W27*4*W23</f>
        <v>1376</v>
      </c>
      <c r="X28" s="157"/>
    </row>
    <row r="29" spans="1:24" x14ac:dyDescent="0.25">
      <c r="A29" s="458" t="s">
        <v>992</v>
      </c>
      <c r="B29" s="449" t="s">
        <v>994</v>
      </c>
      <c r="C29" s="446">
        <f>HLOOKUP($C$4,$O$11:$R$41,19,FALSE)</f>
        <v>60504</v>
      </c>
      <c r="D29" s="446">
        <f t="shared" si="0"/>
        <v>0</v>
      </c>
      <c r="E29" s="446">
        <f t="shared" si="1"/>
        <v>60504</v>
      </c>
      <c r="F29" s="446">
        <f t="shared" si="2"/>
        <v>8325.6</v>
      </c>
      <c r="G29" s="450">
        <f t="shared" si="3"/>
        <v>302.52</v>
      </c>
      <c r="H29" s="446">
        <f t="shared" si="4"/>
        <v>14387.851200000001</v>
      </c>
      <c r="I29" s="712">
        <f t="shared" si="5"/>
        <v>83519.971200000015</v>
      </c>
      <c r="J29" s="126">
        <v>1560</v>
      </c>
      <c r="K29" s="713">
        <f t="shared" si="6"/>
        <v>53.54</v>
      </c>
      <c r="L29" s="447">
        <v>0.3</v>
      </c>
      <c r="M29" s="678">
        <v>0.6</v>
      </c>
      <c r="O29" s="697">
        <v>60504</v>
      </c>
      <c r="P29" s="279">
        <v>68676</v>
      </c>
      <c r="Q29">
        <v>66239</v>
      </c>
      <c r="R29">
        <v>62626</v>
      </c>
      <c r="V29" s="158"/>
      <c r="X29" s="157"/>
    </row>
    <row r="30" spans="1:24" x14ac:dyDescent="0.25">
      <c r="A30" s="458" t="s">
        <v>995</v>
      </c>
      <c r="B30" s="449" t="s">
        <v>996</v>
      </c>
      <c r="C30" s="446">
        <f>HLOOKUP($C$4,$O$11:$R$41,20,FALSE)</f>
        <v>62215</v>
      </c>
      <c r="D30" s="446">
        <f t="shared" si="0"/>
        <v>0</v>
      </c>
      <c r="E30" s="446">
        <f t="shared" si="1"/>
        <v>62215</v>
      </c>
      <c r="F30" s="446">
        <f t="shared" si="2"/>
        <v>8582.25</v>
      </c>
      <c r="G30" s="450">
        <f t="shared" si="3"/>
        <v>311.07499999999999</v>
      </c>
      <c r="H30" s="446">
        <f t="shared" si="4"/>
        <v>14794.727000000001</v>
      </c>
      <c r="I30" s="712">
        <f t="shared" si="5"/>
        <v>85903.051999999996</v>
      </c>
      <c r="J30" s="126">
        <v>1560</v>
      </c>
      <c r="K30" s="713">
        <f t="shared" si="6"/>
        <v>55.07</v>
      </c>
      <c r="L30" s="447">
        <v>0.3</v>
      </c>
      <c r="M30" s="678">
        <v>0.6</v>
      </c>
      <c r="O30" s="697">
        <v>62215</v>
      </c>
      <c r="P30" s="279">
        <v>70387</v>
      </c>
      <c r="Q30">
        <v>67950</v>
      </c>
      <c r="R30">
        <v>64337</v>
      </c>
      <c r="V30" s="498"/>
      <c r="X30" s="157"/>
    </row>
    <row r="31" spans="1:24" x14ac:dyDescent="0.25">
      <c r="A31" s="458" t="s">
        <v>995</v>
      </c>
      <c r="B31" s="449" t="s">
        <v>997</v>
      </c>
      <c r="C31" s="446">
        <f>HLOOKUP($C$4,$O$11:$R$41,21,FALSE)</f>
        <v>66246</v>
      </c>
      <c r="D31" s="446">
        <f t="shared" si="0"/>
        <v>0</v>
      </c>
      <c r="E31" s="446">
        <f t="shared" si="1"/>
        <v>66246</v>
      </c>
      <c r="F31" s="446">
        <f t="shared" si="2"/>
        <v>9186.9</v>
      </c>
      <c r="G31" s="450">
        <f t="shared" si="3"/>
        <v>331.23</v>
      </c>
      <c r="H31" s="446">
        <f t="shared" si="4"/>
        <v>15753.2988</v>
      </c>
      <c r="I31" s="712">
        <f t="shared" si="5"/>
        <v>91517.428799999994</v>
      </c>
      <c r="J31" s="126">
        <v>1560</v>
      </c>
      <c r="K31" s="713">
        <f t="shared" si="6"/>
        <v>58.67</v>
      </c>
      <c r="L31" s="447">
        <v>0.3</v>
      </c>
      <c r="M31" s="678">
        <v>0.6</v>
      </c>
      <c r="O31" s="697">
        <v>66246</v>
      </c>
      <c r="P31" s="279">
        <v>74418</v>
      </c>
      <c r="Q31">
        <v>71981</v>
      </c>
      <c r="R31">
        <v>68368</v>
      </c>
      <c r="V31" s="497" t="s">
        <v>998</v>
      </c>
      <c r="X31" s="157"/>
    </row>
    <row r="32" spans="1:24" x14ac:dyDescent="0.25">
      <c r="A32" s="458" t="s">
        <v>995</v>
      </c>
      <c r="B32" s="449" t="s">
        <v>999</v>
      </c>
      <c r="C32" s="446">
        <f>HLOOKUP($C$4,$O$11:$R$41,22,FALSE)</f>
        <v>72293</v>
      </c>
      <c r="D32" s="446">
        <f t="shared" si="0"/>
        <v>0</v>
      </c>
      <c r="E32" s="446">
        <f t="shared" si="1"/>
        <v>72293</v>
      </c>
      <c r="F32" s="446">
        <f t="shared" si="2"/>
        <v>10093.949999999999</v>
      </c>
      <c r="G32" s="450">
        <f t="shared" si="3"/>
        <v>361.46500000000003</v>
      </c>
      <c r="H32" s="446">
        <f t="shared" si="4"/>
        <v>17191.275400000002</v>
      </c>
      <c r="I32" s="712">
        <f t="shared" si="5"/>
        <v>99939.690399999992</v>
      </c>
      <c r="J32" s="126">
        <v>1560</v>
      </c>
      <c r="K32" s="713">
        <f t="shared" si="6"/>
        <v>64.06</v>
      </c>
      <c r="L32" s="447">
        <v>0.3</v>
      </c>
      <c r="M32" s="678">
        <v>0.6</v>
      </c>
      <c r="O32" s="697">
        <v>72293</v>
      </c>
      <c r="P32" s="279">
        <v>80465</v>
      </c>
      <c r="Q32">
        <v>78028</v>
      </c>
      <c r="R32">
        <v>74415</v>
      </c>
      <c r="V32" s="498" t="s">
        <v>1000</v>
      </c>
      <c r="W32">
        <v>44.7</v>
      </c>
      <c r="X32" s="157"/>
    </row>
    <row r="33" spans="1:24" x14ac:dyDescent="0.25">
      <c r="A33" s="458" t="s">
        <v>1001</v>
      </c>
      <c r="B33" s="449" t="s">
        <v>1002</v>
      </c>
      <c r="C33" s="446">
        <f>HLOOKUP($C$4,$O$11:$R$41,23,FALSE)</f>
        <v>74290</v>
      </c>
      <c r="D33" s="446">
        <f t="shared" si="0"/>
        <v>0</v>
      </c>
      <c r="E33" s="446">
        <f t="shared" si="1"/>
        <v>74290</v>
      </c>
      <c r="F33" s="446">
        <f t="shared" si="2"/>
        <v>10393.5</v>
      </c>
      <c r="G33" s="450">
        <f t="shared" si="3"/>
        <v>371.45</v>
      </c>
      <c r="H33" s="446">
        <f t="shared" si="4"/>
        <v>17666.162</v>
      </c>
      <c r="I33" s="712">
        <f t="shared" si="5"/>
        <v>102721.11199999999</v>
      </c>
      <c r="J33" s="126">
        <v>1560</v>
      </c>
      <c r="K33" s="713">
        <f t="shared" si="6"/>
        <v>65.849999999999994</v>
      </c>
      <c r="L33" s="447">
        <v>0.3</v>
      </c>
      <c r="M33" s="678">
        <v>0.6</v>
      </c>
      <c r="O33" s="697">
        <v>74290</v>
      </c>
      <c r="P33" s="279">
        <v>82462</v>
      </c>
      <c r="Q33">
        <v>80025</v>
      </c>
      <c r="R33">
        <v>76412</v>
      </c>
      <c r="V33" s="498" t="s">
        <v>1003</v>
      </c>
      <c r="W33">
        <v>48</v>
      </c>
      <c r="X33" s="157"/>
    </row>
    <row r="34" spans="1:24" x14ac:dyDescent="0.25">
      <c r="A34" s="458" t="s">
        <v>1001</v>
      </c>
      <c r="B34" s="449" t="s">
        <v>1004</v>
      </c>
      <c r="C34" s="446">
        <f>HLOOKUP($C$4,$O$11:$R$41,24,FALSE)</f>
        <v>78814</v>
      </c>
      <c r="D34" s="446">
        <f t="shared" si="0"/>
        <v>0</v>
      </c>
      <c r="E34" s="446">
        <f t="shared" si="1"/>
        <v>78814</v>
      </c>
      <c r="F34" s="446">
        <f t="shared" si="2"/>
        <v>11072.1</v>
      </c>
      <c r="G34" s="450">
        <f t="shared" si="3"/>
        <v>394.07</v>
      </c>
      <c r="H34" s="446">
        <f t="shared" si="4"/>
        <v>18741.9692</v>
      </c>
      <c r="I34" s="712">
        <f t="shared" si="5"/>
        <v>109022.13920000001</v>
      </c>
      <c r="J34" s="126">
        <v>1560</v>
      </c>
      <c r="K34" s="713">
        <f t="shared" si="6"/>
        <v>69.89</v>
      </c>
      <c r="L34" s="447">
        <v>0.3</v>
      </c>
      <c r="M34" s="678">
        <v>0.6</v>
      </c>
      <c r="O34" s="697">
        <v>78814</v>
      </c>
      <c r="P34" s="279">
        <v>86986</v>
      </c>
      <c r="Q34">
        <v>84549</v>
      </c>
      <c r="R34">
        <v>80936</v>
      </c>
      <c r="V34" s="498" t="s">
        <v>1005</v>
      </c>
      <c r="W34">
        <v>2145.6</v>
      </c>
      <c r="X34" s="157"/>
    </row>
    <row r="35" spans="1:24" x14ac:dyDescent="0.25">
      <c r="A35" s="458" t="s">
        <v>1001</v>
      </c>
      <c r="B35" s="449" t="s">
        <v>1006</v>
      </c>
      <c r="C35" s="446">
        <f>HLOOKUP($C$4,$O$11:$R$41,25,FALSE)</f>
        <v>85601</v>
      </c>
      <c r="D35" s="446">
        <f t="shared" si="0"/>
        <v>0</v>
      </c>
      <c r="E35" s="446">
        <f t="shared" si="1"/>
        <v>85601</v>
      </c>
      <c r="F35" s="446">
        <f t="shared" si="2"/>
        <v>12090.15</v>
      </c>
      <c r="G35" s="450">
        <f t="shared" si="3"/>
        <v>428.005</v>
      </c>
      <c r="H35" s="446">
        <f t="shared" si="4"/>
        <v>20355.917799999999</v>
      </c>
      <c r="I35" s="712">
        <f t="shared" si="5"/>
        <v>118475.07279999999</v>
      </c>
      <c r="J35" s="126">
        <v>1560</v>
      </c>
      <c r="K35" s="713">
        <f t="shared" si="6"/>
        <v>75.95</v>
      </c>
      <c r="L35" s="447">
        <v>0.3</v>
      </c>
      <c r="M35" s="678">
        <v>0.6</v>
      </c>
      <c r="O35" s="697">
        <v>85601</v>
      </c>
      <c r="P35" s="279">
        <v>93773</v>
      </c>
      <c r="Q35">
        <v>91336</v>
      </c>
      <c r="R35">
        <v>87723</v>
      </c>
      <c r="V35" s="498" t="s">
        <v>1007</v>
      </c>
      <c r="W35" s="499">
        <v>0.6</v>
      </c>
      <c r="X35" s="157"/>
    </row>
    <row r="36" spans="1:24" x14ac:dyDescent="0.25">
      <c r="A36" s="458" t="s">
        <v>1008</v>
      </c>
      <c r="B36" s="449" t="s">
        <v>1009</v>
      </c>
      <c r="C36" s="446">
        <f>HLOOKUP($C$4,$O$11:$R$41,26,FALSE)</f>
        <v>88168</v>
      </c>
      <c r="D36" s="446">
        <f t="shared" si="0"/>
        <v>0</v>
      </c>
      <c r="E36" s="446">
        <f t="shared" si="1"/>
        <v>88168</v>
      </c>
      <c r="F36" s="446">
        <f t="shared" si="2"/>
        <v>12475.199999999999</v>
      </c>
      <c r="G36" s="450">
        <f t="shared" si="3"/>
        <v>440.84000000000003</v>
      </c>
      <c r="H36" s="446">
        <f t="shared" si="4"/>
        <v>20966.350399999999</v>
      </c>
      <c r="I36" s="712">
        <f t="shared" si="5"/>
        <v>122050.39039999999</v>
      </c>
      <c r="J36" s="126">
        <v>1560</v>
      </c>
      <c r="K36" s="713">
        <f t="shared" si="6"/>
        <v>78.239999999999995</v>
      </c>
      <c r="L36" s="447">
        <v>0.3</v>
      </c>
      <c r="M36" s="678">
        <v>0.6</v>
      </c>
      <c r="O36" s="697">
        <v>88168</v>
      </c>
      <c r="P36" s="279">
        <v>96340</v>
      </c>
      <c r="Q36">
        <v>93903</v>
      </c>
      <c r="R36">
        <v>90290</v>
      </c>
      <c r="V36" s="498" t="s">
        <v>1010</v>
      </c>
      <c r="W36" s="818">
        <f>ROUND(W35*W34,0)</f>
        <v>1287</v>
      </c>
      <c r="X36" s="157"/>
    </row>
    <row r="37" spans="1:24" x14ac:dyDescent="0.25">
      <c r="A37" s="458" t="s">
        <v>1008</v>
      </c>
      <c r="B37" s="449" t="s">
        <v>1011</v>
      </c>
      <c r="C37" s="446">
        <f>HLOOKUP($C$4,$O$11:$R$41,27,FALSE)</f>
        <v>93572</v>
      </c>
      <c r="D37" s="446">
        <f t="shared" si="0"/>
        <v>0</v>
      </c>
      <c r="E37" s="446">
        <f t="shared" si="1"/>
        <v>93572</v>
      </c>
      <c r="F37" s="446">
        <f t="shared" si="2"/>
        <v>13285.8</v>
      </c>
      <c r="G37" s="450">
        <f t="shared" si="3"/>
        <v>467.86</v>
      </c>
      <c r="H37" s="446">
        <f t="shared" si="4"/>
        <v>22251.421600000001</v>
      </c>
      <c r="I37" s="712">
        <f t="shared" si="5"/>
        <v>129577.0816</v>
      </c>
      <c r="J37" s="126">
        <v>1560</v>
      </c>
      <c r="K37" s="713">
        <f t="shared" si="6"/>
        <v>83.06</v>
      </c>
      <c r="L37" s="447">
        <v>0.3</v>
      </c>
      <c r="M37" s="678">
        <v>0.6</v>
      </c>
      <c r="O37" s="697">
        <v>93572</v>
      </c>
      <c r="P37" s="279">
        <v>101744</v>
      </c>
      <c r="Q37">
        <v>99307</v>
      </c>
      <c r="R37">
        <v>95694</v>
      </c>
      <c r="V37" s="159"/>
      <c r="W37" s="160"/>
      <c r="X37" s="161"/>
    </row>
    <row r="38" spans="1:24" x14ac:dyDescent="0.25">
      <c r="A38" s="458" t="s">
        <v>1008</v>
      </c>
      <c r="B38" s="449" t="s">
        <v>1012</v>
      </c>
      <c r="C38" s="446">
        <f>HLOOKUP($C$4,$O$11:$R$41,28,FALSE)</f>
        <v>101677</v>
      </c>
      <c r="D38" s="446">
        <f t="shared" si="0"/>
        <v>0</v>
      </c>
      <c r="E38" s="446">
        <f t="shared" si="1"/>
        <v>101677</v>
      </c>
      <c r="F38" s="446">
        <f t="shared" si="2"/>
        <v>14501.55</v>
      </c>
      <c r="G38" s="450">
        <f t="shared" si="3"/>
        <v>508.38499999999999</v>
      </c>
      <c r="H38" s="446">
        <f t="shared" si="4"/>
        <v>24178.7906</v>
      </c>
      <c r="I38" s="712">
        <f t="shared" si="5"/>
        <v>140865.72560000001</v>
      </c>
      <c r="J38" s="126">
        <v>1560</v>
      </c>
      <c r="K38" s="713">
        <f t="shared" si="6"/>
        <v>90.3</v>
      </c>
      <c r="L38" s="447">
        <v>0.3</v>
      </c>
      <c r="M38" s="678">
        <v>0.6</v>
      </c>
      <c r="O38" s="697">
        <v>101677</v>
      </c>
      <c r="P38" s="279">
        <v>109849</v>
      </c>
      <c r="Q38">
        <v>107412</v>
      </c>
      <c r="R38">
        <v>103799</v>
      </c>
    </row>
    <row r="39" spans="1:24" x14ac:dyDescent="0.25">
      <c r="A39" s="458">
        <v>9</v>
      </c>
      <c r="B39" s="449" t="s">
        <v>1013</v>
      </c>
      <c r="C39" s="446">
        <f>HLOOKUP($C$4,$O$11:$R$41,29,FALSE)</f>
        <v>105385</v>
      </c>
      <c r="D39" s="446">
        <f t="shared" si="0"/>
        <v>0</v>
      </c>
      <c r="E39" s="446">
        <f t="shared" si="1"/>
        <v>105385</v>
      </c>
      <c r="F39" s="446">
        <f t="shared" si="2"/>
        <v>15057.75</v>
      </c>
      <c r="G39" s="450">
        <f t="shared" si="3"/>
        <v>526.92499999999995</v>
      </c>
      <c r="H39" s="446">
        <f t="shared" si="4"/>
        <v>25060.553</v>
      </c>
      <c r="I39" s="712">
        <f t="shared" si="5"/>
        <v>146030.228</v>
      </c>
      <c r="J39" s="126">
        <v>1560</v>
      </c>
      <c r="K39" s="713">
        <f t="shared" si="6"/>
        <v>93.61</v>
      </c>
      <c r="L39" s="447">
        <v>0.3</v>
      </c>
      <c r="M39" s="678">
        <v>0.6</v>
      </c>
      <c r="O39" s="697">
        <v>105385</v>
      </c>
      <c r="P39" s="279">
        <v>113557</v>
      </c>
      <c r="Q39">
        <v>111120</v>
      </c>
      <c r="R39">
        <v>107507</v>
      </c>
    </row>
    <row r="40" spans="1:24" x14ac:dyDescent="0.25">
      <c r="A40" s="458">
        <v>9</v>
      </c>
      <c r="B40" s="449" t="s">
        <v>1014</v>
      </c>
      <c r="C40" s="446">
        <f>HLOOKUP($C$4,$O$11:$R$41,30,FALSE)</f>
        <v>111740</v>
      </c>
      <c r="D40" s="446">
        <f t="shared" si="0"/>
        <v>0</v>
      </c>
      <c r="E40" s="446">
        <f t="shared" si="1"/>
        <v>111740</v>
      </c>
      <c r="F40" s="446">
        <f t="shared" si="2"/>
        <v>16011</v>
      </c>
      <c r="G40" s="450">
        <f t="shared" si="3"/>
        <v>558.70000000000005</v>
      </c>
      <c r="H40" s="446">
        <f t="shared" si="4"/>
        <v>26571.772000000001</v>
      </c>
      <c r="I40" s="712">
        <f t="shared" si="5"/>
        <v>154881.47200000001</v>
      </c>
      <c r="J40" s="126">
        <v>1560</v>
      </c>
      <c r="K40" s="713">
        <f t="shared" si="6"/>
        <v>99.28</v>
      </c>
      <c r="L40" s="447">
        <v>0.3</v>
      </c>
      <c r="M40" s="678">
        <v>0.6</v>
      </c>
      <c r="O40" s="697">
        <v>111740</v>
      </c>
      <c r="P40" s="279">
        <v>119912</v>
      </c>
      <c r="Q40">
        <v>117475</v>
      </c>
      <c r="R40">
        <v>113862</v>
      </c>
    </row>
    <row r="41" spans="1:24" x14ac:dyDescent="0.25">
      <c r="A41" s="458">
        <v>9</v>
      </c>
      <c r="B41" s="449" t="s">
        <v>1015</v>
      </c>
      <c r="C41" s="446">
        <f>HLOOKUP($C$4,$O$11:$R$41,31,FALSE)</f>
        <v>121271</v>
      </c>
      <c r="D41" s="446">
        <f t="shared" si="0"/>
        <v>0</v>
      </c>
      <c r="E41" s="446">
        <f t="shared" si="1"/>
        <v>121271</v>
      </c>
      <c r="F41" s="446">
        <f t="shared" si="2"/>
        <v>17440.649999999998</v>
      </c>
      <c r="G41" s="450">
        <f t="shared" si="3"/>
        <v>606.35500000000002</v>
      </c>
      <c r="H41" s="446">
        <f t="shared" si="4"/>
        <v>28838.2438</v>
      </c>
      <c r="I41" s="712">
        <f t="shared" si="5"/>
        <v>168156.2488</v>
      </c>
      <c r="J41" s="126">
        <v>1560</v>
      </c>
      <c r="K41" s="713">
        <f t="shared" si="6"/>
        <v>107.79</v>
      </c>
      <c r="L41" s="447">
        <v>0.3</v>
      </c>
      <c r="M41" s="678">
        <v>0.6</v>
      </c>
      <c r="O41" s="697">
        <v>121271</v>
      </c>
      <c r="P41" s="279">
        <v>129443</v>
      </c>
      <c r="Q41">
        <v>127006</v>
      </c>
      <c r="R41">
        <v>123393</v>
      </c>
    </row>
    <row r="42" spans="1:24" x14ac:dyDescent="0.25">
      <c r="A42" s="458" t="s">
        <v>998</v>
      </c>
      <c r="B42" s="147" t="s">
        <v>1016</v>
      </c>
      <c r="C42" s="446">
        <v>73113</v>
      </c>
      <c r="D42" s="446">
        <f t="shared" si="0"/>
        <v>0</v>
      </c>
      <c r="E42" s="446">
        <f t="shared" si="1"/>
        <v>73113</v>
      </c>
      <c r="F42" s="446">
        <f t="shared" si="2"/>
        <v>10216.949999999999</v>
      </c>
      <c r="G42" s="450">
        <f t="shared" si="3"/>
        <v>365.565</v>
      </c>
      <c r="H42" s="446">
        <f>C42*0.2068</f>
        <v>15119.768400000001</v>
      </c>
      <c r="I42" s="712">
        <f t="shared" si="5"/>
        <v>98815.2834</v>
      </c>
      <c r="J42" s="126">
        <f>W36</f>
        <v>1287</v>
      </c>
      <c r="K42" s="713">
        <f t="shared" si="6"/>
        <v>76.78</v>
      </c>
      <c r="L42" s="448">
        <v>0</v>
      </c>
      <c r="M42" s="679">
        <v>0</v>
      </c>
    </row>
    <row r="43" spans="1:24" x14ac:dyDescent="0.25">
      <c r="A43" s="458" t="s">
        <v>998</v>
      </c>
      <c r="B43" s="147" t="s">
        <v>1017</v>
      </c>
      <c r="C43" s="446">
        <f>(C42+C44)/2</f>
        <v>91721.5</v>
      </c>
      <c r="D43" s="446">
        <f t="shared" si="0"/>
        <v>0</v>
      </c>
      <c r="E43" s="446">
        <f t="shared" si="1"/>
        <v>91721.5</v>
      </c>
      <c r="F43" s="446">
        <f t="shared" si="2"/>
        <v>13008.225</v>
      </c>
      <c r="G43" s="450">
        <f t="shared" si="3"/>
        <v>458.60750000000002</v>
      </c>
      <c r="H43" s="446">
        <f>C43*0.2068</f>
        <v>18968.0062</v>
      </c>
      <c r="I43" s="712">
        <f t="shared" si="5"/>
        <v>124156.33870000001</v>
      </c>
      <c r="J43" s="126">
        <f>W36</f>
        <v>1287</v>
      </c>
      <c r="K43" s="713">
        <f t="shared" si="6"/>
        <v>96.47</v>
      </c>
      <c r="L43" s="448">
        <v>0</v>
      </c>
      <c r="M43" s="679">
        <v>0</v>
      </c>
    </row>
    <row r="44" spans="1:24" x14ac:dyDescent="0.25">
      <c r="A44" s="716" t="s">
        <v>998</v>
      </c>
      <c r="B44" s="717" t="s">
        <v>1017</v>
      </c>
      <c r="C44" s="503">
        <v>110330</v>
      </c>
      <c r="D44" s="503">
        <f t="shared" si="0"/>
        <v>0</v>
      </c>
      <c r="E44" s="446">
        <f t="shared" si="1"/>
        <v>110330</v>
      </c>
      <c r="F44" s="446">
        <f t="shared" si="2"/>
        <v>15799.5</v>
      </c>
      <c r="G44" s="450">
        <f t="shared" si="3"/>
        <v>551.65</v>
      </c>
      <c r="H44" s="503">
        <f>C44*0.2068</f>
        <v>22816.244000000002</v>
      </c>
      <c r="I44" s="712">
        <f t="shared" si="5"/>
        <v>149497.394</v>
      </c>
      <c r="J44" s="126">
        <f>W36</f>
        <v>1287</v>
      </c>
      <c r="K44" s="713">
        <f t="shared" si="6"/>
        <v>116.16</v>
      </c>
      <c r="L44" s="448">
        <v>0</v>
      </c>
      <c r="M44" s="679">
        <v>0</v>
      </c>
    </row>
    <row r="45" spans="1:24" x14ac:dyDescent="0.25">
      <c r="A45" s="458" t="s">
        <v>985</v>
      </c>
      <c r="B45" s="147" t="s">
        <v>1018</v>
      </c>
      <c r="C45" s="446">
        <v>105504</v>
      </c>
      <c r="D45" s="446">
        <f t="shared" si="0"/>
        <v>0</v>
      </c>
      <c r="E45" s="446">
        <f t="shared" si="1"/>
        <v>105504</v>
      </c>
      <c r="F45" s="446">
        <f t="shared" si="2"/>
        <v>15075.599999999999</v>
      </c>
      <c r="G45" s="450">
        <f t="shared" si="3"/>
        <v>527.52</v>
      </c>
      <c r="H45" s="446">
        <f t="shared" si="4"/>
        <v>25088.851200000001</v>
      </c>
      <c r="I45" s="712">
        <f t="shared" si="5"/>
        <v>146195.9712</v>
      </c>
      <c r="J45" s="126">
        <v>1376</v>
      </c>
      <c r="K45" s="713">
        <f t="shared" si="6"/>
        <v>106.25</v>
      </c>
      <c r="L45" s="448">
        <v>0</v>
      </c>
      <c r="M45" s="679">
        <v>0</v>
      </c>
    </row>
    <row r="46" spans="1:24" x14ac:dyDescent="0.25">
      <c r="A46" s="458" t="s">
        <v>985</v>
      </c>
      <c r="B46" s="147" t="s">
        <v>771</v>
      </c>
      <c r="C46" s="446">
        <f>(4*114894+6*126018)/10</f>
        <v>121568.4</v>
      </c>
      <c r="D46" s="446">
        <f t="shared" si="0"/>
        <v>0</v>
      </c>
      <c r="E46" s="446">
        <f t="shared" si="1"/>
        <v>121568.4</v>
      </c>
      <c r="F46" s="446">
        <f t="shared" si="2"/>
        <v>17485.259999999998</v>
      </c>
      <c r="G46" s="450">
        <f t="shared" si="3"/>
        <v>607.84199999999998</v>
      </c>
      <c r="H46" s="446">
        <f t="shared" si="4"/>
        <v>28908.965520000002</v>
      </c>
      <c r="I46" s="712">
        <f t="shared" si="5"/>
        <v>168570.46752000001</v>
      </c>
      <c r="J46" s="126">
        <v>1376</v>
      </c>
      <c r="K46" s="713">
        <f t="shared" si="6"/>
        <v>122.51</v>
      </c>
      <c r="L46" s="448">
        <v>0</v>
      </c>
      <c r="M46" s="679">
        <v>0</v>
      </c>
    </row>
    <row r="47" spans="1:24" ht="15.75" thickBot="1" x14ac:dyDescent="0.3">
      <c r="A47" s="459" t="s">
        <v>985</v>
      </c>
      <c r="B47" s="451" t="s">
        <v>1019</v>
      </c>
      <c r="C47" s="452">
        <v>139882</v>
      </c>
      <c r="D47" s="452">
        <f t="shared" si="0"/>
        <v>0</v>
      </c>
      <c r="E47" s="452">
        <f t="shared" si="1"/>
        <v>139882</v>
      </c>
      <c r="F47" s="452">
        <f t="shared" si="2"/>
        <v>20232.3</v>
      </c>
      <c r="G47" s="718">
        <f t="shared" si="3"/>
        <v>699.41</v>
      </c>
      <c r="H47" s="452">
        <f t="shared" si="4"/>
        <v>33263.939600000005</v>
      </c>
      <c r="I47" s="453">
        <f t="shared" si="5"/>
        <v>194077.6496</v>
      </c>
      <c r="J47" s="724">
        <v>1376</v>
      </c>
      <c r="K47" s="680">
        <f t="shared" si="6"/>
        <v>141.04</v>
      </c>
      <c r="L47" s="681">
        <v>0</v>
      </c>
      <c r="M47" s="682">
        <v>0</v>
      </c>
    </row>
    <row r="96" ht="23.45" customHeight="1" x14ac:dyDescent="0.25"/>
    <row r="97" ht="55.5" customHeight="1" x14ac:dyDescent="0.25"/>
    <row r="98" ht="23.45" customHeight="1" x14ac:dyDescent="0.25"/>
    <row r="99" ht="23.45" customHeight="1" x14ac:dyDescent="0.25"/>
    <row r="100" ht="23.45" customHeight="1" x14ac:dyDescent="0.25"/>
    <row r="101" ht="23.45" customHeight="1" x14ac:dyDescent="0.25"/>
    <row r="102" ht="23.45" customHeight="1" x14ac:dyDescent="0.25"/>
  </sheetData>
  <sheetProtection algorithmName="SHA-512" hashValue="QYmdAkZSSttV9daIFmXsXvVNpq11IWW6EakpWA0a//4zAtVZBw47HTmMwXX5GBI7ElI1zuMDw8CrWmE4Yi8F+A==" saltValue="5v88Ow4HE1XaaIKsSYTRvQ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D5F0-71C8-447E-A43D-9A0B020F0E20}">
  <sheetPr>
    <tabColor rgb="FFFF00FF"/>
  </sheetPr>
  <dimension ref="A1:AY422"/>
  <sheetViews>
    <sheetView showGridLines="0" zoomScale="80" zoomScaleNormal="80" workbookViewId="0"/>
  </sheetViews>
  <sheetFormatPr defaultColWidth="9.140625" defaultRowHeight="15" x14ac:dyDescent="0.2"/>
  <cols>
    <col min="1" max="1" width="28.85546875" style="730" customWidth="1"/>
    <col min="2" max="2" width="7.140625" style="799" customWidth="1"/>
    <col min="3" max="3" width="8.140625" style="730" customWidth="1"/>
    <col min="4" max="5" width="8.140625" style="801" customWidth="1"/>
    <col min="6" max="8" width="8.140625" style="799" customWidth="1"/>
    <col min="9" max="13" width="8.140625" style="730" customWidth="1"/>
    <col min="14" max="14" width="8.85546875" style="730" customWidth="1"/>
    <col min="15" max="24" width="8.140625" style="730" customWidth="1"/>
    <col min="25" max="25" width="12.140625" style="730" customWidth="1"/>
    <col min="26" max="43" width="8.140625" style="730" customWidth="1"/>
    <col min="44" max="16384" width="9.140625" style="730"/>
  </cols>
  <sheetData>
    <row r="1" spans="1:51" ht="30.6" customHeight="1" x14ac:dyDescent="0.2">
      <c r="A1" s="725" t="s">
        <v>621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  <c r="AF1" s="727"/>
      <c r="AG1" s="728"/>
      <c r="AH1" s="728"/>
      <c r="AI1" s="728"/>
      <c r="AJ1" s="728"/>
      <c r="AK1" s="728"/>
      <c r="AL1" s="728"/>
      <c r="AM1" s="729"/>
      <c r="AN1" s="729"/>
      <c r="AO1" s="729"/>
      <c r="AP1" s="729"/>
      <c r="AQ1" s="729"/>
      <c r="AR1" s="729"/>
      <c r="AS1" s="729"/>
      <c r="AT1" s="729"/>
      <c r="AU1" s="729"/>
      <c r="AV1" s="729"/>
      <c r="AW1" s="729"/>
      <c r="AX1" s="729"/>
      <c r="AY1" s="729"/>
    </row>
    <row r="2" spans="1:51" ht="15.75" customHeight="1" x14ac:dyDescent="0.25">
      <c r="A2" s="731"/>
      <c r="B2" s="732"/>
      <c r="C2" s="567"/>
      <c r="D2" s="51"/>
      <c r="E2" s="1"/>
      <c r="F2" s="1"/>
      <c r="G2" s="1"/>
      <c r="H2" s="802" t="s">
        <v>0</v>
      </c>
      <c r="I2" s="803"/>
      <c r="J2" s="803"/>
      <c r="K2" s="803"/>
      <c r="L2" s="80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3"/>
      <c r="X2" s="733"/>
      <c r="Y2" s="733"/>
      <c r="Z2" s="733"/>
      <c r="AA2" s="733"/>
      <c r="AB2" s="733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9"/>
      <c r="AN2" s="729"/>
      <c r="AO2" s="729"/>
      <c r="AP2" s="729"/>
      <c r="AQ2" s="729"/>
      <c r="AR2" s="729"/>
      <c r="AS2" s="729"/>
      <c r="AT2" s="729"/>
      <c r="AU2" s="729"/>
      <c r="AV2" s="729"/>
      <c r="AW2" s="729"/>
      <c r="AX2" s="729"/>
      <c r="AY2" s="729"/>
    </row>
    <row r="3" spans="1:51" ht="15.75" x14ac:dyDescent="0.25">
      <c r="A3" s="734"/>
      <c r="B3" s="732"/>
      <c r="C3" s="735" t="s">
        <v>622</v>
      </c>
      <c r="D3" s="735"/>
      <c r="E3" s="1"/>
      <c r="F3" s="1"/>
      <c r="G3" s="1"/>
      <c r="H3" s="733"/>
      <c r="I3" s="733"/>
      <c r="J3" s="733"/>
      <c r="K3" s="733"/>
      <c r="L3" s="733"/>
      <c r="M3" s="733"/>
      <c r="N3" s="733"/>
      <c r="O3" s="733"/>
      <c r="P3" s="733"/>
      <c r="Q3" s="736" t="s">
        <v>623</v>
      </c>
      <c r="R3" s="733"/>
      <c r="S3" s="1"/>
      <c r="T3" s="1"/>
      <c r="U3" s="1"/>
      <c r="V3" s="1"/>
      <c r="W3" s="733"/>
      <c r="X3" s="733"/>
      <c r="Y3" s="733"/>
      <c r="Z3" s="733"/>
      <c r="AA3" s="733"/>
      <c r="AB3" s="733"/>
      <c r="AC3" s="728"/>
      <c r="AD3" s="728"/>
      <c r="AE3" s="728"/>
      <c r="AF3" s="728"/>
      <c r="AG3" s="728"/>
      <c r="AH3" s="728"/>
      <c r="AI3" s="728"/>
      <c r="AJ3" s="728"/>
      <c r="AK3" s="728"/>
      <c r="AL3" s="728"/>
      <c r="AM3" s="729"/>
      <c r="AN3" s="729"/>
      <c r="AO3" s="729"/>
      <c r="AP3" s="729"/>
      <c r="AQ3" s="729"/>
      <c r="AR3" s="729"/>
      <c r="AS3" s="729"/>
      <c r="AT3" s="729"/>
      <c r="AU3" s="729"/>
      <c r="AV3" s="729"/>
      <c r="AW3" s="729"/>
      <c r="AX3" s="729"/>
      <c r="AY3" s="729"/>
    </row>
    <row r="4" spans="1:51" x14ac:dyDescent="0.2">
      <c r="A4" s="734"/>
      <c r="B4" s="732"/>
      <c r="C4" s="567" t="s">
        <v>624</v>
      </c>
      <c r="D4" s="51"/>
      <c r="E4" s="1"/>
      <c r="F4" s="1"/>
      <c r="G4" s="1"/>
      <c r="H4" s="733"/>
      <c r="I4" s="733"/>
      <c r="J4" s="733"/>
      <c r="K4" s="733"/>
      <c r="L4" s="733"/>
      <c r="M4" s="733"/>
      <c r="N4" s="733"/>
      <c r="O4" s="733"/>
      <c r="P4" s="733"/>
      <c r="Q4" s="737" t="s">
        <v>625</v>
      </c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28"/>
      <c r="AD4" s="728"/>
      <c r="AE4" s="728"/>
      <c r="AF4" s="728"/>
      <c r="AG4" s="728"/>
      <c r="AH4" s="728"/>
      <c r="AI4" s="728"/>
      <c r="AJ4" s="728"/>
      <c r="AK4" s="728"/>
      <c r="AL4" s="728"/>
      <c r="AM4" s="729"/>
      <c r="AN4" s="728"/>
      <c r="AO4" s="728"/>
      <c r="AP4" s="729"/>
      <c r="AQ4" s="729"/>
      <c r="AR4" s="729"/>
      <c r="AS4" s="729"/>
      <c r="AT4" s="729"/>
      <c r="AU4" s="729"/>
      <c r="AV4" s="729"/>
      <c r="AW4" s="729"/>
      <c r="AX4" s="729"/>
      <c r="AY4" s="729"/>
    </row>
    <row r="5" spans="1:51" ht="15.75" thickBot="1" x14ac:dyDescent="0.25">
      <c r="A5" s="738"/>
      <c r="B5" s="739"/>
      <c r="C5" s="1"/>
      <c r="D5" s="1"/>
      <c r="E5" s="1"/>
      <c r="F5" s="1"/>
      <c r="G5" s="1"/>
      <c r="H5" s="733"/>
      <c r="I5" s="733"/>
      <c r="J5" s="733"/>
      <c r="K5" s="733"/>
      <c r="L5" s="733"/>
      <c r="M5" s="733"/>
      <c r="N5" s="733"/>
      <c r="O5" s="733"/>
      <c r="P5" s="733"/>
      <c r="Q5" s="737" t="s">
        <v>626</v>
      </c>
      <c r="R5" s="733"/>
      <c r="S5" s="733"/>
      <c r="T5" s="733"/>
      <c r="U5" s="733"/>
      <c r="V5" s="733"/>
      <c r="W5" s="733"/>
      <c r="X5" s="733"/>
      <c r="Y5" s="733"/>
      <c r="Z5" s="733"/>
      <c r="AA5" s="733"/>
      <c r="AB5" s="733"/>
      <c r="AC5" s="728"/>
      <c r="AD5" s="728"/>
      <c r="AE5" s="728"/>
      <c r="AF5" s="728"/>
      <c r="AG5" s="728"/>
      <c r="AH5" s="728"/>
      <c r="AI5" s="728"/>
      <c r="AJ5" s="728"/>
      <c r="AK5" s="728"/>
      <c r="AL5" s="728"/>
      <c r="AM5" s="729"/>
      <c r="AN5" s="729"/>
      <c r="AO5" s="729"/>
      <c r="AP5" s="729"/>
      <c r="AQ5" s="729"/>
      <c r="AR5" s="729"/>
      <c r="AS5" s="729"/>
      <c r="AT5" s="729"/>
      <c r="AU5" s="729"/>
      <c r="AV5" s="729"/>
      <c r="AW5" s="729"/>
      <c r="AX5" s="729"/>
      <c r="AY5" s="729"/>
    </row>
    <row r="6" spans="1:51" ht="15.75" x14ac:dyDescent="0.25">
      <c r="A6" s="738"/>
      <c r="B6" s="739"/>
      <c r="C6" s="740"/>
      <c r="D6" s="741"/>
      <c r="E6" s="741"/>
      <c r="F6" s="741"/>
      <c r="G6" s="741"/>
      <c r="H6" s="742" t="s">
        <v>627</v>
      </c>
      <c r="I6" s="741"/>
      <c r="J6" s="741"/>
      <c r="K6" s="741"/>
      <c r="L6" s="741"/>
      <c r="M6" s="741"/>
      <c r="N6" s="743"/>
      <c r="O6" s="733"/>
      <c r="P6" s="733"/>
      <c r="Q6" s="737" t="s">
        <v>628</v>
      </c>
      <c r="R6" s="733"/>
      <c r="S6" s="733"/>
      <c r="T6" s="733"/>
      <c r="U6" s="733"/>
      <c r="V6" s="733"/>
      <c r="W6" s="733"/>
      <c r="X6" s="733"/>
      <c r="Y6" s="733"/>
      <c r="Z6" s="733"/>
      <c r="AA6" s="733"/>
      <c r="AB6" s="733"/>
      <c r="AC6" s="728"/>
      <c r="AD6" s="728"/>
      <c r="AE6" s="728"/>
      <c r="AF6" s="728"/>
      <c r="AG6" s="728"/>
      <c r="AH6" s="728"/>
      <c r="AI6" s="728"/>
      <c r="AJ6" s="728"/>
      <c r="AK6" s="728"/>
      <c r="AL6" s="728"/>
      <c r="AM6" s="729"/>
      <c r="AN6" s="729"/>
      <c r="AO6" s="729"/>
      <c r="AP6" s="729"/>
      <c r="AQ6" s="729"/>
      <c r="AR6" s="729"/>
      <c r="AS6" s="729"/>
      <c r="AT6" s="729"/>
      <c r="AU6" s="729"/>
      <c r="AV6" s="729"/>
      <c r="AW6" s="729"/>
      <c r="AX6" s="729"/>
      <c r="AY6" s="729"/>
    </row>
    <row r="7" spans="1:51" s="749" customFormat="1" ht="29.25" thickBot="1" x14ac:dyDescent="0.25">
      <c r="A7" s="738"/>
      <c r="B7" s="739"/>
      <c r="C7" s="744" t="s">
        <v>629</v>
      </c>
      <c r="D7" s="745">
        <v>2</v>
      </c>
      <c r="E7" s="746">
        <v>3</v>
      </c>
      <c r="F7" s="747">
        <v>4</v>
      </c>
      <c r="G7" s="747">
        <v>5</v>
      </c>
      <c r="H7" s="746">
        <v>6</v>
      </c>
      <c r="I7" s="747">
        <v>7</v>
      </c>
      <c r="J7" s="747">
        <v>8</v>
      </c>
      <c r="K7" s="746">
        <v>9</v>
      </c>
      <c r="L7" s="747">
        <v>10</v>
      </c>
      <c r="M7" s="747">
        <v>11</v>
      </c>
      <c r="N7" s="748">
        <v>12</v>
      </c>
      <c r="O7" s="733"/>
      <c r="P7" s="733"/>
      <c r="Q7" s="733"/>
      <c r="R7" s="733" t="s">
        <v>630</v>
      </c>
      <c r="S7" s="1"/>
      <c r="T7" s="733"/>
      <c r="U7" s="733"/>
      <c r="V7" s="733"/>
      <c r="W7" s="733"/>
      <c r="X7" s="733"/>
      <c r="Y7" s="733"/>
      <c r="Z7" s="733"/>
      <c r="AA7" s="733"/>
      <c r="AB7" s="733"/>
      <c r="AC7" s="728"/>
      <c r="AD7" s="728"/>
      <c r="AE7" s="728"/>
      <c r="AF7" s="728"/>
      <c r="AG7" s="728"/>
      <c r="AH7" s="728"/>
      <c r="AI7" s="728"/>
      <c r="AJ7" s="728"/>
      <c r="AK7" s="728"/>
      <c r="AL7" s="728"/>
      <c r="AM7" s="729"/>
      <c r="AN7" s="729"/>
      <c r="AO7" s="729"/>
      <c r="AP7" s="729"/>
      <c r="AQ7" s="729"/>
      <c r="AR7" s="729"/>
      <c r="AS7" s="729"/>
      <c r="AT7" s="729"/>
      <c r="AU7" s="738"/>
      <c r="AV7" s="738"/>
      <c r="AW7" s="738"/>
      <c r="AX7" s="738"/>
      <c r="AY7" s="738"/>
    </row>
    <row r="8" spans="1:51" s="749" customFormat="1" ht="15.75" x14ac:dyDescent="0.25">
      <c r="A8" s="738"/>
      <c r="B8" s="739"/>
      <c r="C8" s="750"/>
      <c r="D8" s="751"/>
      <c r="E8" s="752"/>
      <c r="F8" s="750"/>
      <c r="G8" s="751"/>
      <c r="H8" s="752"/>
      <c r="I8" s="753"/>
      <c r="J8" s="754"/>
      <c r="K8" s="755"/>
      <c r="L8" s="753"/>
      <c r="M8" s="754"/>
      <c r="N8" s="756">
        <v>90</v>
      </c>
      <c r="O8" s="733"/>
      <c r="P8" s="733"/>
      <c r="Q8" s="733"/>
      <c r="R8" s="733" t="s">
        <v>631</v>
      </c>
      <c r="S8" s="1"/>
      <c r="T8" s="733"/>
      <c r="U8" s="733"/>
      <c r="V8" s="733"/>
      <c r="W8" s="733"/>
      <c r="X8" s="733"/>
      <c r="Y8" s="733"/>
      <c r="Z8" s="733"/>
      <c r="AA8" s="733"/>
      <c r="AB8" s="733"/>
      <c r="AC8" s="728"/>
      <c r="AD8" s="728"/>
      <c r="AE8" s="728"/>
      <c r="AF8" s="728"/>
      <c r="AG8" s="728"/>
      <c r="AH8" s="728"/>
      <c r="AI8" s="728"/>
      <c r="AJ8" s="728"/>
      <c r="AK8" s="728"/>
      <c r="AL8" s="728"/>
      <c r="AM8" s="729"/>
      <c r="AN8" s="729"/>
      <c r="AO8" s="729"/>
      <c r="AP8" s="729"/>
      <c r="AQ8" s="729"/>
      <c r="AR8" s="729"/>
      <c r="AS8" s="729"/>
      <c r="AT8" s="729"/>
      <c r="AU8" s="738"/>
      <c r="AV8" s="738"/>
      <c r="AW8" s="738"/>
      <c r="AX8" s="738"/>
      <c r="AY8" s="738"/>
    </row>
    <row r="9" spans="1:51" s="6" customFormat="1" ht="15.6" customHeight="1" x14ac:dyDescent="0.2">
      <c r="A9" s="738"/>
      <c r="B9" s="739"/>
      <c r="C9" s="757"/>
      <c r="D9" s="757"/>
      <c r="E9" s="757"/>
      <c r="F9" s="758"/>
      <c r="G9" s="758"/>
      <c r="H9" s="758"/>
      <c r="I9" s="759"/>
      <c r="J9" s="759"/>
      <c r="K9" s="759"/>
      <c r="L9" s="760"/>
      <c r="M9" s="761">
        <v>90</v>
      </c>
      <c r="N9" s="761">
        <v>90</v>
      </c>
      <c r="O9" s="733"/>
      <c r="P9" s="733"/>
      <c r="Q9" s="733"/>
      <c r="R9" s="733" t="s">
        <v>632</v>
      </c>
      <c r="S9" s="1"/>
      <c r="T9" s="733"/>
      <c r="U9" s="733"/>
      <c r="V9" s="733"/>
      <c r="W9" s="733"/>
      <c r="X9" s="733"/>
      <c r="Y9" s="733"/>
      <c r="Z9" s="733"/>
      <c r="AA9" s="733"/>
      <c r="AB9" s="733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729"/>
      <c r="AN9" s="729"/>
      <c r="AO9" s="729"/>
      <c r="AP9" s="729"/>
      <c r="AQ9" s="729"/>
      <c r="AR9" s="729"/>
      <c r="AS9" s="729"/>
      <c r="AT9" s="729"/>
      <c r="AU9" s="1"/>
      <c r="AV9" s="1"/>
      <c r="AW9" s="1"/>
      <c r="AX9" s="1"/>
      <c r="AY9" s="1"/>
    </row>
    <row r="10" spans="1:51" s="6" customFormat="1" ht="15.6" customHeight="1" x14ac:dyDescent="0.2">
      <c r="A10" s="738"/>
      <c r="B10" s="739"/>
      <c r="C10" s="757"/>
      <c r="D10" s="757"/>
      <c r="E10" s="757"/>
      <c r="F10" s="758"/>
      <c r="G10" s="758"/>
      <c r="H10" s="758"/>
      <c r="I10" s="759"/>
      <c r="J10" s="759"/>
      <c r="K10" s="759"/>
      <c r="L10" s="761">
        <v>90</v>
      </c>
      <c r="M10" s="761">
        <v>90</v>
      </c>
      <c r="N10" s="761">
        <v>90</v>
      </c>
      <c r="O10" s="733"/>
      <c r="P10" s="733"/>
      <c r="Q10" s="737" t="s">
        <v>633</v>
      </c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28"/>
      <c r="AD10" s="728"/>
      <c r="AE10" s="728"/>
      <c r="AF10" s="728"/>
      <c r="AG10" s="728"/>
      <c r="AH10" s="728"/>
      <c r="AI10" s="728"/>
      <c r="AJ10" s="728"/>
      <c r="AK10" s="728"/>
      <c r="AL10" s="728"/>
      <c r="AM10" s="729"/>
      <c r="AN10" s="729"/>
      <c r="AO10" s="729"/>
      <c r="AP10" s="729"/>
      <c r="AQ10" s="729"/>
      <c r="AR10" s="729"/>
      <c r="AS10" s="729"/>
      <c r="AT10" s="729"/>
      <c r="AU10" s="1"/>
      <c r="AV10" s="1"/>
      <c r="AW10" s="1"/>
      <c r="AX10" s="1"/>
      <c r="AY10" s="1"/>
    </row>
    <row r="11" spans="1:51" s="6" customFormat="1" ht="15.6" customHeight="1" x14ac:dyDescent="0.2">
      <c r="A11" s="738"/>
      <c r="B11" s="739"/>
      <c r="C11" s="757"/>
      <c r="D11" s="757"/>
      <c r="E11" s="757"/>
      <c r="F11" s="758"/>
      <c r="G11" s="758"/>
      <c r="H11" s="758"/>
      <c r="I11" s="759"/>
      <c r="J11" s="759"/>
      <c r="K11" s="761">
        <v>90</v>
      </c>
      <c r="L11" s="761">
        <v>90</v>
      </c>
      <c r="M11" s="761">
        <v>90</v>
      </c>
      <c r="N11" s="761">
        <v>90</v>
      </c>
      <c r="O11" s="733"/>
      <c r="P11" s="733"/>
      <c r="Q11" s="737" t="s">
        <v>634</v>
      </c>
      <c r="R11" s="733"/>
      <c r="S11" s="733"/>
      <c r="T11" s="733"/>
      <c r="U11" s="733"/>
      <c r="V11" s="733"/>
      <c r="W11" s="733"/>
      <c r="X11" s="733"/>
      <c r="Y11" s="733"/>
      <c r="Z11" s="733"/>
      <c r="AA11" s="733"/>
      <c r="AB11" s="733"/>
      <c r="AC11" s="728"/>
      <c r="AD11" s="728"/>
      <c r="AE11" s="728"/>
      <c r="AF11" s="728"/>
      <c r="AG11" s="728"/>
      <c r="AH11" s="728"/>
      <c r="AI11" s="728"/>
      <c r="AJ11" s="728"/>
      <c r="AK11" s="728"/>
      <c r="AL11" s="728"/>
      <c r="AM11" s="729"/>
      <c r="AN11" s="729"/>
      <c r="AO11" s="729"/>
      <c r="AP11" s="729"/>
      <c r="AQ11" s="729"/>
      <c r="AR11" s="729"/>
      <c r="AS11" s="729"/>
      <c r="AT11" s="729"/>
      <c r="AU11" s="1"/>
      <c r="AV11" s="1"/>
      <c r="AW11" s="1"/>
      <c r="AX11" s="1"/>
      <c r="AY11" s="1"/>
    </row>
    <row r="12" spans="1:51" s="6" customFormat="1" ht="15.6" customHeight="1" x14ac:dyDescent="0.25">
      <c r="A12" s="738"/>
      <c r="B12" s="739"/>
      <c r="C12" s="762"/>
      <c r="D12" s="762"/>
      <c r="E12" s="762"/>
      <c r="F12" s="763"/>
      <c r="G12" s="763"/>
      <c r="H12" s="763"/>
      <c r="I12" s="764"/>
      <c r="J12" s="761">
        <v>90</v>
      </c>
      <c r="K12" s="761">
        <v>90</v>
      </c>
      <c r="L12" s="761">
        <v>90</v>
      </c>
      <c r="M12" s="761">
        <v>90</v>
      </c>
      <c r="N12" s="761">
        <v>90</v>
      </c>
      <c r="O12" s="733"/>
      <c r="P12" s="733"/>
      <c r="Q12" s="737" t="s">
        <v>635</v>
      </c>
      <c r="R12" s="733"/>
      <c r="S12" s="733"/>
      <c r="T12" s="733"/>
      <c r="U12" s="733"/>
      <c r="V12" s="733"/>
      <c r="W12" s="733"/>
      <c r="X12" s="733"/>
      <c r="Y12" s="733"/>
      <c r="Z12" s="733"/>
      <c r="AA12" s="733"/>
      <c r="AB12" s="733"/>
      <c r="AC12" s="728"/>
      <c r="AD12" s="728"/>
      <c r="AE12" s="728"/>
      <c r="AF12" s="728"/>
      <c r="AG12" s="728"/>
      <c r="AH12" s="728"/>
      <c r="AI12" s="728"/>
      <c r="AJ12" s="728"/>
      <c r="AK12" s="728"/>
      <c r="AL12" s="728"/>
      <c r="AM12" s="729"/>
      <c r="AN12" s="729"/>
      <c r="AO12" s="729"/>
      <c r="AP12" s="729"/>
      <c r="AQ12" s="729"/>
      <c r="AR12" s="729"/>
      <c r="AS12" s="729"/>
      <c r="AT12" s="729"/>
      <c r="AU12" s="1"/>
      <c r="AV12" s="1"/>
      <c r="AW12" s="1"/>
      <c r="AX12" s="1"/>
      <c r="AY12" s="1"/>
    </row>
    <row r="13" spans="1:51" s="6" customFormat="1" ht="15.6" customHeight="1" x14ac:dyDescent="0.2">
      <c r="A13" s="738"/>
      <c r="B13" s="739"/>
      <c r="C13" s="765"/>
      <c r="D13" s="766"/>
      <c r="E13" s="767"/>
      <c r="F13" s="768"/>
      <c r="G13" s="766"/>
      <c r="H13" s="767"/>
      <c r="I13" s="761">
        <v>90</v>
      </c>
      <c r="J13" s="761">
        <v>90</v>
      </c>
      <c r="K13" s="761">
        <v>90</v>
      </c>
      <c r="L13" s="761">
        <v>90</v>
      </c>
      <c r="M13" s="761">
        <v>90</v>
      </c>
      <c r="N13" s="761">
        <v>90</v>
      </c>
      <c r="O13" s="733"/>
      <c r="P13" s="733"/>
      <c r="Q13" s="737" t="s">
        <v>636</v>
      </c>
      <c r="R13" s="733"/>
      <c r="S13" s="733"/>
      <c r="T13" s="733"/>
      <c r="U13" s="733"/>
      <c r="V13" s="733"/>
      <c r="W13" s="733"/>
      <c r="X13" s="733"/>
      <c r="Y13" s="733"/>
      <c r="Z13" s="733"/>
      <c r="AA13" s="733"/>
      <c r="AB13" s="733"/>
      <c r="AC13" s="728"/>
      <c r="AD13" s="728"/>
      <c r="AE13" s="728"/>
      <c r="AF13" s="728"/>
      <c r="AG13" s="728"/>
      <c r="AH13" s="728"/>
      <c r="AI13" s="728"/>
      <c r="AJ13" s="728"/>
      <c r="AK13" s="728"/>
      <c r="AL13" s="728"/>
      <c r="AM13" s="729"/>
      <c r="AN13" s="729"/>
      <c r="AO13" s="729"/>
      <c r="AP13" s="729"/>
      <c r="AQ13" s="729"/>
      <c r="AR13" s="729"/>
      <c r="AS13" s="729"/>
      <c r="AT13" s="729"/>
      <c r="AU13" s="1"/>
      <c r="AV13" s="1"/>
      <c r="AW13" s="1"/>
      <c r="AX13" s="1"/>
      <c r="AY13" s="1"/>
    </row>
    <row r="14" spans="1:51" s="6" customFormat="1" ht="15.6" customHeight="1" x14ac:dyDescent="0.2">
      <c r="A14" s="738"/>
      <c r="B14" s="739"/>
      <c r="C14" s="759"/>
      <c r="D14" s="759"/>
      <c r="E14" s="759"/>
      <c r="F14" s="760"/>
      <c r="G14" s="760"/>
      <c r="H14" s="761">
        <v>90</v>
      </c>
      <c r="I14" s="761">
        <v>90</v>
      </c>
      <c r="J14" s="761">
        <v>90</v>
      </c>
      <c r="K14" s="761">
        <v>90</v>
      </c>
      <c r="L14" s="761">
        <v>90</v>
      </c>
      <c r="M14" s="761">
        <v>90</v>
      </c>
      <c r="N14" s="761">
        <v>90</v>
      </c>
      <c r="O14" s="733"/>
      <c r="P14" s="733"/>
      <c r="Q14" s="737" t="s">
        <v>637</v>
      </c>
      <c r="R14" s="733"/>
      <c r="S14" s="733"/>
      <c r="T14" s="733"/>
      <c r="U14" s="733"/>
      <c r="V14" s="733"/>
      <c r="W14" s="733"/>
      <c r="X14" s="733"/>
      <c r="Y14" s="733"/>
      <c r="Z14" s="733"/>
      <c r="AA14" s="733"/>
      <c r="AB14" s="733"/>
      <c r="AC14" s="728"/>
      <c r="AD14" s="728"/>
      <c r="AE14" s="728"/>
      <c r="AF14" s="728"/>
      <c r="AG14" s="728"/>
      <c r="AH14" s="728"/>
      <c r="AI14" s="728"/>
      <c r="AJ14" s="728"/>
      <c r="AK14" s="728"/>
      <c r="AL14" s="728"/>
      <c r="AM14" s="729"/>
      <c r="AN14" s="729"/>
      <c r="AO14" s="729"/>
      <c r="AP14" s="729"/>
      <c r="AQ14" s="729"/>
      <c r="AR14" s="729"/>
      <c r="AS14" s="729"/>
      <c r="AT14" s="729"/>
      <c r="AU14" s="1"/>
      <c r="AV14" s="1"/>
      <c r="AW14" s="1"/>
      <c r="AX14" s="1"/>
      <c r="AY14" s="1"/>
    </row>
    <row r="15" spans="1:51" s="6" customFormat="1" ht="15.6" customHeight="1" x14ac:dyDescent="0.2">
      <c r="A15" s="738"/>
      <c r="B15" s="739"/>
      <c r="C15" s="759"/>
      <c r="D15" s="759"/>
      <c r="E15" s="759"/>
      <c r="F15" s="760"/>
      <c r="G15" s="761">
        <v>90</v>
      </c>
      <c r="H15" s="761">
        <v>90</v>
      </c>
      <c r="I15" s="761">
        <v>90</v>
      </c>
      <c r="J15" s="761">
        <v>90</v>
      </c>
      <c r="K15" s="761">
        <v>90</v>
      </c>
      <c r="L15" s="761">
        <v>90</v>
      </c>
      <c r="M15" s="761">
        <v>90</v>
      </c>
      <c r="N15" s="761">
        <v>90</v>
      </c>
      <c r="O15" s="733"/>
      <c r="P15" s="733"/>
      <c r="Q15" s="733"/>
      <c r="R15" s="733"/>
      <c r="S15" s="733"/>
      <c r="T15" s="733"/>
      <c r="U15" s="733"/>
      <c r="V15" s="733"/>
      <c r="W15" s="733"/>
      <c r="X15" s="733"/>
      <c r="Y15" s="733"/>
      <c r="Z15" s="733"/>
      <c r="AA15" s="733"/>
      <c r="AB15" s="733"/>
      <c r="AC15" s="728"/>
      <c r="AD15" s="728"/>
      <c r="AE15" s="728"/>
      <c r="AF15" s="728"/>
      <c r="AG15" s="728"/>
      <c r="AH15" s="728"/>
      <c r="AI15" s="728"/>
      <c r="AJ15" s="728"/>
      <c r="AK15" s="728"/>
      <c r="AL15" s="728"/>
      <c r="AM15" s="729"/>
      <c r="AN15" s="729"/>
      <c r="AO15" s="729"/>
      <c r="AP15" s="729"/>
      <c r="AQ15" s="729"/>
      <c r="AR15" s="729"/>
      <c r="AS15" s="729"/>
      <c r="AT15" s="729"/>
      <c r="AU15" s="1"/>
      <c r="AV15" s="1"/>
      <c r="AW15" s="1"/>
      <c r="AX15" s="1"/>
      <c r="AY15" s="1"/>
    </row>
    <row r="16" spans="1:51" s="6" customFormat="1" ht="15.6" customHeight="1" x14ac:dyDescent="0.25">
      <c r="A16" s="738"/>
      <c r="B16" s="739"/>
      <c r="C16" s="759"/>
      <c r="D16" s="759"/>
      <c r="E16" s="759"/>
      <c r="F16" s="761">
        <v>90</v>
      </c>
      <c r="G16" s="761">
        <v>90</v>
      </c>
      <c r="H16" s="761">
        <v>90</v>
      </c>
      <c r="I16" s="761">
        <v>90</v>
      </c>
      <c r="J16" s="761">
        <v>90</v>
      </c>
      <c r="K16" s="761">
        <v>90</v>
      </c>
      <c r="L16" s="761">
        <v>90</v>
      </c>
      <c r="M16" s="761">
        <v>90</v>
      </c>
      <c r="N16" s="761">
        <v>90</v>
      </c>
      <c r="O16" s="733"/>
      <c r="P16" s="733"/>
      <c r="Q16" s="733"/>
      <c r="R16" s="733"/>
      <c r="S16" s="733"/>
      <c r="T16" s="733"/>
      <c r="U16" s="733"/>
      <c r="V16" s="733"/>
      <c r="W16" s="736" t="s">
        <v>638</v>
      </c>
      <c r="X16" s="733"/>
      <c r="Y16" s="733"/>
      <c r="Z16" s="733"/>
      <c r="AA16" s="733"/>
      <c r="AB16" s="733"/>
      <c r="AC16" s="728"/>
      <c r="AD16" s="728"/>
      <c r="AE16" s="728"/>
      <c r="AF16" s="728"/>
      <c r="AG16" s="728"/>
      <c r="AH16" s="728"/>
      <c r="AI16" s="728"/>
      <c r="AJ16" s="728"/>
      <c r="AK16" s="728"/>
      <c r="AL16" s="728"/>
      <c r="AM16" s="729"/>
      <c r="AN16" s="729"/>
      <c r="AO16" s="729"/>
      <c r="AP16" s="729"/>
      <c r="AQ16" s="729"/>
      <c r="AR16" s="729"/>
      <c r="AS16" s="729"/>
      <c r="AT16" s="729"/>
      <c r="AU16" s="1"/>
      <c r="AV16" s="1"/>
      <c r="AW16" s="1"/>
      <c r="AX16" s="1"/>
      <c r="AY16" s="1"/>
    </row>
    <row r="17" spans="1:51" s="6" customFormat="1" ht="15.6" customHeight="1" x14ac:dyDescent="0.2">
      <c r="A17" s="738"/>
      <c r="B17" s="739"/>
      <c r="C17" s="759"/>
      <c r="D17" s="759"/>
      <c r="E17" s="761">
        <v>90</v>
      </c>
      <c r="F17" s="761">
        <v>90</v>
      </c>
      <c r="G17" s="761">
        <v>90</v>
      </c>
      <c r="H17" s="761">
        <v>90</v>
      </c>
      <c r="I17" s="761">
        <v>90</v>
      </c>
      <c r="J17" s="761">
        <v>90</v>
      </c>
      <c r="K17" s="761">
        <v>90</v>
      </c>
      <c r="L17" s="761">
        <v>90</v>
      </c>
      <c r="M17" s="761">
        <v>90</v>
      </c>
      <c r="N17" s="761">
        <v>90</v>
      </c>
      <c r="O17" s="733"/>
      <c r="P17" s="733"/>
      <c r="Q17" s="733"/>
      <c r="R17" s="733"/>
      <c r="S17" s="733"/>
      <c r="T17" s="733"/>
      <c r="U17" s="733"/>
      <c r="V17" s="733"/>
      <c r="W17" s="769" t="s">
        <v>639</v>
      </c>
      <c r="X17" s="769" t="s">
        <v>640</v>
      </c>
      <c r="Y17" s="769" t="s">
        <v>641</v>
      </c>
      <c r="Z17" s="733"/>
      <c r="AA17" s="733"/>
      <c r="AB17" s="733"/>
      <c r="AC17" s="728"/>
      <c r="AD17" s="728"/>
      <c r="AE17" s="728"/>
      <c r="AF17" s="728"/>
      <c r="AG17" s="728"/>
      <c r="AH17" s="728"/>
      <c r="AI17" s="728"/>
      <c r="AJ17" s="728"/>
      <c r="AK17" s="728"/>
      <c r="AL17" s="728"/>
      <c r="AM17" s="729"/>
      <c r="AN17" s="729"/>
      <c r="AO17" s="729"/>
      <c r="AP17" s="729"/>
      <c r="AQ17" s="729"/>
      <c r="AR17" s="729"/>
      <c r="AS17" s="729"/>
      <c r="AT17" s="729"/>
      <c r="AU17" s="1"/>
      <c r="AV17" s="1"/>
      <c r="AW17" s="1"/>
      <c r="AX17" s="1"/>
      <c r="AY17" s="1"/>
    </row>
    <row r="18" spans="1:51" s="749" customFormat="1" ht="15.6" customHeight="1" x14ac:dyDescent="0.2">
      <c r="A18" s="738"/>
      <c r="B18" s="739"/>
      <c r="C18" s="759"/>
      <c r="D18" s="761">
        <v>90</v>
      </c>
      <c r="E18" s="761">
        <v>90</v>
      </c>
      <c r="F18" s="761">
        <v>90</v>
      </c>
      <c r="G18" s="761">
        <v>90</v>
      </c>
      <c r="H18" s="761">
        <v>90</v>
      </c>
      <c r="I18" s="761">
        <v>90</v>
      </c>
      <c r="J18" s="761">
        <v>90</v>
      </c>
      <c r="K18" s="761">
        <v>90</v>
      </c>
      <c r="L18" s="761">
        <v>90</v>
      </c>
      <c r="M18" s="761">
        <v>90</v>
      </c>
      <c r="N18" s="761">
        <v>90</v>
      </c>
      <c r="O18" s="733"/>
      <c r="P18" s="733"/>
      <c r="Q18" s="733"/>
      <c r="R18" s="733"/>
      <c r="S18" s="733"/>
      <c r="T18" s="733"/>
      <c r="U18" s="733"/>
      <c r="V18" s="733"/>
      <c r="W18" s="770">
        <v>0.5</v>
      </c>
      <c r="X18" s="771">
        <v>9</v>
      </c>
      <c r="Y18" s="772">
        <f>X18/12*W18</f>
        <v>0.375</v>
      </c>
      <c r="Z18" s="733"/>
      <c r="AA18" s="733"/>
      <c r="AB18" s="733"/>
      <c r="AC18" s="728"/>
      <c r="AD18" s="728"/>
      <c r="AE18" s="728"/>
      <c r="AF18" s="728"/>
      <c r="AG18" s="728"/>
      <c r="AH18" s="728"/>
      <c r="AI18" s="728"/>
      <c r="AJ18" s="728"/>
      <c r="AK18" s="728"/>
      <c r="AL18" s="728"/>
      <c r="AM18" s="729"/>
      <c r="AN18" s="729"/>
      <c r="AO18" s="729"/>
      <c r="AP18" s="729"/>
      <c r="AQ18" s="729"/>
      <c r="AR18" s="729"/>
      <c r="AS18" s="729"/>
      <c r="AT18" s="729"/>
      <c r="AU18" s="738"/>
      <c r="AV18" s="738"/>
      <c r="AW18" s="738"/>
      <c r="AX18" s="738"/>
      <c r="AY18" s="738"/>
    </row>
    <row r="19" spans="1:51" s="773" customFormat="1" ht="15.6" customHeight="1" x14ac:dyDescent="0.25">
      <c r="A19" s="738"/>
      <c r="B19" s="739"/>
      <c r="C19" s="761">
        <v>90</v>
      </c>
      <c r="D19" s="761">
        <v>90</v>
      </c>
      <c r="E19" s="761">
        <v>90</v>
      </c>
      <c r="F19" s="761">
        <v>90</v>
      </c>
      <c r="G19" s="761">
        <v>90</v>
      </c>
      <c r="H19" s="761">
        <v>90</v>
      </c>
      <c r="I19" s="761">
        <v>90</v>
      </c>
      <c r="J19" s="761">
        <v>90</v>
      </c>
      <c r="K19" s="761">
        <v>90</v>
      </c>
      <c r="L19" s="761">
        <v>90</v>
      </c>
      <c r="M19" s="761">
        <v>90</v>
      </c>
      <c r="N19" s="761">
        <v>90</v>
      </c>
      <c r="O19" s="733"/>
      <c r="P19" s="733"/>
      <c r="Q19" s="733"/>
      <c r="R19" s="733"/>
      <c r="S19" s="733"/>
      <c r="T19" s="733"/>
      <c r="U19" s="733"/>
      <c r="V19" s="733"/>
      <c r="W19" s="770">
        <v>0.9</v>
      </c>
      <c r="X19" s="771">
        <v>3</v>
      </c>
      <c r="Y19" s="772">
        <f>X19/12*W19</f>
        <v>0.22500000000000001</v>
      </c>
      <c r="Z19" s="733"/>
      <c r="AA19" s="733"/>
      <c r="AB19" s="733"/>
      <c r="AC19" s="728"/>
      <c r="AD19" s="728"/>
      <c r="AE19" s="728"/>
      <c r="AF19" s="728"/>
      <c r="AG19" s="728"/>
      <c r="AH19" s="728"/>
      <c r="AI19" s="728"/>
      <c r="AJ19" s="728"/>
      <c r="AK19" s="728"/>
      <c r="AL19" s="728"/>
      <c r="AM19" s="729"/>
      <c r="AN19" s="729"/>
      <c r="AO19" s="729"/>
      <c r="AP19" s="729"/>
      <c r="AQ19" s="729"/>
      <c r="AR19" s="729"/>
      <c r="AS19" s="729"/>
      <c r="AT19" s="729"/>
      <c r="AU19" s="8"/>
      <c r="AV19" s="8"/>
      <c r="AW19" s="8"/>
      <c r="AX19" s="8"/>
      <c r="AY19" s="8"/>
    </row>
    <row r="20" spans="1:51" s="773" customFormat="1" ht="15.75" x14ac:dyDescent="0.25">
      <c r="A20" s="738"/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3"/>
      <c r="S20" s="733"/>
      <c r="T20" s="733"/>
      <c r="U20" s="733"/>
      <c r="V20" s="733"/>
      <c r="W20" s="733"/>
      <c r="X20" s="733"/>
      <c r="Y20" s="774">
        <f>SUM(Y18:Y19)</f>
        <v>0.6</v>
      </c>
      <c r="Z20" s="733"/>
      <c r="AA20" s="733"/>
      <c r="AB20" s="733"/>
      <c r="AC20" s="728"/>
      <c r="AD20" s="728"/>
      <c r="AE20" s="728"/>
      <c r="AF20" s="728"/>
      <c r="AG20" s="728"/>
      <c r="AH20" s="728"/>
      <c r="AI20" s="728"/>
      <c r="AJ20" s="728"/>
      <c r="AK20" s="728"/>
      <c r="AL20" s="728"/>
      <c r="AM20" s="729"/>
      <c r="AN20" s="729"/>
      <c r="AO20" s="729"/>
      <c r="AP20" s="729"/>
      <c r="AQ20" s="729"/>
      <c r="AR20" s="729"/>
      <c r="AS20" s="729"/>
      <c r="AT20" s="729"/>
      <c r="AU20" s="8"/>
      <c r="AV20" s="8"/>
      <c r="AW20" s="8"/>
      <c r="AX20" s="8"/>
      <c r="AY20" s="8"/>
    </row>
    <row r="21" spans="1:51" s="773" customFormat="1" ht="15.75" x14ac:dyDescent="0.25">
      <c r="A21" s="738" t="s">
        <v>642</v>
      </c>
      <c r="B21" s="775">
        <v>1200</v>
      </c>
      <c r="C21" s="776">
        <f>$B$21/12</f>
        <v>100</v>
      </c>
      <c r="D21" s="776">
        <f t="shared" ref="D21:M21" si="0">$B$21/12</f>
        <v>100</v>
      </c>
      <c r="E21" s="776">
        <f t="shared" si="0"/>
        <v>100</v>
      </c>
      <c r="F21" s="776">
        <f t="shared" si="0"/>
        <v>100</v>
      </c>
      <c r="G21" s="776">
        <f t="shared" si="0"/>
        <v>100</v>
      </c>
      <c r="H21" s="776">
        <f t="shared" si="0"/>
        <v>100</v>
      </c>
      <c r="I21" s="776">
        <f t="shared" si="0"/>
        <v>100</v>
      </c>
      <c r="J21" s="776">
        <f t="shared" si="0"/>
        <v>100</v>
      </c>
      <c r="K21" s="776">
        <f t="shared" si="0"/>
        <v>100</v>
      </c>
      <c r="L21" s="776">
        <f t="shared" si="0"/>
        <v>100</v>
      </c>
      <c r="M21" s="776">
        <f t="shared" si="0"/>
        <v>100</v>
      </c>
      <c r="N21" s="776">
        <f>$B$21/12</f>
        <v>100</v>
      </c>
      <c r="O21" s="733"/>
      <c r="P21" s="733"/>
      <c r="Q21" s="733"/>
      <c r="R21" s="733"/>
      <c r="S21" s="733"/>
      <c r="T21" s="733"/>
      <c r="U21" s="733"/>
      <c r="V21" s="733"/>
      <c r="W21" s="733"/>
      <c r="X21" s="733"/>
      <c r="Y21" s="733"/>
      <c r="Z21" s="733"/>
      <c r="AA21" s="733"/>
      <c r="AB21" s="733"/>
      <c r="AC21" s="728"/>
      <c r="AD21" s="728"/>
      <c r="AE21" s="728"/>
      <c r="AF21" s="728"/>
      <c r="AG21" s="728"/>
      <c r="AH21" s="728"/>
      <c r="AI21" s="728"/>
      <c r="AJ21" s="728"/>
      <c r="AK21" s="728"/>
      <c r="AL21" s="728"/>
      <c r="AM21" s="729"/>
      <c r="AN21" s="729"/>
      <c r="AO21" s="729"/>
      <c r="AP21" s="729"/>
      <c r="AQ21" s="729"/>
      <c r="AR21" s="729"/>
      <c r="AS21" s="729"/>
      <c r="AT21" s="729"/>
      <c r="AU21" s="8"/>
      <c r="AV21" s="8"/>
      <c r="AW21" s="8"/>
      <c r="AX21" s="8"/>
      <c r="AY21" s="8"/>
    </row>
    <row r="22" spans="1:51" s="773" customFormat="1" ht="15.75" x14ac:dyDescent="0.25">
      <c r="A22" s="738" t="s">
        <v>643</v>
      </c>
      <c r="B22" s="777">
        <v>0.9</v>
      </c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33"/>
      <c r="P22" s="733"/>
      <c r="Q22" s="733"/>
      <c r="R22" s="733"/>
      <c r="S22" s="733"/>
      <c r="T22" s="733"/>
      <c r="U22" s="733"/>
      <c r="V22" s="733"/>
      <c r="W22" s="733"/>
      <c r="X22" s="733"/>
      <c r="Y22" s="733"/>
      <c r="Z22" s="733"/>
      <c r="AA22" s="733"/>
      <c r="AB22" s="733"/>
      <c r="AC22" s="728"/>
      <c r="AD22" s="728"/>
      <c r="AE22" s="728"/>
      <c r="AF22" s="728"/>
      <c r="AG22" s="728"/>
      <c r="AH22" s="728"/>
      <c r="AI22" s="728"/>
      <c r="AJ22" s="728"/>
      <c r="AK22" s="728"/>
      <c r="AL22" s="728"/>
      <c r="AM22" s="729"/>
      <c r="AN22" s="729"/>
      <c r="AO22" s="729"/>
      <c r="AP22" s="729"/>
      <c r="AQ22" s="729"/>
      <c r="AR22" s="729"/>
      <c r="AS22" s="729"/>
      <c r="AT22" s="729"/>
      <c r="AU22" s="8"/>
      <c r="AV22" s="8"/>
      <c r="AW22" s="8"/>
      <c r="AX22" s="8"/>
      <c r="AY22" s="8"/>
    </row>
    <row r="23" spans="1:51" s="6" customFormat="1" x14ac:dyDescent="0.25">
      <c r="A23" s="738" t="s">
        <v>644</v>
      </c>
      <c r="B23" s="739"/>
      <c r="C23" s="779">
        <f>SUM(C8:C19)</f>
        <v>90</v>
      </c>
      <c r="D23" s="779">
        <f t="shared" ref="D23:N23" si="1">SUM(D8:D19)</f>
        <v>180</v>
      </c>
      <c r="E23" s="779">
        <f t="shared" si="1"/>
        <v>270</v>
      </c>
      <c r="F23" s="779">
        <f t="shared" si="1"/>
        <v>360</v>
      </c>
      <c r="G23" s="779">
        <f t="shared" si="1"/>
        <v>450</v>
      </c>
      <c r="H23" s="779">
        <f t="shared" si="1"/>
        <v>540</v>
      </c>
      <c r="I23" s="779">
        <f t="shared" si="1"/>
        <v>630</v>
      </c>
      <c r="J23" s="779">
        <f t="shared" si="1"/>
        <v>720</v>
      </c>
      <c r="K23" s="779">
        <f t="shared" si="1"/>
        <v>810</v>
      </c>
      <c r="L23" s="779">
        <f t="shared" si="1"/>
        <v>900</v>
      </c>
      <c r="M23" s="779">
        <f t="shared" si="1"/>
        <v>990</v>
      </c>
      <c r="N23" s="780">
        <f t="shared" si="1"/>
        <v>1080</v>
      </c>
      <c r="O23" s="781" t="s">
        <v>645</v>
      </c>
      <c r="P23" s="733"/>
      <c r="Q23" s="733"/>
      <c r="R23" s="733"/>
      <c r="S23" s="733"/>
      <c r="T23" s="733"/>
      <c r="U23" s="733"/>
      <c r="V23" s="733"/>
      <c r="W23" s="733"/>
      <c r="X23" s="733"/>
      <c r="Y23" s="733"/>
      <c r="Z23" s="733"/>
      <c r="AA23" s="733"/>
      <c r="AB23" s="733"/>
      <c r="AC23" s="733"/>
      <c r="AD23" s="733"/>
      <c r="AE23" s="733"/>
      <c r="AF23" s="733"/>
      <c r="AG23" s="733"/>
      <c r="AH23" s="733"/>
      <c r="AI23" s="733"/>
      <c r="AJ23" s="733"/>
      <c r="AK23" s="733"/>
      <c r="AL23" s="733"/>
      <c r="AM23" s="733"/>
      <c r="AN23" s="733"/>
      <c r="AO23" s="733"/>
      <c r="AP23" s="733"/>
      <c r="AQ23" s="1"/>
      <c r="AR23" s="1"/>
      <c r="AS23" s="1"/>
      <c r="AT23" s="1"/>
      <c r="AU23" s="1"/>
      <c r="AV23" s="1"/>
      <c r="AW23" s="1"/>
      <c r="AX23" s="1"/>
      <c r="AY23" s="1"/>
    </row>
    <row r="24" spans="1:51" x14ac:dyDescent="0.2">
      <c r="A24" s="738" t="s">
        <v>646</v>
      </c>
      <c r="B24" s="739"/>
      <c r="C24" s="782">
        <f>C23/$B$21</f>
        <v>7.4999999999999997E-2</v>
      </c>
      <c r="D24" s="782">
        <f t="shared" ref="D24:N24" si="2">D23/$B$21</f>
        <v>0.15</v>
      </c>
      <c r="E24" s="782">
        <f t="shared" si="2"/>
        <v>0.22500000000000001</v>
      </c>
      <c r="F24" s="782">
        <f t="shared" si="2"/>
        <v>0.3</v>
      </c>
      <c r="G24" s="782">
        <f t="shared" si="2"/>
        <v>0.375</v>
      </c>
      <c r="H24" s="782">
        <f t="shared" si="2"/>
        <v>0.45</v>
      </c>
      <c r="I24" s="782">
        <f t="shared" si="2"/>
        <v>0.52500000000000002</v>
      </c>
      <c r="J24" s="782">
        <f t="shared" si="2"/>
        <v>0.6</v>
      </c>
      <c r="K24" s="782">
        <f t="shared" si="2"/>
        <v>0.67500000000000004</v>
      </c>
      <c r="L24" s="782">
        <f t="shared" si="2"/>
        <v>0.75</v>
      </c>
      <c r="M24" s="782">
        <f t="shared" si="2"/>
        <v>0.82499999999999996</v>
      </c>
      <c r="N24" s="782">
        <f t="shared" si="2"/>
        <v>0.9</v>
      </c>
      <c r="O24" s="781" t="s">
        <v>647</v>
      </c>
      <c r="P24" s="733"/>
      <c r="Q24" s="733"/>
      <c r="R24" s="733"/>
      <c r="S24" s="733"/>
      <c r="T24" s="733"/>
      <c r="U24" s="733"/>
      <c r="V24" s="733"/>
      <c r="W24" s="733"/>
      <c r="X24" s="733"/>
      <c r="Y24" s="733"/>
      <c r="Z24" s="733"/>
      <c r="AA24" s="733"/>
      <c r="AB24" s="783"/>
      <c r="AC24" s="784"/>
      <c r="AD24" s="784"/>
      <c r="AE24" s="784"/>
      <c r="AF24" s="784"/>
      <c r="AG24" s="784"/>
      <c r="AH24" s="784"/>
      <c r="AI24" s="784"/>
      <c r="AJ24" s="784"/>
      <c r="AK24" s="784"/>
      <c r="AL24" s="784"/>
      <c r="AM24" s="784"/>
      <c r="AN24" s="784"/>
      <c r="AO24" s="784"/>
      <c r="AP24" s="784"/>
      <c r="AQ24" s="729"/>
      <c r="AR24" s="729"/>
      <c r="AS24" s="729"/>
      <c r="AT24" s="729"/>
      <c r="AU24" s="729"/>
      <c r="AV24" s="729"/>
      <c r="AW24" s="729"/>
      <c r="AX24" s="729"/>
      <c r="AY24" s="729"/>
    </row>
    <row r="25" spans="1:51" x14ac:dyDescent="0.2">
      <c r="A25" s="785"/>
      <c r="B25" s="739"/>
      <c r="C25" s="733"/>
      <c r="D25" s="786"/>
      <c r="E25" s="786"/>
      <c r="F25" s="787"/>
      <c r="G25" s="787"/>
      <c r="H25" s="787"/>
      <c r="I25" s="733"/>
      <c r="J25" s="733"/>
      <c r="K25" s="733"/>
      <c r="L25" s="733"/>
      <c r="M25" s="733"/>
      <c r="N25" s="788" t="s">
        <v>648</v>
      </c>
      <c r="O25" s="1"/>
      <c r="P25" s="733"/>
      <c r="Q25" s="733"/>
      <c r="R25" s="733"/>
      <c r="S25" s="733"/>
      <c r="T25" s="733"/>
      <c r="U25" s="733"/>
      <c r="V25" s="733"/>
      <c r="W25" s="733"/>
      <c r="X25" s="733"/>
      <c r="Y25" s="733"/>
      <c r="Z25" s="733"/>
      <c r="AA25" s="733"/>
      <c r="AB25" s="733"/>
      <c r="AC25" s="728"/>
      <c r="AD25" s="789"/>
      <c r="AE25" s="728"/>
      <c r="AF25" s="728"/>
      <c r="AG25" s="728"/>
      <c r="AH25" s="728"/>
      <c r="AI25" s="728"/>
      <c r="AJ25" s="728"/>
      <c r="AK25" s="728"/>
      <c r="AL25" s="728"/>
      <c r="AM25" s="728"/>
      <c r="AN25" s="728"/>
      <c r="AO25" s="728"/>
      <c r="AP25" s="789"/>
      <c r="AQ25" s="729"/>
      <c r="AR25" s="729"/>
      <c r="AS25" s="729"/>
      <c r="AT25" s="729"/>
      <c r="AU25" s="729"/>
      <c r="AV25" s="729"/>
      <c r="AW25" s="729"/>
      <c r="AX25" s="729"/>
      <c r="AY25" s="729"/>
    </row>
    <row r="26" spans="1:51" x14ac:dyDescent="0.2">
      <c r="A26" s="785"/>
      <c r="B26" s="739"/>
      <c r="C26" s="733"/>
      <c r="D26" s="786"/>
      <c r="E26" s="786"/>
      <c r="F26" s="787"/>
      <c r="G26" s="787"/>
      <c r="H26" s="787"/>
      <c r="I26" s="733"/>
      <c r="J26" s="733"/>
      <c r="K26" s="733"/>
      <c r="L26" s="733"/>
      <c r="M26" s="733"/>
      <c r="N26" s="790"/>
      <c r="O26" s="733"/>
      <c r="P26" s="733"/>
      <c r="Q26" s="733"/>
      <c r="R26" s="733"/>
      <c r="S26" s="733"/>
      <c r="T26" s="733"/>
      <c r="U26" s="733"/>
      <c r="V26" s="733"/>
      <c r="W26" s="733"/>
      <c r="X26" s="733"/>
      <c r="Y26" s="733"/>
      <c r="Z26" s="733"/>
      <c r="AA26" s="733"/>
      <c r="AB26" s="733"/>
      <c r="AC26" s="728"/>
      <c r="AD26" s="791"/>
      <c r="AE26" s="728"/>
      <c r="AF26" s="728"/>
      <c r="AG26" s="728"/>
      <c r="AH26" s="728"/>
      <c r="AI26" s="728"/>
      <c r="AJ26" s="728"/>
      <c r="AK26" s="728"/>
      <c r="AL26" s="728"/>
      <c r="AM26" s="728"/>
      <c r="AN26" s="728"/>
      <c r="AO26" s="728"/>
      <c r="AP26" s="791"/>
      <c r="AQ26" s="729"/>
      <c r="AR26" s="729"/>
      <c r="AS26" s="729"/>
      <c r="AT26" s="729"/>
      <c r="AU26" s="729"/>
      <c r="AV26" s="729"/>
      <c r="AW26" s="729"/>
      <c r="AX26" s="729"/>
      <c r="AY26" s="729"/>
    </row>
    <row r="27" spans="1:51" ht="15.75" x14ac:dyDescent="0.25">
      <c r="A27" s="785"/>
      <c r="B27" s="787"/>
      <c r="C27" s="733"/>
      <c r="D27" s="786"/>
      <c r="E27" s="786"/>
      <c r="F27" s="787"/>
      <c r="G27" s="787"/>
      <c r="H27" s="787"/>
      <c r="I27" s="733"/>
      <c r="J27" s="733"/>
      <c r="K27" s="733"/>
      <c r="L27" s="733"/>
      <c r="M27" s="790" t="s">
        <v>649</v>
      </c>
      <c r="N27" s="792">
        <f>ROUNDUP((C23+D23+E23+F23+G23+H23+I23+J23+K23+L23+M23+N23)/(12*1200),1)</f>
        <v>0.5</v>
      </c>
      <c r="O27" s="736"/>
      <c r="P27" s="733"/>
      <c r="Q27" s="733"/>
      <c r="R27" s="733"/>
      <c r="S27" s="733"/>
      <c r="T27" s="733"/>
      <c r="U27" s="733"/>
      <c r="V27" s="733"/>
      <c r="W27" s="733"/>
      <c r="X27" s="733"/>
      <c r="Y27" s="733"/>
      <c r="Z27" s="733"/>
      <c r="AA27" s="733"/>
      <c r="AB27" s="733"/>
      <c r="AC27" s="728"/>
      <c r="AD27" s="793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94"/>
      <c r="AQ27" s="729"/>
      <c r="AR27" s="729"/>
      <c r="AS27" s="729"/>
      <c r="AT27" s="729"/>
      <c r="AU27" s="729"/>
      <c r="AV27" s="729"/>
      <c r="AW27" s="729"/>
      <c r="AX27" s="729"/>
      <c r="AY27" s="729"/>
    </row>
    <row r="28" spans="1:51" ht="15.75" x14ac:dyDescent="0.25">
      <c r="A28" s="785"/>
      <c r="B28" s="787"/>
      <c r="C28" s="733"/>
      <c r="D28" s="786"/>
      <c r="E28" s="786"/>
      <c r="F28" s="787"/>
      <c r="G28" s="787"/>
      <c r="H28" s="787"/>
      <c r="I28" s="733"/>
      <c r="J28" s="733"/>
      <c r="K28" s="733"/>
      <c r="L28" s="733"/>
      <c r="M28" s="733"/>
      <c r="N28" s="790"/>
      <c r="O28" s="733"/>
      <c r="P28" s="733"/>
      <c r="Q28" s="733"/>
      <c r="R28" s="733"/>
      <c r="S28" s="733"/>
      <c r="T28" s="733"/>
      <c r="U28" s="733"/>
      <c r="V28" s="733"/>
      <c r="W28" s="733"/>
      <c r="X28" s="733"/>
      <c r="Y28" s="733"/>
      <c r="Z28" s="733"/>
      <c r="AA28" s="733"/>
      <c r="AB28" s="733"/>
      <c r="AC28" s="728"/>
      <c r="AD28" s="795"/>
      <c r="AE28" s="728"/>
      <c r="AF28" s="728"/>
      <c r="AG28" s="728"/>
      <c r="AH28" s="728"/>
      <c r="AI28" s="728"/>
      <c r="AJ28" s="728"/>
      <c r="AK28" s="728"/>
      <c r="AL28" s="728"/>
      <c r="AM28" s="728"/>
      <c r="AN28" s="728"/>
      <c r="AO28" s="728"/>
      <c r="AP28" s="795"/>
      <c r="AQ28" s="729"/>
      <c r="AR28" s="729"/>
      <c r="AS28" s="729"/>
      <c r="AT28" s="729"/>
      <c r="AU28" s="729"/>
      <c r="AV28" s="729"/>
      <c r="AW28" s="729"/>
      <c r="AX28" s="729"/>
      <c r="AY28" s="729"/>
    </row>
    <row r="29" spans="1:51" ht="15.75" x14ac:dyDescent="0.25">
      <c r="A29" s="785"/>
      <c r="B29" s="787"/>
      <c r="C29" s="733"/>
      <c r="D29" s="786"/>
      <c r="E29" s="786"/>
      <c r="F29" s="787"/>
      <c r="G29" s="787"/>
      <c r="H29" s="787"/>
      <c r="I29" s="733"/>
      <c r="J29" s="733"/>
      <c r="K29" s="733"/>
      <c r="L29" s="733"/>
      <c r="M29" s="733"/>
      <c r="N29" s="796" t="s">
        <v>650</v>
      </c>
      <c r="O29" s="733"/>
      <c r="P29" s="733"/>
      <c r="Q29" s="733"/>
      <c r="R29" s="733"/>
      <c r="S29" s="733"/>
      <c r="T29" s="733"/>
      <c r="U29" s="733"/>
      <c r="V29" s="733"/>
      <c r="W29" s="733"/>
      <c r="X29" s="733"/>
      <c r="Y29" s="733"/>
      <c r="Z29" s="733"/>
      <c r="AA29" s="733"/>
      <c r="AB29" s="733"/>
      <c r="AC29" s="728"/>
      <c r="AD29" s="795"/>
      <c r="AE29" s="728"/>
      <c r="AF29" s="728"/>
      <c r="AG29" s="728"/>
      <c r="AH29" s="728"/>
      <c r="AI29" s="728"/>
      <c r="AJ29" s="728"/>
      <c r="AK29" s="728"/>
      <c r="AL29" s="728"/>
      <c r="AM29" s="728"/>
      <c r="AN29" s="728"/>
      <c r="AO29" s="728"/>
      <c r="AP29" s="795"/>
      <c r="AQ29" s="729"/>
      <c r="AR29" s="729"/>
      <c r="AS29" s="729"/>
      <c r="AT29" s="729"/>
      <c r="AU29" s="729"/>
      <c r="AV29" s="729"/>
      <c r="AW29" s="729"/>
      <c r="AX29" s="729"/>
      <c r="AY29" s="729"/>
    </row>
    <row r="30" spans="1:51" ht="15.75" x14ac:dyDescent="0.25">
      <c r="A30" s="785"/>
      <c r="B30" s="787"/>
      <c r="C30" s="733"/>
      <c r="D30" s="786"/>
      <c r="E30" s="786"/>
      <c r="F30" s="787"/>
      <c r="G30" s="787"/>
      <c r="H30" s="787"/>
      <c r="I30" s="733"/>
      <c r="J30" s="733"/>
      <c r="K30" s="733"/>
      <c r="L30" s="733"/>
      <c r="M30" s="733"/>
      <c r="N30" s="790" t="s">
        <v>651</v>
      </c>
      <c r="O30" s="733"/>
      <c r="P30" s="733"/>
      <c r="Q30" s="733"/>
      <c r="R30" s="733"/>
      <c r="S30" s="733"/>
      <c r="T30" s="733"/>
      <c r="U30" s="733"/>
      <c r="V30" s="733"/>
      <c r="W30" s="733"/>
      <c r="X30" s="733"/>
      <c r="Y30" s="733"/>
      <c r="Z30" s="733"/>
      <c r="AA30" s="733"/>
      <c r="AB30" s="733"/>
      <c r="AC30" s="728"/>
      <c r="AD30" s="793"/>
      <c r="AE30" s="728"/>
      <c r="AF30" s="728"/>
      <c r="AG30" s="728"/>
      <c r="AH30" s="728"/>
      <c r="AI30" s="728"/>
      <c r="AJ30" s="728"/>
      <c r="AK30" s="728"/>
      <c r="AL30" s="728"/>
      <c r="AM30" s="728"/>
      <c r="AN30" s="728"/>
      <c r="AO30" s="728"/>
      <c r="AP30" s="794"/>
      <c r="AQ30" s="729"/>
      <c r="AR30" s="729"/>
      <c r="AS30" s="729"/>
      <c r="AT30" s="729"/>
      <c r="AU30" s="729"/>
      <c r="AV30" s="729"/>
      <c r="AW30" s="729"/>
      <c r="AX30" s="729"/>
      <c r="AY30" s="729"/>
    </row>
    <row r="31" spans="1:51" s="799" customFormat="1" x14ac:dyDescent="0.2">
      <c r="A31" s="797"/>
      <c r="B31" s="739"/>
      <c r="C31" s="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790" t="s">
        <v>652</v>
      </c>
      <c r="O31" s="739"/>
      <c r="P31" s="739"/>
      <c r="Q31" s="739"/>
      <c r="R31" s="739"/>
      <c r="S31" s="739"/>
      <c r="T31" s="739"/>
      <c r="U31" s="739"/>
      <c r="V31" s="739"/>
      <c r="W31" s="739"/>
      <c r="X31" s="739"/>
      <c r="Y31" s="739"/>
      <c r="Z31" s="739"/>
      <c r="AA31" s="739"/>
      <c r="AB31" s="739"/>
      <c r="AC31" s="798"/>
      <c r="AD31" s="798"/>
      <c r="AE31" s="798"/>
      <c r="AF31" s="798"/>
      <c r="AG31" s="798"/>
      <c r="AH31" s="798"/>
      <c r="AI31" s="798"/>
      <c r="AJ31" s="798"/>
      <c r="AK31" s="798"/>
      <c r="AL31" s="798"/>
      <c r="AM31" s="798"/>
      <c r="AN31" s="798"/>
      <c r="AO31" s="798"/>
      <c r="AP31" s="798"/>
      <c r="AQ31" s="798"/>
      <c r="AR31" s="798"/>
      <c r="AS31" s="798"/>
      <c r="AT31" s="798"/>
      <c r="AU31" s="798"/>
      <c r="AV31" s="798"/>
      <c r="AW31" s="798"/>
      <c r="AX31" s="798"/>
      <c r="AY31" s="798"/>
    </row>
    <row r="32" spans="1:51" s="799" customFormat="1" x14ac:dyDescent="0.2">
      <c r="A32" s="797"/>
      <c r="B32" s="739"/>
      <c r="C32" s="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790" t="s">
        <v>653</v>
      </c>
      <c r="O32" s="739"/>
      <c r="P32" s="739"/>
      <c r="Q32" s="739"/>
      <c r="R32" s="739"/>
      <c r="S32" s="739"/>
      <c r="T32" s="739"/>
      <c r="U32" s="739"/>
      <c r="V32" s="739"/>
      <c r="W32" s="739"/>
      <c r="X32" s="739"/>
      <c r="Y32" s="739"/>
      <c r="Z32" s="739"/>
      <c r="AA32" s="739"/>
      <c r="AB32" s="739"/>
      <c r="AC32" s="798"/>
      <c r="AD32" s="798"/>
      <c r="AE32" s="798"/>
      <c r="AF32" s="798"/>
      <c r="AG32" s="798"/>
      <c r="AH32" s="798"/>
      <c r="AI32" s="798"/>
      <c r="AJ32" s="798"/>
      <c r="AK32" s="798"/>
      <c r="AL32" s="798"/>
      <c r="AM32" s="798"/>
      <c r="AN32" s="798"/>
      <c r="AO32" s="798"/>
      <c r="AP32" s="798"/>
      <c r="AQ32" s="798"/>
      <c r="AR32" s="798"/>
      <c r="AS32" s="798"/>
      <c r="AT32" s="798"/>
      <c r="AU32" s="798"/>
      <c r="AV32" s="798"/>
      <c r="AW32" s="798"/>
      <c r="AX32" s="798"/>
      <c r="AY32" s="798"/>
    </row>
    <row r="33" spans="1:5" s="799" customFormat="1" ht="15.75" x14ac:dyDescent="0.2">
      <c r="A33" s="800"/>
      <c r="C33" s="730"/>
      <c r="D33" s="801"/>
      <c r="E33" s="801"/>
    </row>
    <row r="34" spans="1:5" s="799" customFormat="1" ht="15.75" x14ac:dyDescent="0.2">
      <c r="A34" s="800"/>
      <c r="C34" s="730"/>
      <c r="D34" s="801"/>
      <c r="E34" s="801"/>
    </row>
    <row r="35" spans="1:5" s="799" customFormat="1" ht="15.75" x14ac:dyDescent="0.2">
      <c r="A35" s="800"/>
      <c r="C35" s="730"/>
      <c r="D35" s="801"/>
      <c r="E35" s="801"/>
    </row>
    <row r="36" spans="1:5" s="799" customFormat="1" ht="15.75" x14ac:dyDescent="0.2">
      <c r="A36" s="800"/>
      <c r="C36" s="730"/>
      <c r="D36" s="801"/>
      <c r="E36" s="801"/>
    </row>
    <row r="37" spans="1:5" s="799" customFormat="1" ht="15.75" x14ac:dyDescent="0.2">
      <c r="A37" s="800"/>
      <c r="C37" s="730"/>
      <c r="D37" s="801"/>
      <c r="E37" s="801"/>
    </row>
    <row r="38" spans="1:5" s="799" customFormat="1" ht="15.75" x14ac:dyDescent="0.2">
      <c r="A38" s="800"/>
      <c r="C38" s="730"/>
      <c r="D38" s="801"/>
      <c r="E38" s="801"/>
    </row>
    <row r="39" spans="1:5" s="799" customFormat="1" ht="15.75" x14ac:dyDescent="0.2">
      <c r="A39" s="800"/>
      <c r="C39" s="730"/>
      <c r="D39" s="801"/>
      <c r="E39" s="801"/>
    </row>
    <row r="40" spans="1:5" s="799" customFormat="1" ht="15.75" x14ac:dyDescent="0.2">
      <c r="A40" s="800"/>
      <c r="C40" s="730"/>
      <c r="D40" s="801"/>
      <c r="E40" s="801"/>
    </row>
    <row r="41" spans="1:5" s="799" customFormat="1" ht="15.75" x14ac:dyDescent="0.2">
      <c r="A41" s="800"/>
      <c r="C41" s="730"/>
      <c r="D41" s="801"/>
      <c r="E41" s="801"/>
    </row>
    <row r="42" spans="1:5" s="799" customFormat="1" ht="15.75" x14ac:dyDescent="0.2">
      <c r="A42" s="800"/>
      <c r="C42" s="730"/>
      <c r="D42" s="801"/>
      <c r="E42" s="801"/>
    </row>
    <row r="43" spans="1:5" s="799" customFormat="1" ht="15.75" x14ac:dyDescent="0.2">
      <c r="A43" s="800"/>
      <c r="C43" s="730"/>
      <c r="D43" s="801"/>
      <c r="E43" s="801"/>
    </row>
    <row r="44" spans="1:5" s="799" customFormat="1" ht="15.75" x14ac:dyDescent="0.2">
      <c r="A44" s="800"/>
      <c r="C44" s="730"/>
      <c r="D44" s="801"/>
      <c r="E44" s="801"/>
    </row>
    <row r="45" spans="1:5" s="799" customFormat="1" ht="15.75" x14ac:dyDescent="0.2">
      <c r="A45" s="800"/>
      <c r="C45" s="730"/>
      <c r="D45" s="801"/>
      <c r="E45" s="801"/>
    </row>
    <row r="46" spans="1:5" s="799" customFormat="1" ht="15.75" x14ac:dyDescent="0.2">
      <c r="A46" s="800"/>
      <c r="C46" s="730"/>
      <c r="D46" s="801"/>
      <c r="E46" s="801"/>
    </row>
    <row r="47" spans="1:5" s="799" customFormat="1" ht="15.75" x14ac:dyDescent="0.2">
      <c r="A47" s="800"/>
      <c r="C47" s="730"/>
      <c r="D47" s="801"/>
      <c r="E47" s="801"/>
    </row>
    <row r="48" spans="1:5" s="799" customFormat="1" ht="15.75" x14ac:dyDescent="0.2">
      <c r="A48" s="800"/>
      <c r="C48" s="730"/>
      <c r="D48" s="801"/>
      <c r="E48" s="801"/>
    </row>
    <row r="49" spans="1:5" s="799" customFormat="1" ht="15.75" x14ac:dyDescent="0.2">
      <c r="A49" s="800"/>
      <c r="C49" s="730"/>
      <c r="D49" s="801"/>
      <c r="E49" s="801"/>
    </row>
    <row r="50" spans="1:5" s="799" customFormat="1" ht="15.75" x14ac:dyDescent="0.2">
      <c r="A50" s="800"/>
      <c r="C50" s="730"/>
      <c r="D50" s="801"/>
      <c r="E50" s="801"/>
    </row>
    <row r="51" spans="1:5" s="799" customFormat="1" ht="15.75" x14ac:dyDescent="0.2">
      <c r="A51" s="800"/>
      <c r="C51" s="730"/>
      <c r="D51" s="801"/>
      <c r="E51" s="801"/>
    </row>
    <row r="52" spans="1:5" s="799" customFormat="1" ht="15.75" x14ac:dyDescent="0.2">
      <c r="A52" s="800"/>
      <c r="C52" s="730"/>
      <c r="D52" s="801"/>
      <c r="E52" s="801"/>
    </row>
    <row r="53" spans="1:5" s="799" customFormat="1" ht="15.75" x14ac:dyDescent="0.2">
      <c r="A53" s="800"/>
      <c r="C53" s="730"/>
      <c r="D53" s="801"/>
      <c r="E53" s="801"/>
    </row>
    <row r="54" spans="1:5" s="799" customFormat="1" ht="15.75" x14ac:dyDescent="0.2">
      <c r="A54" s="800"/>
      <c r="C54" s="730"/>
      <c r="D54" s="801"/>
      <c r="E54" s="801"/>
    </row>
    <row r="55" spans="1:5" s="799" customFormat="1" ht="15.75" x14ac:dyDescent="0.2">
      <c r="A55" s="800"/>
      <c r="C55" s="730"/>
      <c r="D55" s="801"/>
      <c r="E55" s="801"/>
    </row>
    <row r="56" spans="1:5" s="799" customFormat="1" ht="15.75" x14ac:dyDescent="0.2">
      <c r="A56" s="800"/>
      <c r="C56" s="730"/>
      <c r="D56" s="801"/>
      <c r="E56" s="801"/>
    </row>
    <row r="57" spans="1:5" s="799" customFormat="1" ht="15.75" x14ac:dyDescent="0.2">
      <c r="A57" s="800"/>
      <c r="C57" s="730"/>
      <c r="D57" s="801"/>
      <c r="E57" s="801"/>
    </row>
    <row r="58" spans="1:5" s="799" customFormat="1" ht="15.75" x14ac:dyDescent="0.2">
      <c r="A58" s="800"/>
      <c r="C58" s="730"/>
      <c r="D58" s="801"/>
      <c r="E58" s="801"/>
    </row>
    <row r="59" spans="1:5" s="799" customFormat="1" ht="15.75" x14ac:dyDescent="0.2">
      <c r="A59" s="800"/>
      <c r="C59" s="730"/>
      <c r="D59" s="801"/>
      <c r="E59" s="801"/>
    </row>
    <row r="60" spans="1:5" s="799" customFormat="1" ht="15.75" x14ac:dyDescent="0.2">
      <c r="A60" s="800"/>
      <c r="C60" s="730"/>
      <c r="D60" s="801"/>
      <c r="E60" s="801"/>
    </row>
    <row r="61" spans="1:5" s="799" customFormat="1" ht="15.75" x14ac:dyDescent="0.2">
      <c r="A61" s="800"/>
      <c r="C61" s="730"/>
      <c r="D61" s="801"/>
      <c r="E61" s="801"/>
    </row>
    <row r="62" spans="1:5" s="799" customFormat="1" ht="15.75" x14ac:dyDescent="0.2">
      <c r="A62" s="800"/>
      <c r="C62" s="730"/>
      <c r="D62" s="801"/>
      <c r="E62" s="801"/>
    </row>
    <row r="63" spans="1:5" s="799" customFormat="1" ht="15.75" x14ac:dyDescent="0.2">
      <c r="A63" s="800"/>
      <c r="C63" s="730"/>
      <c r="D63" s="801"/>
      <c r="E63" s="801"/>
    </row>
    <row r="64" spans="1:5" s="799" customFormat="1" ht="15.75" x14ac:dyDescent="0.2">
      <c r="A64" s="800"/>
      <c r="C64" s="730"/>
      <c r="D64" s="801"/>
      <c r="E64" s="801"/>
    </row>
    <row r="65" spans="1:5" s="799" customFormat="1" ht="15.75" x14ac:dyDescent="0.2">
      <c r="A65" s="800"/>
      <c r="C65" s="730"/>
      <c r="D65" s="801"/>
      <c r="E65" s="801"/>
    </row>
    <row r="66" spans="1:5" s="799" customFormat="1" ht="15.75" x14ac:dyDescent="0.2">
      <c r="A66" s="800"/>
      <c r="C66" s="730"/>
      <c r="D66" s="801"/>
      <c r="E66" s="801"/>
    </row>
    <row r="67" spans="1:5" s="799" customFormat="1" ht="15.75" x14ac:dyDescent="0.2">
      <c r="A67" s="800"/>
      <c r="C67" s="730"/>
      <c r="D67" s="801"/>
      <c r="E67" s="801"/>
    </row>
    <row r="68" spans="1:5" s="799" customFormat="1" ht="15.75" x14ac:dyDescent="0.2">
      <c r="A68" s="800"/>
      <c r="C68" s="730"/>
      <c r="D68" s="801"/>
      <c r="E68" s="801"/>
    </row>
    <row r="69" spans="1:5" s="799" customFormat="1" ht="15.75" x14ac:dyDescent="0.2">
      <c r="A69" s="800"/>
      <c r="C69" s="730"/>
      <c r="D69" s="801"/>
      <c r="E69" s="801"/>
    </row>
    <row r="70" spans="1:5" s="799" customFormat="1" ht="15.75" x14ac:dyDescent="0.2">
      <c r="A70" s="800"/>
      <c r="C70" s="730"/>
      <c r="D70" s="801"/>
      <c r="E70" s="801"/>
    </row>
    <row r="71" spans="1:5" s="799" customFormat="1" ht="15.75" x14ac:dyDescent="0.2">
      <c r="A71" s="800"/>
      <c r="C71" s="730"/>
      <c r="D71" s="801"/>
      <c r="E71" s="801"/>
    </row>
    <row r="72" spans="1:5" s="799" customFormat="1" ht="15.75" x14ac:dyDescent="0.2">
      <c r="A72" s="800"/>
      <c r="C72" s="730"/>
      <c r="D72" s="801"/>
      <c r="E72" s="801"/>
    </row>
    <row r="73" spans="1:5" s="799" customFormat="1" ht="15.75" x14ac:dyDescent="0.2">
      <c r="A73" s="800"/>
      <c r="C73" s="730"/>
      <c r="D73" s="801"/>
      <c r="E73" s="801"/>
    </row>
    <row r="74" spans="1:5" s="799" customFormat="1" ht="15.75" x14ac:dyDescent="0.2">
      <c r="A74" s="800"/>
      <c r="C74" s="730"/>
      <c r="D74" s="801"/>
      <c r="E74" s="801"/>
    </row>
    <row r="75" spans="1:5" s="799" customFormat="1" ht="15.75" x14ac:dyDescent="0.2">
      <c r="A75" s="800"/>
      <c r="C75" s="730"/>
      <c r="D75" s="801"/>
      <c r="E75" s="801"/>
    </row>
    <row r="76" spans="1:5" s="799" customFormat="1" ht="15.75" x14ac:dyDescent="0.2">
      <c r="A76" s="800"/>
      <c r="C76" s="730"/>
      <c r="D76" s="801"/>
      <c r="E76" s="801"/>
    </row>
    <row r="77" spans="1:5" s="799" customFormat="1" ht="15.75" x14ac:dyDescent="0.2">
      <c r="A77" s="800"/>
      <c r="C77" s="730"/>
      <c r="D77" s="801"/>
      <c r="E77" s="801"/>
    </row>
    <row r="78" spans="1:5" s="799" customFormat="1" ht="15.75" x14ac:dyDescent="0.2">
      <c r="A78" s="800"/>
      <c r="C78" s="730"/>
      <c r="D78" s="801"/>
      <c r="E78" s="801"/>
    </row>
    <row r="79" spans="1:5" s="799" customFormat="1" ht="15.75" x14ac:dyDescent="0.2">
      <c r="A79" s="800"/>
      <c r="C79" s="730"/>
      <c r="D79" s="801"/>
      <c r="E79" s="801"/>
    </row>
    <row r="80" spans="1:5" s="799" customFormat="1" ht="15.75" x14ac:dyDescent="0.2">
      <c r="A80" s="800"/>
      <c r="C80" s="730"/>
      <c r="D80" s="801"/>
      <c r="E80" s="801"/>
    </row>
    <row r="81" spans="1:5" s="799" customFormat="1" ht="15.75" x14ac:dyDescent="0.2">
      <c r="A81" s="800"/>
      <c r="C81" s="730"/>
      <c r="D81" s="801"/>
      <c r="E81" s="801"/>
    </row>
    <row r="82" spans="1:5" s="799" customFormat="1" ht="15.75" x14ac:dyDescent="0.2">
      <c r="A82" s="800"/>
      <c r="C82" s="730"/>
      <c r="D82" s="801"/>
      <c r="E82" s="801"/>
    </row>
    <row r="83" spans="1:5" s="799" customFormat="1" ht="15.75" x14ac:dyDescent="0.2">
      <c r="A83" s="800"/>
      <c r="C83" s="730"/>
      <c r="D83" s="801"/>
      <c r="E83" s="801"/>
    </row>
    <row r="84" spans="1:5" s="799" customFormat="1" ht="15.75" x14ac:dyDescent="0.2">
      <c r="A84" s="800"/>
      <c r="C84" s="730"/>
      <c r="D84" s="801"/>
      <c r="E84" s="801"/>
    </row>
    <row r="85" spans="1:5" s="799" customFormat="1" ht="15.75" x14ac:dyDescent="0.2">
      <c r="A85" s="800"/>
      <c r="C85" s="730"/>
      <c r="D85" s="801"/>
      <c r="E85" s="801"/>
    </row>
    <row r="86" spans="1:5" s="799" customFormat="1" ht="15.75" x14ac:dyDescent="0.2">
      <c r="A86" s="800"/>
      <c r="C86" s="730"/>
      <c r="D86" s="801"/>
      <c r="E86" s="801"/>
    </row>
    <row r="87" spans="1:5" s="799" customFormat="1" ht="15.75" x14ac:dyDescent="0.2">
      <c r="A87" s="800"/>
      <c r="C87" s="730"/>
      <c r="D87" s="801"/>
      <c r="E87" s="801"/>
    </row>
    <row r="88" spans="1:5" s="799" customFormat="1" ht="15.75" x14ac:dyDescent="0.2">
      <c r="A88" s="800"/>
      <c r="C88" s="730"/>
      <c r="D88" s="801"/>
      <c r="E88" s="801"/>
    </row>
    <row r="89" spans="1:5" s="799" customFormat="1" ht="15.75" x14ac:dyDescent="0.2">
      <c r="A89" s="800"/>
      <c r="C89" s="730"/>
      <c r="D89" s="801"/>
      <c r="E89" s="801"/>
    </row>
    <row r="90" spans="1:5" s="799" customFormat="1" ht="15.75" x14ac:dyDescent="0.2">
      <c r="A90" s="800"/>
      <c r="C90" s="730"/>
      <c r="D90" s="801"/>
      <c r="E90" s="801"/>
    </row>
    <row r="91" spans="1:5" s="799" customFormat="1" ht="15.75" x14ac:dyDescent="0.2">
      <c r="A91" s="800"/>
      <c r="C91" s="730"/>
      <c r="D91" s="801"/>
      <c r="E91" s="801"/>
    </row>
    <row r="92" spans="1:5" s="799" customFormat="1" ht="15.75" x14ac:dyDescent="0.2">
      <c r="A92" s="800"/>
      <c r="C92" s="730"/>
      <c r="D92" s="801"/>
      <c r="E92" s="801"/>
    </row>
    <row r="93" spans="1:5" s="799" customFormat="1" ht="15.75" x14ac:dyDescent="0.2">
      <c r="A93" s="800"/>
      <c r="C93" s="730"/>
      <c r="D93" s="801"/>
      <c r="E93" s="801"/>
    </row>
    <row r="94" spans="1:5" s="799" customFormat="1" ht="15.75" x14ac:dyDescent="0.2">
      <c r="A94" s="800"/>
      <c r="C94" s="730"/>
      <c r="D94" s="801"/>
      <c r="E94" s="801"/>
    </row>
    <row r="95" spans="1:5" s="799" customFormat="1" ht="15.75" x14ac:dyDescent="0.2">
      <c r="A95" s="800"/>
      <c r="C95" s="730"/>
      <c r="D95" s="801"/>
      <c r="E95" s="801"/>
    </row>
    <row r="96" spans="1:5" s="799" customFormat="1" ht="15.75" x14ac:dyDescent="0.2">
      <c r="A96" s="800"/>
      <c r="C96" s="730"/>
      <c r="D96" s="801"/>
      <c r="E96" s="801"/>
    </row>
    <row r="97" spans="1:5" s="799" customFormat="1" ht="15.75" x14ac:dyDescent="0.2">
      <c r="A97" s="800"/>
      <c r="C97" s="730"/>
      <c r="D97" s="801"/>
      <c r="E97" s="801"/>
    </row>
    <row r="98" spans="1:5" s="799" customFormat="1" ht="15.75" x14ac:dyDescent="0.2">
      <c r="A98" s="800"/>
      <c r="C98" s="730"/>
      <c r="D98" s="801"/>
      <c r="E98" s="801"/>
    </row>
    <row r="99" spans="1:5" s="799" customFormat="1" ht="15.75" x14ac:dyDescent="0.2">
      <c r="A99" s="800"/>
      <c r="C99" s="730"/>
      <c r="D99" s="801"/>
      <c r="E99" s="801"/>
    </row>
    <row r="100" spans="1:5" s="799" customFormat="1" ht="15.75" x14ac:dyDescent="0.2">
      <c r="A100" s="800"/>
      <c r="C100" s="730"/>
      <c r="D100" s="801"/>
      <c r="E100" s="801"/>
    </row>
    <row r="101" spans="1:5" s="799" customFormat="1" ht="15.75" x14ac:dyDescent="0.2">
      <c r="A101" s="800"/>
      <c r="C101" s="730"/>
      <c r="D101" s="801"/>
      <c r="E101" s="801"/>
    </row>
    <row r="102" spans="1:5" s="799" customFormat="1" ht="15.75" x14ac:dyDescent="0.2">
      <c r="A102" s="800"/>
      <c r="C102" s="730"/>
      <c r="D102" s="801"/>
      <c r="E102" s="801"/>
    </row>
    <row r="103" spans="1:5" s="799" customFormat="1" ht="15.75" x14ac:dyDescent="0.2">
      <c r="A103" s="800"/>
      <c r="C103" s="730"/>
      <c r="D103" s="801"/>
      <c r="E103" s="801"/>
    </row>
    <row r="104" spans="1:5" s="799" customFormat="1" ht="15.75" x14ac:dyDescent="0.2">
      <c r="A104" s="800"/>
      <c r="C104" s="730"/>
      <c r="D104" s="801"/>
      <c r="E104" s="801"/>
    </row>
    <row r="105" spans="1:5" s="799" customFormat="1" ht="15.75" x14ac:dyDescent="0.2">
      <c r="A105" s="800"/>
      <c r="C105" s="730"/>
      <c r="D105" s="801"/>
      <c r="E105" s="801"/>
    </row>
    <row r="106" spans="1:5" s="799" customFormat="1" ht="15.75" x14ac:dyDescent="0.2">
      <c r="A106" s="800"/>
      <c r="C106" s="730"/>
      <c r="D106" s="801"/>
      <c r="E106" s="801"/>
    </row>
    <row r="107" spans="1:5" s="799" customFormat="1" ht="15.75" x14ac:dyDescent="0.2">
      <c r="A107" s="800"/>
      <c r="C107" s="730"/>
      <c r="D107" s="801"/>
      <c r="E107" s="801"/>
    </row>
    <row r="108" spans="1:5" s="799" customFormat="1" ht="15.75" x14ac:dyDescent="0.2">
      <c r="A108" s="800"/>
      <c r="C108" s="730"/>
      <c r="D108" s="801"/>
      <c r="E108" s="801"/>
    </row>
    <row r="109" spans="1:5" s="799" customFormat="1" ht="15.75" x14ac:dyDescent="0.2">
      <c r="A109" s="800"/>
      <c r="C109" s="730"/>
      <c r="D109" s="801"/>
      <c r="E109" s="801"/>
    </row>
    <row r="110" spans="1:5" s="799" customFormat="1" ht="15.75" x14ac:dyDescent="0.2">
      <c r="A110" s="800"/>
      <c r="C110" s="730"/>
      <c r="D110" s="801"/>
      <c r="E110" s="801"/>
    </row>
    <row r="111" spans="1:5" s="799" customFormat="1" ht="15.75" x14ac:dyDescent="0.2">
      <c r="A111" s="800"/>
      <c r="C111" s="730"/>
      <c r="D111" s="801"/>
      <c r="E111" s="801"/>
    </row>
    <row r="112" spans="1:5" s="799" customFormat="1" ht="15.75" x14ac:dyDescent="0.2">
      <c r="A112" s="800"/>
      <c r="C112" s="730"/>
      <c r="D112" s="801"/>
      <c r="E112" s="801"/>
    </row>
    <row r="113" spans="1:5" s="799" customFormat="1" ht="15.75" x14ac:dyDescent="0.2">
      <c r="A113" s="800"/>
      <c r="C113" s="730"/>
      <c r="D113" s="801"/>
      <c r="E113" s="801"/>
    </row>
    <row r="114" spans="1:5" s="799" customFormat="1" ht="15.75" x14ac:dyDescent="0.2">
      <c r="A114" s="800"/>
      <c r="C114" s="730"/>
      <c r="D114" s="801"/>
      <c r="E114" s="801"/>
    </row>
    <row r="115" spans="1:5" s="799" customFormat="1" ht="15.75" x14ac:dyDescent="0.2">
      <c r="A115" s="800"/>
      <c r="C115" s="730"/>
      <c r="D115" s="801"/>
      <c r="E115" s="801"/>
    </row>
    <row r="116" spans="1:5" s="799" customFormat="1" ht="15.75" x14ac:dyDescent="0.2">
      <c r="A116" s="800"/>
      <c r="C116" s="730"/>
      <c r="D116" s="801"/>
      <c r="E116" s="801"/>
    </row>
    <row r="117" spans="1:5" s="799" customFormat="1" ht="15.75" x14ac:dyDescent="0.2">
      <c r="A117" s="800"/>
      <c r="C117" s="730"/>
      <c r="D117" s="801"/>
      <c r="E117" s="801"/>
    </row>
    <row r="118" spans="1:5" s="799" customFormat="1" ht="15.75" x14ac:dyDescent="0.2">
      <c r="A118" s="800"/>
      <c r="C118" s="730"/>
      <c r="D118" s="801"/>
      <c r="E118" s="801"/>
    </row>
    <row r="119" spans="1:5" s="799" customFormat="1" ht="15.75" x14ac:dyDescent="0.2">
      <c r="A119" s="800"/>
      <c r="C119" s="730"/>
      <c r="D119" s="801"/>
      <c r="E119" s="801"/>
    </row>
    <row r="120" spans="1:5" s="799" customFormat="1" ht="15.75" x14ac:dyDescent="0.2">
      <c r="A120" s="800"/>
      <c r="C120" s="730"/>
      <c r="D120" s="801"/>
      <c r="E120" s="801"/>
    </row>
    <row r="121" spans="1:5" s="799" customFormat="1" ht="15.75" x14ac:dyDescent="0.2">
      <c r="A121" s="800"/>
      <c r="C121" s="730"/>
      <c r="D121" s="801"/>
      <c r="E121" s="801"/>
    </row>
    <row r="122" spans="1:5" s="799" customFormat="1" ht="15.75" x14ac:dyDescent="0.2">
      <c r="A122" s="800"/>
      <c r="C122" s="730"/>
      <c r="D122" s="801"/>
      <c r="E122" s="801"/>
    </row>
    <row r="123" spans="1:5" s="799" customFormat="1" ht="15.75" x14ac:dyDescent="0.2">
      <c r="A123" s="800"/>
      <c r="C123" s="730"/>
      <c r="D123" s="801"/>
      <c r="E123" s="801"/>
    </row>
    <row r="124" spans="1:5" s="799" customFormat="1" ht="15.75" x14ac:dyDescent="0.2">
      <c r="A124" s="800"/>
      <c r="C124" s="730"/>
      <c r="D124" s="801"/>
      <c r="E124" s="801"/>
    </row>
    <row r="125" spans="1:5" s="799" customFormat="1" ht="15.75" x14ac:dyDescent="0.2">
      <c r="A125" s="800"/>
      <c r="C125" s="730"/>
      <c r="D125" s="801"/>
      <c r="E125" s="801"/>
    </row>
    <row r="126" spans="1:5" s="799" customFormat="1" ht="15.75" x14ac:dyDescent="0.2">
      <c r="A126" s="800"/>
      <c r="C126" s="730"/>
      <c r="D126" s="801"/>
      <c r="E126" s="801"/>
    </row>
    <row r="127" spans="1:5" s="799" customFormat="1" ht="15.75" x14ac:dyDescent="0.2">
      <c r="A127" s="800"/>
      <c r="C127" s="730"/>
      <c r="D127" s="801"/>
      <c r="E127" s="801"/>
    </row>
    <row r="128" spans="1:5" s="799" customFormat="1" ht="15.75" x14ac:dyDescent="0.2">
      <c r="A128" s="800"/>
      <c r="C128" s="730"/>
      <c r="D128" s="801"/>
      <c r="E128" s="801"/>
    </row>
    <row r="129" spans="1:5" s="799" customFormat="1" ht="15.75" x14ac:dyDescent="0.2">
      <c r="A129" s="800"/>
      <c r="C129" s="730"/>
      <c r="D129" s="801"/>
      <c r="E129" s="801"/>
    </row>
    <row r="130" spans="1:5" s="799" customFormat="1" ht="15.75" x14ac:dyDescent="0.2">
      <c r="A130" s="800"/>
      <c r="C130" s="730"/>
      <c r="D130" s="801"/>
      <c r="E130" s="801"/>
    </row>
    <row r="131" spans="1:5" s="799" customFormat="1" ht="15.75" x14ac:dyDescent="0.2">
      <c r="A131" s="800"/>
      <c r="C131" s="730"/>
      <c r="D131" s="801"/>
      <c r="E131" s="801"/>
    </row>
    <row r="132" spans="1:5" s="799" customFormat="1" ht="15.75" x14ac:dyDescent="0.2">
      <c r="A132" s="800"/>
      <c r="C132" s="730"/>
      <c r="D132" s="801"/>
      <c r="E132" s="801"/>
    </row>
    <row r="133" spans="1:5" s="799" customFormat="1" ht="15.75" x14ac:dyDescent="0.2">
      <c r="A133" s="800"/>
      <c r="C133" s="730"/>
      <c r="D133" s="801"/>
      <c r="E133" s="801"/>
    </row>
    <row r="134" spans="1:5" s="799" customFormat="1" ht="15.75" x14ac:dyDescent="0.2">
      <c r="A134" s="800"/>
      <c r="C134" s="730"/>
      <c r="D134" s="801"/>
      <c r="E134" s="801"/>
    </row>
    <row r="135" spans="1:5" s="799" customFormat="1" ht="15.75" x14ac:dyDescent="0.2">
      <c r="A135" s="800"/>
      <c r="C135" s="730"/>
      <c r="D135" s="801"/>
      <c r="E135" s="801"/>
    </row>
    <row r="136" spans="1:5" s="799" customFormat="1" ht="15.75" x14ac:dyDescent="0.2">
      <c r="A136" s="800"/>
      <c r="C136" s="730"/>
      <c r="D136" s="801"/>
      <c r="E136" s="801"/>
    </row>
    <row r="137" spans="1:5" s="799" customFormat="1" ht="15.75" x14ac:dyDescent="0.2">
      <c r="A137" s="800"/>
      <c r="C137" s="730"/>
      <c r="D137" s="801"/>
      <c r="E137" s="801"/>
    </row>
    <row r="138" spans="1:5" s="799" customFormat="1" ht="15.75" x14ac:dyDescent="0.2">
      <c r="A138" s="800"/>
      <c r="C138" s="730"/>
      <c r="D138" s="801"/>
      <c r="E138" s="801"/>
    </row>
    <row r="139" spans="1:5" s="799" customFormat="1" ht="15.75" x14ac:dyDescent="0.2">
      <c r="A139" s="800"/>
      <c r="C139" s="730"/>
      <c r="D139" s="801"/>
      <c r="E139" s="801"/>
    </row>
    <row r="140" spans="1:5" s="799" customFormat="1" ht="15.75" x14ac:dyDescent="0.2">
      <c r="A140" s="800"/>
      <c r="C140" s="730"/>
      <c r="D140" s="801"/>
      <c r="E140" s="801"/>
    </row>
    <row r="141" spans="1:5" s="799" customFormat="1" ht="15.75" x14ac:dyDescent="0.2">
      <c r="A141" s="800"/>
      <c r="C141" s="730"/>
      <c r="D141" s="801"/>
      <c r="E141" s="801"/>
    </row>
    <row r="142" spans="1:5" s="799" customFormat="1" ht="15.75" x14ac:dyDescent="0.2">
      <c r="A142" s="800"/>
      <c r="C142" s="730"/>
      <c r="D142" s="801"/>
      <c r="E142" s="801"/>
    </row>
    <row r="143" spans="1:5" s="799" customFormat="1" ht="15.75" x14ac:dyDescent="0.2">
      <c r="A143" s="800"/>
      <c r="C143" s="730"/>
      <c r="D143" s="801"/>
      <c r="E143" s="801"/>
    </row>
    <row r="144" spans="1:5" s="799" customFormat="1" ht="15.75" x14ac:dyDescent="0.2">
      <c r="A144" s="800"/>
      <c r="C144" s="730"/>
      <c r="D144" s="801"/>
      <c r="E144" s="801"/>
    </row>
    <row r="145" spans="1:5" s="799" customFormat="1" ht="15.75" x14ac:dyDescent="0.2">
      <c r="A145" s="800"/>
      <c r="C145" s="730"/>
      <c r="D145" s="801"/>
      <c r="E145" s="801"/>
    </row>
    <row r="146" spans="1:5" s="799" customFormat="1" ht="15.75" x14ac:dyDescent="0.2">
      <c r="A146" s="800"/>
      <c r="C146" s="730"/>
      <c r="D146" s="801"/>
      <c r="E146" s="801"/>
    </row>
    <row r="147" spans="1:5" s="799" customFormat="1" ht="15.75" x14ac:dyDescent="0.2">
      <c r="A147" s="800"/>
      <c r="C147" s="730"/>
      <c r="D147" s="801"/>
      <c r="E147" s="801"/>
    </row>
    <row r="148" spans="1:5" s="799" customFormat="1" ht="15.75" x14ac:dyDescent="0.2">
      <c r="A148" s="800"/>
      <c r="C148" s="730"/>
      <c r="D148" s="801"/>
      <c r="E148" s="801"/>
    </row>
    <row r="149" spans="1:5" s="799" customFormat="1" ht="15.75" x14ac:dyDescent="0.2">
      <c r="A149" s="800"/>
      <c r="C149" s="730"/>
      <c r="D149" s="801"/>
      <c r="E149" s="801"/>
    </row>
    <row r="150" spans="1:5" s="799" customFormat="1" ht="15.75" x14ac:dyDescent="0.2">
      <c r="A150" s="800"/>
      <c r="C150" s="730"/>
      <c r="D150" s="801"/>
      <c r="E150" s="801"/>
    </row>
    <row r="151" spans="1:5" s="799" customFormat="1" ht="15.75" x14ac:dyDescent="0.2">
      <c r="A151" s="800"/>
      <c r="C151" s="730"/>
      <c r="D151" s="801"/>
      <c r="E151" s="801"/>
    </row>
    <row r="152" spans="1:5" s="799" customFormat="1" ht="15.75" x14ac:dyDescent="0.2">
      <c r="A152" s="800"/>
      <c r="C152" s="730"/>
      <c r="D152" s="801"/>
      <c r="E152" s="801"/>
    </row>
    <row r="153" spans="1:5" s="799" customFormat="1" ht="15.75" x14ac:dyDescent="0.2">
      <c r="A153" s="800"/>
      <c r="C153" s="730"/>
      <c r="D153" s="801"/>
      <c r="E153" s="801"/>
    </row>
    <row r="154" spans="1:5" s="799" customFormat="1" ht="15.75" x14ac:dyDescent="0.2">
      <c r="A154" s="800"/>
      <c r="C154" s="730"/>
      <c r="D154" s="801"/>
      <c r="E154" s="801"/>
    </row>
    <row r="155" spans="1:5" s="799" customFormat="1" ht="15.75" x14ac:dyDescent="0.2">
      <c r="A155" s="800"/>
      <c r="C155" s="730"/>
      <c r="D155" s="801"/>
      <c r="E155" s="801"/>
    </row>
    <row r="156" spans="1:5" s="799" customFormat="1" ht="15.75" x14ac:dyDescent="0.2">
      <c r="A156" s="800"/>
      <c r="C156" s="730"/>
      <c r="D156" s="801"/>
      <c r="E156" s="801"/>
    </row>
    <row r="157" spans="1:5" s="799" customFormat="1" ht="15.75" x14ac:dyDescent="0.2">
      <c r="A157" s="800"/>
      <c r="C157" s="730"/>
      <c r="D157" s="801"/>
      <c r="E157" s="801"/>
    </row>
    <row r="158" spans="1:5" s="799" customFormat="1" ht="15.75" x14ac:dyDescent="0.2">
      <c r="A158" s="800"/>
      <c r="C158" s="730"/>
      <c r="D158" s="801"/>
      <c r="E158" s="801"/>
    </row>
    <row r="159" spans="1:5" s="799" customFormat="1" ht="15.75" x14ac:dyDescent="0.2">
      <c r="A159" s="800"/>
      <c r="C159" s="730"/>
      <c r="D159" s="801"/>
      <c r="E159" s="801"/>
    </row>
    <row r="160" spans="1:5" s="799" customFormat="1" ht="15.75" x14ac:dyDescent="0.2">
      <c r="A160" s="800"/>
      <c r="C160" s="730"/>
      <c r="D160" s="801"/>
      <c r="E160" s="801"/>
    </row>
    <row r="161" spans="1:5" s="799" customFormat="1" ht="15.75" x14ac:dyDescent="0.2">
      <c r="A161" s="800"/>
      <c r="C161" s="730"/>
      <c r="D161" s="801"/>
      <c r="E161" s="801"/>
    </row>
    <row r="162" spans="1:5" s="799" customFormat="1" ht="15.75" x14ac:dyDescent="0.2">
      <c r="A162" s="800"/>
      <c r="C162" s="730"/>
      <c r="D162" s="801"/>
      <c r="E162" s="801"/>
    </row>
    <row r="163" spans="1:5" s="799" customFormat="1" ht="15.75" x14ac:dyDescent="0.2">
      <c r="A163" s="800"/>
      <c r="C163" s="730"/>
      <c r="D163" s="801"/>
      <c r="E163" s="801"/>
    </row>
    <row r="164" spans="1:5" s="799" customFormat="1" ht="15.75" x14ac:dyDescent="0.2">
      <c r="A164" s="800"/>
      <c r="C164" s="730"/>
      <c r="D164" s="801"/>
      <c r="E164" s="801"/>
    </row>
    <row r="165" spans="1:5" s="799" customFormat="1" ht="15.75" x14ac:dyDescent="0.2">
      <c r="A165" s="800"/>
      <c r="C165" s="730"/>
      <c r="D165" s="801"/>
      <c r="E165" s="801"/>
    </row>
    <row r="166" spans="1:5" s="799" customFormat="1" ht="15.75" x14ac:dyDescent="0.2">
      <c r="A166" s="800"/>
      <c r="C166" s="730"/>
      <c r="D166" s="801"/>
      <c r="E166" s="801"/>
    </row>
    <row r="167" spans="1:5" s="799" customFormat="1" ht="15.75" x14ac:dyDescent="0.2">
      <c r="A167" s="800"/>
      <c r="C167" s="730"/>
      <c r="D167" s="801"/>
      <c r="E167" s="801"/>
    </row>
    <row r="168" spans="1:5" s="799" customFormat="1" ht="15.75" x14ac:dyDescent="0.2">
      <c r="A168" s="800"/>
      <c r="C168" s="730"/>
      <c r="D168" s="801"/>
      <c r="E168" s="801"/>
    </row>
    <row r="169" spans="1:5" s="799" customFormat="1" ht="15.75" x14ac:dyDescent="0.2">
      <c r="A169" s="800"/>
      <c r="C169" s="730"/>
      <c r="D169" s="801"/>
      <c r="E169" s="801"/>
    </row>
    <row r="170" spans="1:5" s="799" customFormat="1" ht="15.75" x14ac:dyDescent="0.2">
      <c r="A170" s="800"/>
      <c r="C170" s="730"/>
      <c r="D170" s="801"/>
      <c r="E170" s="801"/>
    </row>
    <row r="171" spans="1:5" s="799" customFormat="1" ht="15.75" x14ac:dyDescent="0.2">
      <c r="A171" s="800"/>
      <c r="C171" s="730"/>
      <c r="D171" s="801"/>
      <c r="E171" s="801"/>
    </row>
    <row r="172" spans="1:5" s="799" customFormat="1" ht="15.75" x14ac:dyDescent="0.2">
      <c r="A172" s="800"/>
      <c r="C172" s="730"/>
      <c r="D172" s="801"/>
      <c r="E172" s="801"/>
    </row>
    <row r="173" spans="1:5" s="799" customFormat="1" ht="15.75" x14ac:dyDescent="0.2">
      <c r="A173" s="800"/>
      <c r="C173" s="730"/>
      <c r="D173" s="801"/>
      <c r="E173" s="801"/>
    </row>
    <row r="174" spans="1:5" s="799" customFormat="1" ht="15.75" x14ac:dyDescent="0.2">
      <c r="A174" s="800"/>
      <c r="C174" s="730"/>
      <c r="D174" s="801"/>
      <c r="E174" s="801"/>
    </row>
    <row r="175" spans="1:5" s="799" customFormat="1" ht="15.75" x14ac:dyDescent="0.2">
      <c r="A175" s="800"/>
      <c r="C175" s="730"/>
      <c r="D175" s="801"/>
      <c r="E175" s="801"/>
    </row>
    <row r="176" spans="1:5" s="799" customFormat="1" ht="15.75" x14ac:dyDescent="0.2">
      <c r="A176" s="800"/>
      <c r="C176" s="730"/>
      <c r="D176" s="801"/>
      <c r="E176" s="801"/>
    </row>
    <row r="177" spans="1:5" s="799" customFormat="1" ht="15.75" x14ac:dyDescent="0.2">
      <c r="A177" s="800"/>
      <c r="C177" s="730"/>
      <c r="D177" s="801"/>
      <c r="E177" s="801"/>
    </row>
    <row r="178" spans="1:5" s="799" customFormat="1" ht="15.75" x14ac:dyDescent="0.2">
      <c r="A178" s="800"/>
      <c r="C178" s="730"/>
      <c r="D178" s="801"/>
      <c r="E178" s="801"/>
    </row>
    <row r="179" spans="1:5" s="799" customFormat="1" ht="15.75" x14ac:dyDescent="0.2">
      <c r="A179" s="800"/>
      <c r="C179" s="730"/>
      <c r="D179" s="801"/>
      <c r="E179" s="801"/>
    </row>
    <row r="180" spans="1:5" s="799" customFormat="1" ht="15.75" x14ac:dyDescent="0.2">
      <c r="A180" s="800"/>
      <c r="C180" s="730"/>
      <c r="D180" s="801"/>
      <c r="E180" s="801"/>
    </row>
    <row r="181" spans="1:5" s="799" customFormat="1" ht="15.75" x14ac:dyDescent="0.2">
      <c r="A181" s="800"/>
      <c r="C181" s="730"/>
      <c r="D181" s="801"/>
      <c r="E181" s="801"/>
    </row>
    <row r="182" spans="1:5" s="799" customFormat="1" ht="15.75" x14ac:dyDescent="0.2">
      <c r="A182" s="800"/>
      <c r="C182" s="730"/>
      <c r="D182" s="801"/>
      <c r="E182" s="801"/>
    </row>
    <row r="183" spans="1:5" s="799" customFormat="1" ht="15.75" x14ac:dyDescent="0.2">
      <c r="A183" s="800"/>
      <c r="C183" s="730"/>
      <c r="D183" s="801"/>
      <c r="E183" s="801"/>
    </row>
    <row r="184" spans="1:5" s="799" customFormat="1" ht="15.75" x14ac:dyDescent="0.2">
      <c r="A184" s="800"/>
      <c r="C184" s="730"/>
      <c r="D184" s="801"/>
      <c r="E184" s="801"/>
    </row>
    <row r="185" spans="1:5" s="799" customFormat="1" ht="15.75" x14ac:dyDescent="0.2">
      <c r="A185" s="800"/>
      <c r="C185" s="730"/>
      <c r="D185" s="801"/>
      <c r="E185" s="801"/>
    </row>
    <row r="186" spans="1:5" s="799" customFormat="1" ht="15.75" x14ac:dyDescent="0.2">
      <c r="A186" s="800"/>
      <c r="C186" s="730"/>
      <c r="D186" s="801"/>
      <c r="E186" s="801"/>
    </row>
    <row r="187" spans="1:5" s="799" customFormat="1" ht="15.75" x14ac:dyDescent="0.2">
      <c r="A187" s="800"/>
      <c r="C187" s="730"/>
      <c r="D187" s="801"/>
      <c r="E187" s="801"/>
    </row>
    <row r="188" spans="1:5" s="799" customFormat="1" ht="15.75" x14ac:dyDescent="0.2">
      <c r="A188" s="800"/>
      <c r="C188" s="730"/>
      <c r="D188" s="801"/>
      <c r="E188" s="801"/>
    </row>
    <row r="189" spans="1:5" s="799" customFormat="1" ht="15.75" x14ac:dyDescent="0.2">
      <c r="A189" s="800"/>
      <c r="C189" s="730"/>
      <c r="D189" s="801"/>
      <c r="E189" s="801"/>
    </row>
    <row r="190" spans="1:5" s="799" customFormat="1" ht="15.75" x14ac:dyDescent="0.2">
      <c r="A190" s="800"/>
      <c r="C190" s="730"/>
      <c r="D190" s="801"/>
      <c r="E190" s="801"/>
    </row>
    <row r="191" spans="1:5" s="799" customFormat="1" ht="15.75" x14ac:dyDescent="0.2">
      <c r="A191" s="800"/>
      <c r="C191" s="730"/>
      <c r="D191" s="801"/>
      <c r="E191" s="801"/>
    </row>
    <row r="192" spans="1:5" s="799" customFormat="1" ht="15.75" x14ac:dyDescent="0.2">
      <c r="A192" s="800"/>
      <c r="C192" s="730"/>
      <c r="D192" s="801"/>
      <c r="E192" s="801"/>
    </row>
    <row r="193" spans="1:5" s="799" customFormat="1" ht="15.75" x14ac:dyDescent="0.2">
      <c r="A193" s="800"/>
      <c r="C193" s="730"/>
      <c r="D193" s="801"/>
      <c r="E193" s="801"/>
    </row>
    <row r="194" spans="1:5" s="799" customFormat="1" ht="15.75" x14ac:dyDescent="0.2">
      <c r="A194" s="800"/>
      <c r="C194" s="730"/>
      <c r="D194" s="801"/>
      <c r="E194" s="801"/>
    </row>
    <row r="195" spans="1:5" s="799" customFormat="1" ht="15.75" x14ac:dyDescent="0.2">
      <c r="A195" s="800"/>
      <c r="C195" s="730"/>
      <c r="D195" s="801"/>
      <c r="E195" s="801"/>
    </row>
    <row r="196" spans="1:5" s="799" customFormat="1" ht="15.75" x14ac:dyDescent="0.2">
      <c r="A196" s="800"/>
      <c r="C196" s="730"/>
      <c r="D196" s="801"/>
      <c r="E196" s="801"/>
    </row>
    <row r="197" spans="1:5" s="799" customFormat="1" ht="15.75" x14ac:dyDescent="0.2">
      <c r="A197" s="800"/>
      <c r="C197" s="730"/>
      <c r="D197" s="801"/>
      <c r="E197" s="801"/>
    </row>
    <row r="198" spans="1:5" s="799" customFormat="1" ht="15.75" x14ac:dyDescent="0.2">
      <c r="A198" s="800"/>
      <c r="C198" s="730"/>
      <c r="D198" s="801"/>
      <c r="E198" s="801"/>
    </row>
    <row r="199" spans="1:5" s="799" customFormat="1" ht="15.75" x14ac:dyDescent="0.2">
      <c r="A199" s="800"/>
      <c r="C199" s="730"/>
      <c r="D199" s="801"/>
      <c r="E199" s="801"/>
    </row>
    <row r="200" spans="1:5" s="799" customFormat="1" ht="15.75" x14ac:dyDescent="0.2">
      <c r="A200" s="800"/>
      <c r="C200" s="730"/>
      <c r="D200" s="801"/>
      <c r="E200" s="801"/>
    </row>
    <row r="201" spans="1:5" s="799" customFormat="1" ht="15.75" x14ac:dyDescent="0.2">
      <c r="A201" s="800"/>
      <c r="C201" s="730"/>
      <c r="D201" s="801"/>
      <c r="E201" s="801"/>
    </row>
    <row r="202" spans="1:5" s="799" customFormat="1" ht="15.75" x14ac:dyDescent="0.2">
      <c r="A202" s="800"/>
      <c r="C202" s="730"/>
      <c r="D202" s="801"/>
      <c r="E202" s="801"/>
    </row>
    <row r="203" spans="1:5" s="799" customFormat="1" ht="15.75" x14ac:dyDescent="0.2">
      <c r="A203" s="800"/>
      <c r="C203" s="730"/>
      <c r="D203" s="801"/>
      <c r="E203" s="801"/>
    </row>
    <row r="204" spans="1:5" s="799" customFormat="1" ht="15.75" x14ac:dyDescent="0.2">
      <c r="A204" s="800"/>
      <c r="C204" s="730"/>
      <c r="D204" s="801"/>
      <c r="E204" s="801"/>
    </row>
    <row r="205" spans="1:5" s="799" customFormat="1" ht="15.75" x14ac:dyDescent="0.2">
      <c r="A205" s="800"/>
      <c r="C205" s="730"/>
      <c r="D205" s="801"/>
      <c r="E205" s="801"/>
    </row>
    <row r="206" spans="1:5" s="799" customFormat="1" ht="15.75" x14ac:dyDescent="0.2">
      <c r="A206" s="800"/>
      <c r="C206" s="730"/>
      <c r="D206" s="801"/>
      <c r="E206" s="801"/>
    </row>
    <row r="207" spans="1:5" s="799" customFormat="1" ht="15.75" x14ac:dyDescent="0.2">
      <c r="A207" s="800"/>
      <c r="C207" s="730"/>
      <c r="D207" s="801"/>
      <c r="E207" s="801"/>
    </row>
    <row r="208" spans="1:5" s="799" customFormat="1" ht="15.75" x14ac:dyDescent="0.2">
      <c r="A208" s="800"/>
      <c r="C208" s="730"/>
      <c r="D208" s="801"/>
      <c r="E208" s="801"/>
    </row>
    <row r="209" spans="1:5" s="799" customFormat="1" ht="15.75" x14ac:dyDescent="0.2">
      <c r="A209" s="800"/>
      <c r="C209" s="730"/>
      <c r="D209" s="801"/>
      <c r="E209" s="801"/>
    </row>
    <row r="210" spans="1:5" s="799" customFormat="1" ht="15.75" x14ac:dyDescent="0.2">
      <c r="A210" s="800"/>
      <c r="C210" s="730"/>
      <c r="D210" s="801"/>
      <c r="E210" s="801"/>
    </row>
    <row r="211" spans="1:5" s="799" customFormat="1" ht="15.75" x14ac:dyDescent="0.2">
      <c r="A211" s="800"/>
      <c r="C211" s="730"/>
      <c r="D211" s="801"/>
      <c r="E211" s="801"/>
    </row>
    <row r="212" spans="1:5" s="799" customFormat="1" ht="15.75" x14ac:dyDescent="0.2">
      <c r="A212" s="800"/>
      <c r="C212" s="730"/>
      <c r="D212" s="801"/>
      <c r="E212" s="801"/>
    </row>
    <row r="213" spans="1:5" s="799" customFormat="1" ht="15.75" x14ac:dyDescent="0.2">
      <c r="A213" s="800"/>
      <c r="C213" s="730"/>
      <c r="D213" s="801"/>
      <c r="E213" s="801"/>
    </row>
    <row r="214" spans="1:5" s="799" customFormat="1" ht="15.75" x14ac:dyDescent="0.2">
      <c r="A214" s="800"/>
      <c r="C214" s="730"/>
      <c r="D214" s="801"/>
      <c r="E214" s="801"/>
    </row>
    <row r="215" spans="1:5" s="799" customFormat="1" ht="15.75" x14ac:dyDescent="0.2">
      <c r="A215" s="800"/>
      <c r="C215" s="730"/>
      <c r="D215" s="801"/>
      <c r="E215" s="801"/>
    </row>
    <row r="216" spans="1:5" s="799" customFormat="1" ht="15.75" x14ac:dyDescent="0.2">
      <c r="A216" s="800"/>
      <c r="C216" s="730"/>
      <c r="D216" s="801"/>
      <c r="E216" s="801"/>
    </row>
    <row r="217" spans="1:5" s="799" customFormat="1" ht="15.75" x14ac:dyDescent="0.2">
      <c r="A217" s="800"/>
      <c r="C217" s="730"/>
      <c r="D217" s="801"/>
      <c r="E217" s="801"/>
    </row>
    <row r="218" spans="1:5" s="799" customFormat="1" ht="15.75" x14ac:dyDescent="0.2">
      <c r="A218" s="800"/>
      <c r="C218" s="730"/>
      <c r="D218" s="801"/>
      <c r="E218" s="801"/>
    </row>
    <row r="219" spans="1:5" s="799" customFormat="1" ht="15.75" x14ac:dyDescent="0.2">
      <c r="A219" s="800"/>
      <c r="C219" s="730"/>
      <c r="D219" s="801"/>
      <c r="E219" s="801"/>
    </row>
    <row r="220" spans="1:5" s="799" customFormat="1" ht="15.75" x14ac:dyDescent="0.2">
      <c r="A220" s="800"/>
      <c r="C220" s="730"/>
      <c r="D220" s="801"/>
      <c r="E220" s="801"/>
    </row>
    <row r="221" spans="1:5" s="799" customFormat="1" ht="15.75" x14ac:dyDescent="0.2">
      <c r="A221" s="800"/>
      <c r="C221" s="730"/>
      <c r="D221" s="801"/>
      <c r="E221" s="801"/>
    </row>
    <row r="222" spans="1:5" s="799" customFormat="1" ht="15.75" x14ac:dyDescent="0.2">
      <c r="A222" s="800"/>
      <c r="C222" s="730"/>
      <c r="D222" s="801"/>
      <c r="E222" s="801"/>
    </row>
    <row r="223" spans="1:5" s="799" customFormat="1" ht="15.75" x14ac:dyDescent="0.2">
      <c r="A223" s="800"/>
      <c r="C223" s="730"/>
      <c r="D223" s="801"/>
      <c r="E223" s="801"/>
    </row>
    <row r="224" spans="1:5" s="799" customFormat="1" ht="15.75" x14ac:dyDescent="0.2">
      <c r="A224" s="800"/>
      <c r="C224" s="730"/>
      <c r="D224" s="801"/>
      <c r="E224" s="801"/>
    </row>
    <row r="225" spans="1:5" s="799" customFormat="1" ht="15.75" x14ac:dyDescent="0.2">
      <c r="A225" s="800"/>
      <c r="C225" s="730"/>
      <c r="D225" s="801"/>
      <c r="E225" s="801"/>
    </row>
    <row r="226" spans="1:5" s="799" customFormat="1" ht="15.75" x14ac:dyDescent="0.2">
      <c r="A226" s="800"/>
      <c r="C226" s="730"/>
      <c r="D226" s="801"/>
      <c r="E226" s="801"/>
    </row>
    <row r="227" spans="1:5" s="799" customFormat="1" ht="15.75" x14ac:dyDescent="0.2">
      <c r="A227" s="800"/>
      <c r="C227" s="730"/>
      <c r="D227" s="801"/>
      <c r="E227" s="801"/>
    </row>
    <row r="228" spans="1:5" s="799" customFormat="1" ht="15.75" x14ac:dyDescent="0.2">
      <c r="A228" s="800"/>
      <c r="C228" s="730"/>
      <c r="D228" s="801"/>
      <c r="E228" s="801"/>
    </row>
    <row r="229" spans="1:5" s="799" customFormat="1" ht="15.75" x14ac:dyDescent="0.2">
      <c r="A229" s="800"/>
      <c r="C229" s="730"/>
      <c r="D229" s="801"/>
      <c r="E229" s="801"/>
    </row>
    <row r="230" spans="1:5" s="799" customFormat="1" ht="15.75" x14ac:dyDescent="0.2">
      <c r="A230" s="800"/>
      <c r="C230" s="730"/>
      <c r="D230" s="801"/>
      <c r="E230" s="801"/>
    </row>
    <row r="231" spans="1:5" s="799" customFormat="1" ht="15.75" x14ac:dyDescent="0.2">
      <c r="A231" s="800"/>
      <c r="C231" s="730"/>
      <c r="D231" s="801"/>
      <c r="E231" s="801"/>
    </row>
    <row r="232" spans="1:5" s="799" customFormat="1" ht="15.75" x14ac:dyDescent="0.2">
      <c r="A232" s="800"/>
      <c r="C232" s="730"/>
      <c r="D232" s="801"/>
      <c r="E232" s="801"/>
    </row>
    <row r="233" spans="1:5" s="799" customFormat="1" ht="15.75" x14ac:dyDescent="0.2">
      <c r="A233" s="800"/>
      <c r="C233" s="730"/>
      <c r="D233" s="801"/>
      <c r="E233" s="801"/>
    </row>
    <row r="234" spans="1:5" s="799" customFormat="1" ht="15.75" x14ac:dyDescent="0.2">
      <c r="A234" s="800"/>
      <c r="C234" s="730"/>
      <c r="D234" s="801"/>
      <c r="E234" s="801"/>
    </row>
    <row r="235" spans="1:5" s="799" customFormat="1" ht="15.75" x14ac:dyDescent="0.2">
      <c r="A235" s="800"/>
      <c r="C235" s="730"/>
      <c r="D235" s="801"/>
      <c r="E235" s="801"/>
    </row>
    <row r="236" spans="1:5" s="799" customFormat="1" ht="15.75" x14ac:dyDescent="0.2">
      <c r="A236" s="800"/>
      <c r="C236" s="730"/>
      <c r="D236" s="801"/>
      <c r="E236" s="801"/>
    </row>
    <row r="237" spans="1:5" s="799" customFormat="1" ht="15.75" x14ac:dyDescent="0.2">
      <c r="A237" s="800"/>
      <c r="C237" s="730"/>
      <c r="D237" s="801"/>
      <c r="E237" s="801"/>
    </row>
    <row r="238" spans="1:5" s="799" customFormat="1" ht="15.75" x14ac:dyDescent="0.2">
      <c r="A238" s="800"/>
      <c r="C238" s="730"/>
      <c r="D238" s="801"/>
      <c r="E238" s="801"/>
    </row>
    <row r="239" spans="1:5" s="799" customFormat="1" ht="15.75" x14ac:dyDescent="0.2">
      <c r="A239" s="800"/>
      <c r="C239" s="730"/>
      <c r="D239" s="801"/>
      <c r="E239" s="801"/>
    </row>
    <row r="240" spans="1:5" s="799" customFormat="1" ht="15.75" x14ac:dyDescent="0.2">
      <c r="A240" s="800"/>
      <c r="C240" s="730"/>
      <c r="D240" s="801"/>
      <c r="E240" s="801"/>
    </row>
    <row r="241" spans="1:5" s="799" customFormat="1" ht="15.75" x14ac:dyDescent="0.2">
      <c r="A241" s="800"/>
      <c r="C241" s="730"/>
      <c r="D241" s="801"/>
      <c r="E241" s="801"/>
    </row>
    <row r="242" spans="1:5" s="799" customFormat="1" ht="15.75" x14ac:dyDescent="0.2">
      <c r="A242" s="800"/>
      <c r="C242" s="730"/>
      <c r="D242" s="801"/>
      <c r="E242" s="801"/>
    </row>
    <row r="243" spans="1:5" s="799" customFormat="1" ht="15.75" x14ac:dyDescent="0.2">
      <c r="A243" s="800"/>
      <c r="C243" s="730"/>
      <c r="D243" s="801"/>
      <c r="E243" s="801"/>
    </row>
    <row r="244" spans="1:5" s="799" customFormat="1" ht="15.75" x14ac:dyDescent="0.2">
      <c r="A244" s="800"/>
      <c r="C244" s="730"/>
      <c r="D244" s="801"/>
      <c r="E244" s="801"/>
    </row>
    <row r="245" spans="1:5" s="799" customFormat="1" ht="15.75" x14ac:dyDescent="0.2">
      <c r="A245" s="800"/>
      <c r="C245" s="730"/>
      <c r="D245" s="801"/>
      <c r="E245" s="801"/>
    </row>
    <row r="246" spans="1:5" s="799" customFormat="1" ht="15.75" x14ac:dyDescent="0.2">
      <c r="A246" s="800"/>
      <c r="C246" s="730"/>
      <c r="D246" s="801"/>
      <c r="E246" s="801"/>
    </row>
    <row r="247" spans="1:5" s="799" customFormat="1" ht="15.75" x14ac:dyDescent="0.2">
      <c r="A247" s="800"/>
      <c r="C247" s="730"/>
      <c r="D247" s="801"/>
      <c r="E247" s="801"/>
    </row>
    <row r="248" spans="1:5" s="799" customFormat="1" ht="15.75" x14ac:dyDescent="0.2">
      <c r="A248" s="800"/>
      <c r="C248" s="730"/>
      <c r="D248" s="801"/>
      <c r="E248" s="801"/>
    </row>
    <row r="249" spans="1:5" s="799" customFormat="1" ht="15.75" x14ac:dyDescent="0.2">
      <c r="A249" s="800"/>
      <c r="C249" s="730"/>
      <c r="D249" s="801"/>
      <c r="E249" s="801"/>
    </row>
    <row r="250" spans="1:5" s="799" customFormat="1" ht="15.75" x14ac:dyDescent="0.2">
      <c r="A250" s="800"/>
      <c r="C250" s="730"/>
      <c r="D250" s="801"/>
      <c r="E250" s="801"/>
    </row>
    <row r="251" spans="1:5" s="799" customFormat="1" ht="15.75" x14ac:dyDescent="0.2">
      <c r="A251" s="800"/>
      <c r="C251" s="730"/>
      <c r="D251" s="801"/>
      <c r="E251" s="801"/>
    </row>
    <row r="252" spans="1:5" s="799" customFormat="1" ht="15.75" x14ac:dyDescent="0.2">
      <c r="A252" s="800"/>
      <c r="C252" s="730"/>
      <c r="D252" s="801"/>
      <c r="E252" s="801"/>
    </row>
    <row r="253" spans="1:5" s="799" customFormat="1" ht="15.75" x14ac:dyDescent="0.2">
      <c r="A253" s="800"/>
      <c r="C253" s="730"/>
      <c r="D253" s="801"/>
      <c r="E253" s="801"/>
    </row>
    <row r="254" spans="1:5" s="799" customFormat="1" ht="15.75" x14ac:dyDescent="0.2">
      <c r="A254" s="800"/>
      <c r="C254" s="730"/>
      <c r="D254" s="801"/>
      <c r="E254" s="801"/>
    </row>
    <row r="255" spans="1:5" s="799" customFormat="1" ht="15.75" x14ac:dyDescent="0.2">
      <c r="A255" s="800"/>
      <c r="C255" s="730"/>
      <c r="D255" s="801"/>
      <c r="E255" s="801"/>
    </row>
    <row r="256" spans="1:5" s="799" customFormat="1" ht="15.75" x14ac:dyDescent="0.2">
      <c r="A256" s="800"/>
      <c r="C256" s="730"/>
      <c r="D256" s="801"/>
      <c r="E256" s="801"/>
    </row>
    <row r="257" spans="1:5" s="799" customFormat="1" ht="15.75" x14ac:dyDescent="0.2">
      <c r="A257" s="800"/>
      <c r="C257" s="730"/>
      <c r="D257" s="801"/>
      <c r="E257" s="801"/>
    </row>
    <row r="258" spans="1:5" s="799" customFormat="1" ht="15.75" x14ac:dyDescent="0.2">
      <c r="A258" s="800"/>
      <c r="C258" s="730"/>
      <c r="D258" s="801"/>
      <c r="E258" s="801"/>
    </row>
    <row r="259" spans="1:5" s="799" customFormat="1" ht="15.75" x14ac:dyDescent="0.2">
      <c r="A259" s="800"/>
      <c r="C259" s="730"/>
      <c r="D259" s="801"/>
      <c r="E259" s="801"/>
    </row>
    <row r="260" spans="1:5" s="799" customFormat="1" ht="15.75" x14ac:dyDescent="0.2">
      <c r="A260" s="800"/>
      <c r="C260" s="730"/>
      <c r="D260" s="801"/>
      <c r="E260" s="801"/>
    </row>
    <row r="261" spans="1:5" s="799" customFormat="1" ht="15.75" x14ac:dyDescent="0.2">
      <c r="A261" s="800"/>
      <c r="C261" s="730"/>
      <c r="D261" s="801"/>
      <c r="E261" s="801"/>
    </row>
    <row r="262" spans="1:5" s="799" customFormat="1" ht="15.75" x14ac:dyDescent="0.2">
      <c r="A262" s="800"/>
      <c r="C262" s="730"/>
      <c r="D262" s="801"/>
      <c r="E262" s="801"/>
    </row>
    <row r="263" spans="1:5" s="799" customFormat="1" ht="15.75" x14ac:dyDescent="0.2">
      <c r="A263" s="800"/>
      <c r="C263" s="730"/>
      <c r="D263" s="801"/>
      <c r="E263" s="801"/>
    </row>
    <row r="264" spans="1:5" s="799" customFormat="1" ht="15.75" x14ac:dyDescent="0.2">
      <c r="A264" s="800"/>
      <c r="C264" s="730"/>
      <c r="D264" s="801"/>
      <c r="E264" s="801"/>
    </row>
    <row r="265" spans="1:5" s="799" customFormat="1" ht="15.75" x14ac:dyDescent="0.2">
      <c r="A265" s="800"/>
      <c r="C265" s="730"/>
      <c r="D265" s="801"/>
      <c r="E265" s="801"/>
    </row>
    <row r="266" spans="1:5" s="799" customFormat="1" ht="15.75" x14ac:dyDescent="0.2">
      <c r="A266" s="800"/>
      <c r="C266" s="730"/>
      <c r="D266" s="801"/>
      <c r="E266" s="801"/>
    </row>
    <row r="267" spans="1:5" s="799" customFormat="1" ht="15.75" x14ac:dyDescent="0.2">
      <c r="A267" s="800"/>
      <c r="C267" s="730"/>
      <c r="D267" s="801"/>
      <c r="E267" s="801"/>
    </row>
    <row r="268" spans="1:5" s="799" customFormat="1" ht="15.75" x14ac:dyDescent="0.2">
      <c r="A268" s="800"/>
      <c r="C268" s="730"/>
      <c r="D268" s="801"/>
      <c r="E268" s="801"/>
    </row>
    <row r="269" spans="1:5" s="799" customFormat="1" ht="15.75" x14ac:dyDescent="0.2">
      <c r="A269" s="800"/>
      <c r="C269" s="730"/>
      <c r="D269" s="801"/>
      <c r="E269" s="801"/>
    </row>
    <row r="270" spans="1:5" s="799" customFormat="1" ht="15.75" x14ac:dyDescent="0.2">
      <c r="A270" s="800"/>
      <c r="C270" s="730"/>
      <c r="D270" s="801"/>
      <c r="E270" s="801"/>
    </row>
    <row r="271" spans="1:5" s="799" customFormat="1" ht="15.75" x14ac:dyDescent="0.2">
      <c r="A271" s="800"/>
      <c r="C271" s="730"/>
      <c r="D271" s="801"/>
      <c r="E271" s="801"/>
    </row>
    <row r="272" spans="1:5" s="799" customFormat="1" ht="15.75" x14ac:dyDescent="0.2">
      <c r="A272" s="800"/>
      <c r="C272" s="730"/>
      <c r="D272" s="801"/>
      <c r="E272" s="801"/>
    </row>
    <row r="273" spans="1:5" s="799" customFormat="1" ht="15.75" x14ac:dyDescent="0.2">
      <c r="A273" s="800"/>
      <c r="C273" s="730"/>
      <c r="D273" s="801"/>
      <c r="E273" s="801"/>
    </row>
    <row r="274" spans="1:5" s="799" customFormat="1" ht="15.75" x14ac:dyDescent="0.2">
      <c r="A274" s="800"/>
      <c r="C274" s="730"/>
      <c r="D274" s="801"/>
      <c r="E274" s="801"/>
    </row>
    <row r="275" spans="1:5" s="799" customFormat="1" ht="15.75" x14ac:dyDescent="0.2">
      <c r="A275" s="800"/>
      <c r="C275" s="730"/>
      <c r="D275" s="801"/>
      <c r="E275" s="801"/>
    </row>
    <row r="276" spans="1:5" s="799" customFormat="1" ht="15.75" x14ac:dyDescent="0.2">
      <c r="A276" s="800"/>
      <c r="C276" s="730"/>
      <c r="D276" s="801"/>
      <c r="E276" s="801"/>
    </row>
    <row r="277" spans="1:5" s="799" customFormat="1" ht="15.75" x14ac:dyDescent="0.2">
      <c r="A277" s="800"/>
      <c r="C277" s="730"/>
      <c r="D277" s="801"/>
      <c r="E277" s="801"/>
    </row>
    <row r="278" spans="1:5" s="799" customFormat="1" ht="15.75" x14ac:dyDescent="0.2">
      <c r="A278" s="800"/>
      <c r="C278" s="730"/>
      <c r="D278" s="801"/>
      <c r="E278" s="801"/>
    </row>
    <row r="279" spans="1:5" s="799" customFormat="1" ht="15.75" x14ac:dyDescent="0.2">
      <c r="A279" s="800"/>
      <c r="C279" s="730"/>
      <c r="D279" s="801"/>
      <c r="E279" s="801"/>
    </row>
    <row r="280" spans="1:5" s="799" customFormat="1" ht="15.75" x14ac:dyDescent="0.2">
      <c r="A280" s="800"/>
      <c r="C280" s="730"/>
      <c r="D280" s="801"/>
      <c r="E280" s="801"/>
    </row>
    <row r="281" spans="1:5" s="799" customFormat="1" ht="15.75" x14ac:dyDescent="0.2">
      <c r="A281" s="800"/>
      <c r="C281" s="730"/>
      <c r="D281" s="801"/>
      <c r="E281" s="801"/>
    </row>
    <row r="282" spans="1:5" s="799" customFormat="1" ht="15.75" x14ac:dyDescent="0.2">
      <c r="A282" s="800"/>
      <c r="C282" s="730"/>
      <c r="D282" s="801"/>
      <c r="E282" s="801"/>
    </row>
    <row r="283" spans="1:5" s="799" customFormat="1" ht="15.75" x14ac:dyDescent="0.2">
      <c r="A283" s="800"/>
      <c r="C283" s="730"/>
      <c r="D283" s="801"/>
      <c r="E283" s="801"/>
    </row>
    <row r="284" spans="1:5" s="799" customFormat="1" ht="15.75" x14ac:dyDescent="0.2">
      <c r="A284" s="800"/>
      <c r="C284" s="730"/>
      <c r="D284" s="801"/>
      <c r="E284" s="801"/>
    </row>
    <row r="285" spans="1:5" s="799" customFormat="1" ht="15.75" x14ac:dyDescent="0.2">
      <c r="A285" s="800"/>
      <c r="C285" s="730"/>
      <c r="D285" s="801"/>
      <c r="E285" s="801"/>
    </row>
    <row r="286" spans="1:5" s="799" customFormat="1" ht="15.75" x14ac:dyDescent="0.2">
      <c r="A286" s="800"/>
      <c r="C286" s="730"/>
      <c r="D286" s="801"/>
      <c r="E286" s="801"/>
    </row>
    <row r="287" spans="1:5" s="799" customFormat="1" ht="15.75" x14ac:dyDescent="0.2">
      <c r="A287" s="800"/>
      <c r="C287" s="730"/>
      <c r="D287" s="801"/>
      <c r="E287" s="801"/>
    </row>
    <row r="288" spans="1:5" s="799" customFormat="1" ht="15.75" x14ac:dyDescent="0.2">
      <c r="A288" s="800"/>
      <c r="C288" s="730"/>
      <c r="D288" s="801"/>
      <c r="E288" s="801"/>
    </row>
    <row r="289" spans="1:5" s="799" customFormat="1" ht="15.75" x14ac:dyDescent="0.2">
      <c r="A289" s="800"/>
      <c r="C289" s="730"/>
      <c r="D289" s="801"/>
      <c r="E289" s="801"/>
    </row>
    <row r="290" spans="1:5" s="799" customFormat="1" ht="15.75" x14ac:dyDescent="0.2">
      <c r="A290" s="800"/>
      <c r="C290" s="730"/>
      <c r="D290" s="801"/>
      <c r="E290" s="801"/>
    </row>
    <row r="291" spans="1:5" s="799" customFormat="1" ht="15.75" x14ac:dyDescent="0.2">
      <c r="A291" s="800"/>
      <c r="C291" s="730"/>
      <c r="D291" s="801"/>
      <c r="E291" s="801"/>
    </row>
    <row r="292" spans="1:5" s="799" customFormat="1" ht="15.75" x14ac:dyDescent="0.2">
      <c r="A292" s="800"/>
      <c r="C292" s="730"/>
      <c r="D292" s="801"/>
      <c r="E292" s="801"/>
    </row>
    <row r="293" spans="1:5" s="799" customFormat="1" ht="15.75" x14ac:dyDescent="0.2">
      <c r="A293" s="800"/>
      <c r="C293" s="730"/>
      <c r="D293" s="801"/>
      <c r="E293" s="801"/>
    </row>
    <row r="294" spans="1:5" s="799" customFormat="1" ht="15.75" x14ac:dyDescent="0.2">
      <c r="A294" s="800"/>
      <c r="C294" s="730"/>
      <c r="D294" s="801"/>
      <c r="E294" s="801"/>
    </row>
    <row r="295" spans="1:5" s="799" customFormat="1" ht="15.75" x14ac:dyDescent="0.2">
      <c r="A295" s="800"/>
      <c r="C295" s="730"/>
      <c r="D295" s="801"/>
      <c r="E295" s="801"/>
    </row>
    <row r="296" spans="1:5" s="799" customFormat="1" ht="15.75" x14ac:dyDescent="0.2">
      <c r="A296" s="800"/>
      <c r="C296" s="730"/>
      <c r="D296" s="801"/>
      <c r="E296" s="801"/>
    </row>
    <row r="297" spans="1:5" s="799" customFormat="1" ht="15.75" x14ac:dyDescent="0.2">
      <c r="A297" s="800"/>
      <c r="C297" s="730"/>
      <c r="D297" s="801"/>
      <c r="E297" s="801"/>
    </row>
    <row r="298" spans="1:5" s="799" customFormat="1" ht="15.75" x14ac:dyDescent="0.2">
      <c r="A298" s="800"/>
      <c r="C298" s="730"/>
      <c r="D298" s="801"/>
      <c r="E298" s="801"/>
    </row>
    <row r="299" spans="1:5" s="799" customFormat="1" ht="15.75" x14ac:dyDescent="0.2">
      <c r="A299" s="800"/>
      <c r="C299" s="730"/>
      <c r="D299" s="801"/>
      <c r="E299" s="801"/>
    </row>
    <row r="300" spans="1:5" s="799" customFormat="1" ht="15.75" x14ac:dyDescent="0.2">
      <c r="A300" s="800"/>
      <c r="C300" s="730"/>
      <c r="D300" s="801"/>
      <c r="E300" s="801"/>
    </row>
    <row r="301" spans="1:5" s="799" customFormat="1" ht="15.75" x14ac:dyDescent="0.2">
      <c r="A301" s="800"/>
      <c r="C301" s="730"/>
      <c r="D301" s="801"/>
      <c r="E301" s="801"/>
    </row>
    <row r="302" spans="1:5" s="799" customFormat="1" ht="15.75" x14ac:dyDescent="0.2">
      <c r="A302" s="800"/>
      <c r="C302" s="730"/>
      <c r="D302" s="801"/>
      <c r="E302" s="801"/>
    </row>
    <row r="303" spans="1:5" s="799" customFormat="1" ht="15.75" x14ac:dyDescent="0.2">
      <c r="A303" s="800"/>
      <c r="C303" s="730"/>
      <c r="D303" s="801"/>
      <c r="E303" s="801"/>
    </row>
    <row r="304" spans="1:5" s="799" customFormat="1" ht="15.75" x14ac:dyDescent="0.2">
      <c r="A304" s="800"/>
      <c r="C304" s="730"/>
      <c r="D304" s="801"/>
      <c r="E304" s="801"/>
    </row>
    <row r="305" spans="1:5" s="799" customFormat="1" ht="15.75" x14ac:dyDescent="0.2">
      <c r="A305" s="800"/>
      <c r="C305" s="730"/>
      <c r="D305" s="801"/>
      <c r="E305" s="801"/>
    </row>
    <row r="306" spans="1:5" s="799" customFormat="1" ht="15.75" x14ac:dyDescent="0.2">
      <c r="A306" s="800"/>
      <c r="C306" s="730"/>
      <c r="D306" s="801"/>
      <c r="E306" s="801"/>
    </row>
    <row r="307" spans="1:5" s="799" customFormat="1" ht="15.75" x14ac:dyDescent="0.2">
      <c r="A307" s="800"/>
      <c r="C307" s="730"/>
      <c r="D307" s="801"/>
      <c r="E307" s="801"/>
    </row>
    <row r="308" spans="1:5" s="799" customFormat="1" ht="15.75" x14ac:dyDescent="0.2">
      <c r="A308" s="800"/>
      <c r="C308" s="730"/>
      <c r="D308" s="801"/>
      <c r="E308" s="801"/>
    </row>
    <row r="309" spans="1:5" s="799" customFormat="1" ht="15.75" x14ac:dyDescent="0.2">
      <c r="A309" s="800"/>
      <c r="C309" s="730"/>
      <c r="D309" s="801"/>
      <c r="E309" s="801"/>
    </row>
    <row r="310" spans="1:5" s="799" customFormat="1" ht="15.75" x14ac:dyDescent="0.2">
      <c r="A310" s="800"/>
      <c r="C310" s="730"/>
      <c r="D310" s="801"/>
      <c r="E310" s="801"/>
    </row>
    <row r="311" spans="1:5" s="799" customFormat="1" ht="15.75" x14ac:dyDescent="0.2">
      <c r="A311" s="800"/>
      <c r="C311" s="730"/>
      <c r="D311" s="801"/>
      <c r="E311" s="801"/>
    </row>
    <row r="312" spans="1:5" s="799" customFormat="1" ht="15.75" x14ac:dyDescent="0.2">
      <c r="A312" s="800"/>
      <c r="C312" s="730"/>
      <c r="D312" s="801"/>
      <c r="E312" s="801"/>
    </row>
    <row r="313" spans="1:5" s="799" customFormat="1" ht="15.75" x14ac:dyDescent="0.2">
      <c r="A313" s="800"/>
      <c r="C313" s="730"/>
      <c r="D313" s="801"/>
      <c r="E313" s="801"/>
    </row>
    <row r="314" spans="1:5" s="799" customFormat="1" ht="15.75" x14ac:dyDescent="0.2">
      <c r="A314" s="800"/>
      <c r="C314" s="730"/>
      <c r="D314" s="801"/>
      <c r="E314" s="801"/>
    </row>
    <row r="315" spans="1:5" s="799" customFormat="1" ht="15.75" x14ac:dyDescent="0.2">
      <c r="A315" s="800"/>
      <c r="C315" s="730"/>
      <c r="D315" s="801"/>
      <c r="E315" s="801"/>
    </row>
    <row r="316" spans="1:5" s="799" customFormat="1" ht="15.75" x14ac:dyDescent="0.2">
      <c r="A316" s="800"/>
      <c r="C316" s="730"/>
      <c r="D316" s="801"/>
      <c r="E316" s="801"/>
    </row>
    <row r="317" spans="1:5" s="799" customFormat="1" ht="15.75" x14ac:dyDescent="0.2">
      <c r="A317" s="800"/>
      <c r="C317" s="730"/>
      <c r="D317" s="801"/>
      <c r="E317" s="801"/>
    </row>
    <row r="318" spans="1:5" s="799" customFormat="1" ht="15.75" x14ac:dyDescent="0.2">
      <c r="A318" s="800"/>
      <c r="C318" s="730"/>
      <c r="D318" s="801"/>
      <c r="E318" s="801"/>
    </row>
    <row r="319" spans="1:5" s="799" customFormat="1" ht="15.75" x14ac:dyDescent="0.2">
      <c r="A319" s="800"/>
      <c r="C319" s="730"/>
      <c r="D319" s="801"/>
      <c r="E319" s="801"/>
    </row>
    <row r="320" spans="1:5" s="799" customFormat="1" ht="15.75" x14ac:dyDescent="0.2">
      <c r="A320" s="800"/>
      <c r="C320" s="730"/>
      <c r="D320" s="801"/>
      <c r="E320" s="801"/>
    </row>
    <row r="321" spans="1:5" s="799" customFormat="1" ht="15.75" x14ac:dyDescent="0.2">
      <c r="A321" s="800"/>
      <c r="C321" s="730"/>
      <c r="D321" s="801"/>
      <c r="E321" s="801"/>
    </row>
    <row r="322" spans="1:5" s="799" customFormat="1" ht="15.75" x14ac:dyDescent="0.2">
      <c r="A322" s="800"/>
      <c r="C322" s="730"/>
      <c r="D322" s="801"/>
      <c r="E322" s="801"/>
    </row>
    <row r="323" spans="1:5" s="799" customFormat="1" ht="15.75" x14ac:dyDescent="0.2">
      <c r="A323" s="800"/>
      <c r="C323" s="730"/>
      <c r="D323" s="801"/>
      <c r="E323" s="801"/>
    </row>
    <row r="324" spans="1:5" s="799" customFormat="1" ht="15.75" x14ac:dyDescent="0.2">
      <c r="A324" s="800"/>
      <c r="C324" s="730"/>
      <c r="D324" s="801"/>
      <c r="E324" s="801"/>
    </row>
    <row r="325" spans="1:5" s="799" customFormat="1" ht="15.75" x14ac:dyDescent="0.2">
      <c r="A325" s="800"/>
      <c r="C325" s="730"/>
      <c r="D325" s="801"/>
      <c r="E325" s="801"/>
    </row>
    <row r="326" spans="1:5" s="799" customFormat="1" ht="15.75" x14ac:dyDescent="0.2">
      <c r="A326" s="800"/>
      <c r="C326" s="730"/>
      <c r="D326" s="801"/>
      <c r="E326" s="801"/>
    </row>
    <row r="327" spans="1:5" s="799" customFormat="1" ht="15.75" x14ac:dyDescent="0.2">
      <c r="A327" s="800"/>
      <c r="C327" s="730"/>
      <c r="D327" s="801"/>
      <c r="E327" s="801"/>
    </row>
    <row r="328" spans="1:5" s="799" customFormat="1" ht="15.75" x14ac:dyDescent="0.2">
      <c r="A328" s="800"/>
      <c r="C328" s="730"/>
      <c r="D328" s="801"/>
      <c r="E328" s="801"/>
    </row>
    <row r="329" spans="1:5" s="799" customFormat="1" ht="15.75" x14ac:dyDescent="0.2">
      <c r="A329" s="800"/>
      <c r="C329" s="730"/>
      <c r="D329" s="801"/>
      <c r="E329" s="801"/>
    </row>
    <row r="330" spans="1:5" s="799" customFormat="1" ht="15.75" x14ac:dyDescent="0.2">
      <c r="A330" s="800"/>
      <c r="C330" s="730"/>
      <c r="D330" s="801"/>
      <c r="E330" s="801"/>
    </row>
    <row r="331" spans="1:5" s="799" customFormat="1" ht="15.75" x14ac:dyDescent="0.2">
      <c r="A331" s="800"/>
      <c r="C331" s="730"/>
      <c r="D331" s="801"/>
      <c r="E331" s="801"/>
    </row>
    <row r="332" spans="1:5" s="799" customFormat="1" ht="15.75" x14ac:dyDescent="0.2">
      <c r="A332" s="800"/>
      <c r="C332" s="730"/>
      <c r="D332" s="801"/>
      <c r="E332" s="801"/>
    </row>
    <row r="333" spans="1:5" s="799" customFormat="1" ht="15.75" x14ac:dyDescent="0.2">
      <c r="A333" s="800"/>
      <c r="C333" s="730"/>
      <c r="D333" s="801"/>
      <c r="E333" s="801"/>
    </row>
    <row r="334" spans="1:5" s="799" customFormat="1" ht="15.75" x14ac:dyDescent="0.2">
      <c r="A334" s="800"/>
      <c r="C334" s="730"/>
      <c r="D334" s="801"/>
      <c r="E334" s="801"/>
    </row>
    <row r="335" spans="1:5" s="799" customFormat="1" ht="15.75" x14ac:dyDescent="0.2">
      <c r="A335" s="800"/>
      <c r="C335" s="730"/>
      <c r="D335" s="801"/>
      <c r="E335" s="801"/>
    </row>
    <row r="336" spans="1:5" s="799" customFormat="1" ht="15.75" x14ac:dyDescent="0.2">
      <c r="A336" s="800"/>
      <c r="C336" s="730"/>
      <c r="D336" s="801"/>
      <c r="E336" s="801"/>
    </row>
    <row r="337" spans="1:5" s="799" customFormat="1" ht="15.75" x14ac:dyDescent="0.2">
      <c r="A337" s="800"/>
      <c r="C337" s="730"/>
      <c r="D337" s="801"/>
      <c r="E337" s="801"/>
    </row>
    <row r="338" spans="1:5" s="799" customFormat="1" ht="15.75" x14ac:dyDescent="0.2">
      <c r="A338" s="800"/>
      <c r="C338" s="730"/>
      <c r="D338" s="801"/>
      <c r="E338" s="801"/>
    </row>
    <row r="339" spans="1:5" s="799" customFormat="1" ht="15.75" x14ac:dyDescent="0.2">
      <c r="A339" s="800"/>
      <c r="C339" s="730"/>
      <c r="D339" s="801"/>
      <c r="E339" s="801"/>
    </row>
    <row r="340" spans="1:5" s="799" customFormat="1" ht="15.75" x14ac:dyDescent="0.2">
      <c r="A340" s="800"/>
      <c r="C340" s="730"/>
      <c r="D340" s="801"/>
      <c r="E340" s="801"/>
    </row>
    <row r="341" spans="1:5" s="799" customFormat="1" ht="15.75" x14ac:dyDescent="0.2">
      <c r="A341" s="800"/>
      <c r="C341" s="730"/>
      <c r="D341" s="801"/>
      <c r="E341" s="801"/>
    </row>
    <row r="342" spans="1:5" s="799" customFormat="1" ht="15.75" x14ac:dyDescent="0.2">
      <c r="A342" s="800"/>
      <c r="C342" s="730"/>
      <c r="D342" s="801"/>
      <c r="E342" s="801"/>
    </row>
    <row r="343" spans="1:5" s="799" customFormat="1" ht="15.75" x14ac:dyDescent="0.2">
      <c r="A343" s="800"/>
      <c r="C343" s="730"/>
      <c r="D343" s="801"/>
      <c r="E343" s="801"/>
    </row>
    <row r="344" spans="1:5" s="799" customFormat="1" ht="15.75" x14ac:dyDescent="0.2">
      <c r="A344" s="800"/>
      <c r="C344" s="730"/>
      <c r="D344" s="801"/>
      <c r="E344" s="801"/>
    </row>
    <row r="345" spans="1:5" s="799" customFormat="1" ht="15.75" x14ac:dyDescent="0.2">
      <c r="A345" s="800"/>
      <c r="C345" s="730"/>
      <c r="D345" s="801"/>
      <c r="E345" s="801"/>
    </row>
    <row r="346" spans="1:5" s="799" customFormat="1" ht="15.75" x14ac:dyDescent="0.2">
      <c r="A346" s="800"/>
      <c r="C346" s="730"/>
      <c r="D346" s="801"/>
      <c r="E346" s="801"/>
    </row>
    <row r="347" spans="1:5" s="799" customFormat="1" ht="15.75" x14ac:dyDescent="0.2">
      <c r="A347" s="800"/>
      <c r="C347" s="730"/>
      <c r="D347" s="801"/>
      <c r="E347" s="801"/>
    </row>
    <row r="348" spans="1:5" s="799" customFormat="1" ht="15.75" x14ac:dyDescent="0.2">
      <c r="A348" s="800"/>
      <c r="C348" s="730"/>
      <c r="D348" s="801"/>
      <c r="E348" s="801"/>
    </row>
    <row r="349" spans="1:5" s="799" customFormat="1" ht="15.75" x14ac:dyDescent="0.2">
      <c r="A349" s="800"/>
      <c r="C349" s="730"/>
      <c r="D349" s="801"/>
      <c r="E349" s="801"/>
    </row>
    <row r="350" spans="1:5" s="799" customFormat="1" ht="15.75" x14ac:dyDescent="0.2">
      <c r="A350" s="800"/>
      <c r="C350" s="730"/>
      <c r="D350" s="801"/>
      <c r="E350" s="801"/>
    </row>
    <row r="351" spans="1:5" s="799" customFormat="1" ht="15.75" x14ac:dyDescent="0.2">
      <c r="A351" s="800"/>
      <c r="C351" s="730"/>
      <c r="D351" s="801"/>
      <c r="E351" s="801"/>
    </row>
    <row r="352" spans="1:5" s="799" customFormat="1" ht="15.75" x14ac:dyDescent="0.2">
      <c r="A352" s="800"/>
      <c r="C352" s="730"/>
      <c r="D352" s="801"/>
      <c r="E352" s="801"/>
    </row>
    <row r="353" spans="1:5" s="799" customFormat="1" ht="15.75" x14ac:dyDescent="0.2">
      <c r="A353" s="800"/>
      <c r="C353" s="730"/>
      <c r="D353" s="801"/>
      <c r="E353" s="801"/>
    </row>
    <row r="354" spans="1:5" s="799" customFormat="1" ht="15.75" x14ac:dyDescent="0.2">
      <c r="A354" s="800"/>
      <c r="C354" s="730"/>
      <c r="D354" s="801"/>
      <c r="E354" s="801"/>
    </row>
    <row r="355" spans="1:5" s="799" customFormat="1" ht="15.75" x14ac:dyDescent="0.2">
      <c r="A355" s="800"/>
      <c r="C355" s="730"/>
      <c r="D355" s="801"/>
      <c r="E355" s="801"/>
    </row>
    <row r="356" spans="1:5" s="799" customFormat="1" ht="15.75" x14ac:dyDescent="0.2">
      <c r="A356" s="800"/>
      <c r="C356" s="730"/>
      <c r="D356" s="801"/>
      <c r="E356" s="801"/>
    </row>
    <row r="357" spans="1:5" s="799" customFormat="1" ht="15.75" x14ac:dyDescent="0.2">
      <c r="A357" s="800"/>
      <c r="C357" s="730"/>
      <c r="D357" s="801"/>
      <c r="E357" s="801"/>
    </row>
    <row r="358" spans="1:5" s="799" customFormat="1" ht="15.75" x14ac:dyDescent="0.2">
      <c r="A358" s="800"/>
      <c r="C358" s="730"/>
      <c r="D358" s="801"/>
      <c r="E358" s="801"/>
    </row>
    <row r="359" spans="1:5" s="799" customFormat="1" ht="15.75" x14ac:dyDescent="0.2">
      <c r="A359" s="800"/>
      <c r="C359" s="730"/>
      <c r="D359" s="801"/>
      <c r="E359" s="801"/>
    </row>
    <row r="360" spans="1:5" s="799" customFormat="1" ht="15.75" x14ac:dyDescent="0.2">
      <c r="A360" s="800"/>
      <c r="C360" s="730"/>
      <c r="D360" s="801"/>
      <c r="E360" s="801"/>
    </row>
    <row r="361" spans="1:5" s="799" customFormat="1" ht="15.75" x14ac:dyDescent="0.2">
      <c r="A361" s="800"/>
      <c r="C361" s="730"/>
      <c r="D361" s="801"/>
      <c r="E361" s="801"/>
    </row>
    <row r="362" spans="1:5" s="799" customFormat="1" ht="15.75" x14ac:dyDescent="0.2">
      <c r="A362" s="800"/>
      <c r="C362" s="730"/>
      <c r="D362" s="801"/>
      <c r="E362" s="801"/>
    </row>
    <row r="363" spans="1:5" s="799" customFormat="1" ht="15.75" x14ac:dyDescent="0.2">
      <c r="A363" s="800"/>
      <c r="C363" s="730"/>
      <c r="D363" s="801"/>
      <c r="E363" s="801"/>
    </row>
    <row r="364" spans="1:5" s="799" customFormat="1" ht="15.75" x14ac:dyDescent="0.2">
      <c r="A364" s="800"/>
      <c r="C364" s="730"/>
      <c r="D364" s="801"/>
      <c r="E364" s="801"/>
    </row>
    <row r="365" spans="1:5" s="799" customFormat="1" ht="15.75" x14ac:dyDescent="0.2">
      <c r="A365" s="800"/>
      <c r="C365" s="730"/>
      <c r="D365" s="801"/>
      <c r="E365" s="801"/>
    </row>
    <row r="366" spans="1:5" s="799" customFormat="1" ht="15.75" x14ac:dyDescent="0.2">
      <c r="A366" s="800"/>
      <c r="C366" s="730"/>
      <c r="D366" s="801"/>
      <c r="E366" s="801"/>
    </row>
    <row r="367" spans="1:5" s="799" customFormat="1" ht="15.75" x14ac:dyDescent="0.2">
      <c r="A367" s="800"/>
      <c r="C367" s="730"/>
      <c r="D367" s="801"/>
      <c r="E367" s="801"/>
    </row>
    <row r="368" spans="1:5" s="799" customFormat="1" ht="15.75" x14ac:dyDescent="0.2">
      <c r="A368" s="800"/>
      <c r="C368" s="730"/>
      <c r="D368" s="801"/>
      <c r="E368" s="801"/>
    </row>
    <row r="369" spans="1:5" s="799" customFormat="1" ht="15.75" x14ac:dyDescent="0.2">
      <c r="A369" s="800"/>
      <c r="C369" s="730"/>
      <c r="D369" s="801"/>
      <c r="E369" s="801"/>
    </row>
    <row r="370" spans="1:5" s="799" customFormat="1" ht="15.75" x14ac:dyDescent="0.2">
      <c r="A370" s="800"/>
      <c r="C370" s="730"/>
      <c r="D370" s="801"/>
      <c r="E370" s="801"/>
    </row>
    <row r="371" spans="1:5" s="799" customFormat="1" ht="15.75" x14ac:dyDescent="0.2">
      <c r="A371" s="800"/>
      <c r="C371" s="730"/>
      <c r="D371" s="801"/>
      <c r="E371" s="801"/>
    </row>
    <row r="372" spans="1:5" s="799" customFormat="1" ht="15.75" x14ac:dyDescent="0.2">
      <c r="A372" s="800"/>
      <c r="C372" s="730"/>
      <c r="D372" s="801"/>
      <c r="E372" s="801"/>
    </row>
    <row r="373" spans="1:5" s="799" customFormat="1" ht="15.75" x14ac:dyDescent="0.2">
      <c r="A373" s="800"/>
      <c r="C373" s="730"/>
      <c r="D373" s="801"/>
      <c r="E373" s="801"/>
    </row>
    <row r="374" spans="1:5" s="799" customFormat="1" ht="15.75" x14ac:dyDescent="0.2">
      <c r="A374" s="800"/>
      <c r="C374" s="730"/>
      <c r="D374" s="801"/>
      <c r="E374" s="801"/>
    </row>
    <row r="375" spans="1:5" s="799" customFormat="1" ht="15.75" x14ac:dyDescent="0.2">
      <c r="A375" s="800"/>
      <c r="C375" s="730"/>
      <c r="D375" s="801"/>
      <c r="E375" s="801"/>
    </row>
    <row r="376" spans="1:5" s="799" customFormat="1" ht="15.75" x14ac:dyDescent="0.2">
      <c r="A376" s="800"/>
      <c r="C376" s="730"/>
      <c r="D376" s="801"/>
      <c r="E376" s="801"/>
    </row>
    <row r="377" spans="1:5" s="799" customFormat="1" ht="15.75" x14ac:dyDescent="0.2">
      <c r="A377" s="800"/>
      <c r="C377" s="730"/>
      <c r="D377" s="801"/>
      <c r="E377" s="801"/>
    </row>
    <row r="378" spans="1:5" s="799" customFormat="1" ht="15.75" x14ac:dyDescent="0.2">
      <c r="A378" s="800"/>
      <c r="C378" s="730"/>
      <c r="D378" s="801"/>
      <c r="E378" s="801"/>
    </row>
    <row r="379" spans="1:5" s="799" customFormat="1" ht="15.75" x14ac:dyDescent="0.2">
      <c r="A379" s="800"/>
      <c r="C379" s="730"/>
      <c r="D379" s="801"/>
      <c r="E379" s="801"/>
    </row>
    <row r="380" spans="1:5" s="799" customFormat="1" ht="15.75" x14ac:dyDescent="0.2">
      <c r="A380" s="800"/>
      <c r="C380" s="730"/>
      <c r="D380" s="801"/>
      <c r="E380" s="801"/>
    </row>
    <row r="381" spans="1:5" s="799" customFormat="1" ht="15.75" x14ac:dyDescent="0.2">
      <c r="A381" s="800"/>
      <c r="C381" s="730"/>
      <c r="D381" s="801"/>
      <c r="E381" s="801"/>
    </row>
    <row r="382" spans="1:5" s="799" customFormat="1" ht="15.75" x14ac:dyDescent="0.2">
      <c r="A382" s="800"/>
      <c r="C382" s="730"/>
      <c r="D382" s="801"/>
      <c r="E382" s="801"/>
    </row>
    <row r="383" spans="1:5" s="799" customFormat="1" ht="15.75" x14ac:dyDescent="0.2">
      <c r="A383" s="800"/>
      <c r="C383" s="730"/>
      <c r="D383" s="801"/>
      <c r="E383" s="801"/>
    </row>
    <row r="384" spans="1:5" s="799" customFormat="1" ht="15.75" x14ac:dyDescent="0.2">
      <c r="A384" s="800"/>
      <c r="C384" s="730"/>
      <c r="D384" s="801"/>
      <c r="E384" s="801"/>
    </row>
    <row r="385" spans="1:5" s="799" customFormat="1" ht="15.75" x14ac:dyDescent="0.2">
      <c r="A385" s="800"/>
      <c r="C385" s="730"/>
      <c r="D385" s="801"/>
      <c r="E385" s="801"/>
    </row>
    <row r="386" spans="1:5" s="799" customFormat="1" ht="15.75" x14ac:dyDescent="0.2">
      <c r="A386" s="800"/>
      <c r="C386" s="730"/>
      <c r="D386" s="801"/>
      <c r="E386" s="801"/>
    </row>
    <row r="387" spans="1:5" s="799" customFormat="1" ht="15.75" x14ac:dyDescent="0.2">
      <c r="A387" s="800"/>
      <c r="C387" s="730"/>
      <c r="D387" s="801"/>
      <c r="E387" s="801"/>
    </row>
    <row r="388" spans="1:5" s="799" customFormat="1" ht="15.75" x14ac:dyDescent="0.2">
      <c r="A388" s="800"/>
      <c r="C388" s="730"/>
      <c r="D388" s="801"/>
      <c r="E388" s="801"/>
    </row>
    <row r="389" spans="1:5" s="799" customFormat="1" ht="15.75" x14ac:dyDescent="0.2">
      <c r="A389" s="800"/>
      <c r="C389" s="730"/>
      <c r="D389" s="801"/>
      <c r="E389" s="801"/>
    </row>
    <row r="390" spans="1:5" s="799" customFormat="1" ht="15.75" x14ac:dyDescent="0.2">
      <c r="A390" s="800"/>
      <c r="C390" s="730"/>
      <c r="D390" s="801"/>
      <c r="E390" s="801"/>
    </row>
    <row r="391" spans="1:5" s="799" customFormat="1" ht="15.75" x14ac:dyDescent="0.2">
      <c r="A391" s="800"/>
      <c r="C391" s="730"/>
      <c r="D391" s="801"/>
      <c r="E391" s="801"/>
    </row>
    <row r="392" spans="1:5" s="799" customFormat="1" ht="15.75" x14ac:dyDescent="0.2">
      <c r="A392" s="800"/>
      <c r="C392" s="730"/>
      <c r="D392" s="801"/>
      <c r="E392" s="801"/>
    </row>
    <row r="393" spans="1:5" s="799" customFormat="1" ht="15.75" x14ac:dyDescent="0.2">
      <c r="A393" s="800"/>
      <c r="C393" s="730"/>
      <c r="D393" s="801"/>
      <c r="E393" s="801"/>
    </row>
    <row r="394" spans="1:5" s="799" customFormat="1" ht="15.75" x14ac:dyDescent="0.2">
      <c r="A394" s="800"/>
      <c r="C394" s="730"/>
      <c r="D394" s="801"/>
      <c r="E394" s="801"/>
    </row>
    <row r="395" spans="1:5" s="799" customFormat="1" ht="15.75" x14ac:dyDescent="0.2">
      <c r="A395" s="800"/>
      <c r="C395" s="730"/>
      <c r="D395" s="801"/>
      <c r="E395" s="801"/>
    </row>
    <row r="396" spans="1:5" s="799" customFormat="1" ht="15.75" x14ac:dyDescent="0.2">
      <c r="A396" s="800"/>
      <c r="C396" s="730"/>
      <c r="D396" s="801"/>
      <c r="E396" s="801"/>
    </row>
    <row r="397" spans="1:5" s="799" customFormat="1" ht="15.75" x14ac:dyDescent="0.2">
      <c r="A397" s="800"/>
      <c r="C397" s="730"/>
      <c r="D397" s="801"/>
      <c r="E397" s="801"/>
    </row>
    <row r="398" spans="1:5" s="799" customFormat="1" ht="15.75" x14ac:dyDescent="0.2">
      <c r="A398" s="800"/>
      <c r="C398" s="730"/>
      <c r="D398" s="801"/>
      <c r="E398" s="801"/>
    </row>
    <row r="399" spans="1:5" s="799" customFormat="1" ht="15.75" x14ac:dyDescent="0.2">
      <c r="A399" s="800"/>
      <c r="C399" s="730"/>
      <c r="D399" s="801"/>
      <c r="E399" s="801"/>
    </row>
    <row r="400" spans="1:5" s="799" customFormat="1" ht="15.75" x14ac:dyDescent="0.2">
      <c r="A400" s="800"/>
      <c r="C400" s="730"/>
      <c r="D400" s="801"/>
      <c r="E400" s="801"/>
    </row>
    <row r="401" spans="1:5" s="799" customFormat="1" ht="15.75" x14ac:dyDescent="0.2">
      <c r="A401" s="800"/>
      <c r="C401" s="730"/>
      <c r="D401" s="801"/>
      <c r="E401" s="801"/>
    </row>
    <row r="402" spans="1:5" s="799" customFormat="1" ht="15.75" x14ac:dyDescent="0.2">
      <c r="A402" s="800"/>
      <c r="C402" s="730"/>
      <c r="D402" s="801"/>
      <c r="E402" s="801"/>
    </row>
    <row r="403" spans="1:5" s="799" customFormat="1" ht="15.75" x14ac:dyDescent="0.2">
      <c r="A403" s="800"/>
      <c r="C403" s="730"/>
      <c r="D403" s="801"/>
      <c r="E403" s="801"/>
    </row>
    <row r="404" spans="1:5" s="799" customFormat="1" ht="15.75" x14ac:dyDescent="0.2">
      <c r="A404" s="800"/>
      <c r="C404" s="730"/>
      <c r="D404" s="801"/>
      <c r="E404" s="801"/>
    </row>
    <row r="405" spans="1:5" s="799" customFormat="1" ht="15.75" x14ac:dyDescent="0.2">
      <c r="A405" s="800"/>
      <c r="C405" s="730"/>
      <c r="D405" s="801"/>
      <c r="E405" s="801"/>
    </row>
    <row r="406" spans="1:5" s="799" customFormat="1" ht="15.75" x14ac:dyDescent="0.2">
      <c r="A406" s="800"/>
      <c r="C406" s="730"/>
      <c r="D406" s="801"/>
      <c r="E406" s="801"/>
    </row>
    <row r="407" spans="1:5" s="799" customFormat="1" ht="15.75" x14ac:dyDescent="0.2">
      <c r="A407" s="800"/>
      <c r="C407" s="730"/>
      <c r="D407" s="801"/>
      <c r="E407" s="801"/>
    </row>
    <row r="408" spans="1:5" s="799" customFormat="1" ht="15.75" x14ac:dyDescent="0.2">
      <c r="A408" s="800"/>
      <c r="C408" s="730"/>
      <c r="D408" s="801"/>
      <c r="E408" s="801"/>
    </row>
    <row r="409" spans="1:5" s="799" customFormat="1" ht="15.75" x14ac:dyDescent="0.2">
      <c r="A409" s="800"/>
      <c r="C409" s="730"/>
      <c r="D409" s="801"/>
      <c r="E409" s="801"/>
    </row>
    <row r="410" spans="1:5" s="799" customFormat="1" ht="15.75" x14ac:dyDescent="0.2">
      <c r="A410" s="800"/>
      <c r="C410" s="730"/>
      <c r="D410" s="801"/>
      <c r="E410" s="801"/>
    </row>
    <row r="411" spans="1:5" s="799" customFormat="1" ht="15.75" x14ac:dyDescent="0.2">
      <c r="A411" s="800"/>
      <c r="C411" s="730"/>
      <c r="D411" s="801"/>
      <c r="E411" s="801"/>
    </row>
    <row r="412" spans="1:5" s="799" customFormat="1" ht="15.75" x14ac:dyDescent="0.2">
      <c r="A412" s="800"/>
      <c r="C412" s="730"/>
      <c r="D412" s="801"/>
      <c r="E412" s="801"/>
    </row>
    <row r="413" spans="1:5" s="799" customFormat="1" ht="15.75" x14ac:dyDescent="0.2">
      <c r="A413" s="800"/>
      <c r="C413" s="730"/>
      <c r="D413" s="801"/>
      <c r="E413" s="801"/>
    </row>
    <row r="414" spans="1:5" s="799" customFormat="1" ht="15.75" x14ac:dyDescent="0.2">
      <c r="A414" s="800"/>
      <c r="C414" s="730"/>
      <c r="D414" s="801"/>
      <c r="E414" s="801"/>
    </row>
    <row r="415" spans="1:5" s="799" customFormat="1" ht="15.75" x14ac:dyDescent="0.2">
      <c r="A415" s="800"/>
      <c r="C415" s="730"/>
      <c r="D415" s="801"/>
      <c r="E415" s="801"/>
    </row>
    <row r="416" spans="1:5" s="799" customFormat="1" ht="15.75" x14ac:dyDescent="0.2">
      <c r="A416" s="800"/>
      <c r="C416" s="730"/>
      <c r="D416" s="801"/>
      <c r="E416" s="801"/>
    </row>
    <row r="417" spans="1:5" s="799" customFormat="1" ht="15.75" x14ac:dyDescent="0.2">
      <c r="A417" s="800"/>
      <c r="C417" s="730"/>
      <c r="D417" s="801"/>
      <c r="E417" s="801"/>
    </row>
    <row r="418" spans="1:5" s="799" customFormat="1" ht="15.75" x14ac:dyDescent="0.2">
      <c r="A418" s="800"/>
      <c r="C418" s="730"/>
      <c r="D418" s="801"/>
      <c r="E418" s="801"/>
    </row>
    <row r="419" spans="1:5" s="799" customFormat="1" ht="15.75" x14ac:dyDescent="0.2">
      <c r="A419" s="800"/>
      <c r="C419" s="730"/>
      <c r="D419" s="801"/>
      <c r="E419" s="801"/>
    </row>
    <row r="420" spans="1:5" s="799" customFormat="1" ht="15.75" x14ac:dyDescent="0.2">
      <c r="A420" s="800"/>
      <c r="C420" s="730"/>
      <c r="D420" s="801"/>
      <c r="E420" s="801"/>
    </row>
    <row r="421" spans="1:5" s="799" customFormat="1" ht="15.75" x14ac:dyDescent="0.2">
      <c r="A421" s="800"/>
      <c r="C421" s="730"/>
      <c r="D421" s="801"/>
      <c r="E421" s="801"/>
    </row>
    <row r="422" spans="1:5" s="799" customFormat="1" ht="15.75" x14ac:dyDescent="0.2">
      <c r="A422" s="800"/>
      <c r="C422" s="730"/>
      <c r="D422" s="801"/>
      <c r="E422" s="80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8"/>
  <sheetViews>
    <sheetView showGridLines="0" tabSelected="1" topLeftCell="A6" zoomScale="80" zoomScaleNormal="80" zoomScaleSheetLayoutView="80" workbookViewId="0">
      <selection activeCell="C11" sqref="C11"/>
    </sheetView>
  </sheetViews>
  <sheetFormatPr defaultRowHeight="15" x14ac:dyDescent="0.25"/>
  <cols>
    <col min="1" max="1" width="1.42578125" customWidth="1"/>
    <col min="2" max="2" width="1.85546875" customWidth="1"/>
    <col min="5" max="5" width="10.2851562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15" x14ac:dyDescent="0.25">
      <c r="B2" s="170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155"/>
    </row>
    <row r="3" spans="2:15" x14ac:dyDescent="0.25">
      <c r="B3" s="158"/>
      <c r="O3" s="157"/>
    </row>
    <row r="4" spans="2:15" x14ac:dyDescent="0.25">
      <c r="B4" s="158"/>
      <c r="O4" s="157"/>
    </row>
    <row r="5" spans="2:15" x14ac:dyDescent="0.25">
      <c r="B5" s="158"/>
      <c r="O5" s="157"/>
    </row>
    <row r="6" spans="2:15" x14ac:dyDescent="0.25">
      <c r="B6" s="158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57"/>
    </row>
    <row r="7" spans="2:15" ht="31.5" x14ac:dyDescent="0.5">
      <c r="B7" s="158"/>
      <c r="C7" s="172" t="s">
        <v>654</v>
      </c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57"/>
    </row>
    <row r="8" spans="2:15" x14ac:dyDescent="0.25">
      <c r="B8" s="158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57"/>
    </row>
    <row r="9" spans="2:15" x14ac:dyDescent="0.25">
      <c r="B9" s="158"/>
      <c r="O9" s="157"/>
    </row>
    <row r="10" spans="2:15" ht="31.5" x14ac:dyDescent="0.5">
      <c r="B10" s="158"/>
      <c r="C10" s="669" t="s">
        <v>655</v>
      </c>
      <c r="O10" s="157"/>
    </row>
    <row r="11" spans="2:15" ht="31.5" x14ac:dyDescent="0.25">
      <c r="B11" s="158"/>
      <c r="C11" s="324" t="s">
        <v>1034</v>
      </c>
      <c r="O11" s="157"/>
    </row>
    <row r="12" spans="2:15" ht="31.5" x14ac:dyDescent="0.25">
      <c r="B12" s="158"/>
      <c r="C12" s="324" t="s">
        <v>1035</v>
      </c>
      <c r="O12" s="157"/>
    </row>
    <row r="13" spans="2:15" ht="31.5" x14ac:dyDescent="0.25">
      <c r="B13" s="158"/>
      <c r="C13" s="324" t="s">
        <v>1036</v>
      </c>
      <c r="O13" s="157"/>
    </row>
    <row r="14" spans="2:15" ht="31.5" x14ac:dyDescent="0.5">
      <c r="B14" s="158"/>
      <c r="C14" s="669" t="s">
        <v>1037</v>
      </c>
      <c r="D14" s="173"/>
      <c r="O14" s="157"/>
    </row>
    <row r="15" spans="2:15" ht="31.5" x14ac:dyDescent="0.5">
      <c r="B15" s="158"/>
      <c r="D15" s="173"/>
      <c r="O15" s="157"/>
    </row>
    <row r="16" spans="2:15" ht="31.5" x14ac:dyDescent="0.5">
      <c r="B16" s="158"/>
      <c r="C16" s="324" t="s">
        <v>1059</v>
      </c>
      <c r="D16" s="173"/>
      <c r="O16" s="157"/>
    </row>
    <row r="17" spans="2:15" ht="31.5" x14ac:dyDescent="0.5">
      <c r="B17" s="158"/>
      <c r="D17" s="173"/>
      <c r="O17" s="157"/>
    </row>
    <row r="18" spans="2:15" ht="31.5" x14ac:dyDescent="0.5">
      <c r="B18" s="158"/>
      <c r="D18" s="173"/>
      <c r="O18" s="157"/>
    </row>
    <row r="19" spans="2:15" x14ac:dyDescent="0.25">
      <c r="B19" s="158"/>
      <c r="O19" s="157"/>
    </row>
    <row r="20" spans="2:15" x14ac:dyDescent="0.25">
      <c r="B20" s="158"/>
      <c r="C20" s="147" t="s">
        <v>656</v>
      </c>
      <c r="D20" s="193"/>
      <c r="E20" s="166"/>
      <c r="F20" s="230" t="s">
        <v>1038</v>
      </c>
      <c r="G20" s="193"/>
      <c r="H20" s="193"/>
      <c r="I20" s="193"/>
      <c r="J20" s="193"/>
      <c r="K20" s="193"/>
      <c r="L20" s="193"/>
      <c r="M20" s="166"/>
      <c r="O20" s="157"/>
    </row>
    <row r="21" spans="2:15" x14ac:dyDescent="0.25">
      <c r="B21" s="158"/>
      <c r="C21" s="147" t="s">
        <v>657</v>
      </c>
      <c r="D21" s="193"/>
      <c r="E21" s="166"/>
      <c r="F21" s="230" t="s">
        <v>1039</v>
      </c>
      <c r="G21" s="193"/>
      <c r="H21" s="193"/>
      <c r="I21" s="193"/>
      <c r="J21" s="193"/>
      <c r="K21" s="193"/>
      <c r="L21" s="193"/>
      <c r="M21" s="166"/>
      <c r="O21" s="157"/>
    </row>
    <row r="22" spans="2:15" x14ac:dyDescent="0.25">
      <c r="B22" s="158"/>
      <c r="C22" s="147" t="s">
        <v>658</v>
      </c>
      <c r="D22" s="193"/>
      <c r="E22" s="166"/>
      <c r="F22" s="230" t="s">
        <v>1040</v>
      </c>
      <c r="G22" s="193"/>
      <c r="H22" s="193"/>
      <c r="I22" s="193"/>
      <c r="J22" s="193"/>
      <c r="K22" s="193"/>
      <c r="L22" s="193"/>
      <c r="M22" s="166"/>
      <c r="O22" s="157"/>
    </row>
    <row r="23" spans="2:15" x14ac:dyDescent="0.25">
      <c r="B23" s="158"/>
      <c r="C23" s="147" t="s">
        <v>659</v>
      </c>
      <c r="D23" s="193"/>
      <c r="E23" s="166"/>
      <c r="F23" s="230" t="s">
        <v>1041</v>
      </c>
      <c r="G23" s="193"/>
      <c r="H23" s="193"/>
      <c r="I23" s="193"/>
      <c r="J23" s="193"/>
      <c r="K23" s="193"/>
      <c r="L23" s="193"/>
      <c r="M23" s="166"/>
      <c r="O23" s="157"/>
    </row>
    <row r="24" spans="2:15" x14ac:dyDescent="0.25">
      <c r="B24" s="158"/>
      <c r="C24" s="230" t="s">
        <v>660</v>
      </c>
      <c r="D24" s="193"/>
      <c r="E24" s="166"/>
      <c r="F24" s="230" t="s">
        <v>1042</v>
      </c>
      <c r="G24" s="193"/>
      <c r="H24" s="193"/>
      <c r="I24" s="193"/>
      <c r="J24" s="193"/>
      <c r="K24" s="193"/>
      <c r="L24" s="193"/>
      <c r="M24" s="166"/>
      <c r="O24" s="157"/>
    </row>
    <row r="25" spans="2:15" x14ac:dyDescent="0.25">
      <c r="B25" s="158"/>
      <c r="C25" s="147" t="s">
        <v>661</v>
      </c>
      <c r="D25" s="193"/>
      <c r="E25" s="166"/>
      <c r="F25" s="230" t="s">
        <v>1043</v>
      </c>
      <c r="G25" s="193"/>
      <c r="H25" s="193"/>
      <c r="I25" s="193"/>
      <c r="J25" s="193"/>
      <c r="K25" s="193"/>
      <c r="L25" s="193"/>
      <c r="M25" s="166"/>
      <c r="O25" s="157"/>
    </row>
    <row r="26" spans="2:15" x14ac:dyDescent="0.25">
      <c r="B26" s="158"/>
      <c r="C26" s="147" t="s">
        <v>662</v>
      </c>
      <c r="D26" s="193"/>
      <c r="E26" s="166"/>
      <c r="F26" s="230" t="s">
        <v>1044</v>
      </c>
      <c r="G26" s="193"/>
      <c r="H26" s="193"/>
      <c r="I26" s="193"/>
      <c r="J26" s="193"/>
      <c r="K26" s="193"/>
      <c r="L26" s="193"/>
      <c r="M26" s="166"/>
      <c r="O26" s="157"/>
    </row>
    <row r="27" spans="2:15" x14ac:dyDescent="0.25">
      <c r="B27" s="158"/>
      <c r="C27" s="147" t="s">
        <v>663</v>
      </c>
      <c r="D27" s="193"/>
      <c r="E27" s="166"/>
      <c r="F27" s="230" t="s">
        <v>1045</v>
      </c>
      <c r="G27" s="193"/>
      <c r="H27" s="193"/>
      <c r="I27" s="193"/>
      <c r="J27" s="193"/>
      <c r="K27" s="193"/>
      <c r="L27" s="193"/>
      <c r="M27" s="166"/>
      <c r="O27" s="157"/>
    </row>
    <row r="28" spans="2:15" x14ac:dyDescent="0.25">
      <c r="B28" s="159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</row>
  </sheetData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61" t="s">
        <v>664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</row>
    <row r="5" spans="2:17" x14ac:dyDescent="0.25">
      <c r="B5" s="220" t="s">
        <v>665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221"/>
    </row>
    <row r="6" spans="2:17" x14ac:dyDescent="0.25">
      <c r="B6" s="225" t="s">
        <v>666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26"/>
    </row>
    <row r="7" spans="2:17" x14ac:dyDescent="0.25">
      <c r="B7" s="223" t="s">
        <v>667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4"/>
    </row>
    <row r="9" spans="2:17" x14ac:dyDescent="0.25">
      <c r="N9" s="430"/>
      <c r="O9" s="430"/>
      <c r="P9" s="430"/>
    </row>
    <row r="10" spans="2:17" x14ac:dyDescent="0.25">
      <c r="B10" s="220"/>
      <c r="C10" s="815"/>
      <c r="D10" s="815"/>
      <c r="E10" s="815"/>
      <c r="F10" s="815"/>
      <c r="G10" s="815"/>
      <c r="H10" s="221"/>
      <c r="J10" s="220"/>
      <c r="K10" s="815"/>
      <c r="L10" s="815"/>
      <c r="M10" s="815"/>
      <c r="N10" s="218"/>
      <c r="O10" s="218"/>
      <c r="P10" s="218"/>
      <c r="Q10" s="158"/>
    </row>
    <row r="11" spans="2:17" ht="47.25" x14ac:dyDescent="0.25">
      <c r="B11" s="225"/>
      <c r="C11" s="346" t="s">
        <v>668</v>
      </c>
      <c r="D11" s="433"/>
      <c r="E11" s="346" t="s">
        <v>669</v>
      </c>
      <c r="F11" s="433"/>
      <c r="G11" s="429" t="s">
        <v>670</v>
      </c>
      <c r="H11" s="434"/>
      <c r="I11" s="347"/>
      <c r="J11" s="437"/>
      <c r="K11" s="348" t="s">
        <v>671</v>
      </c>
      <c r="L11" s="437"/>
      <c r="M11" s="348" t="s">
        <v>672</v>
      </c>
      <c r="N11" s="433"/>
      <c r="O11" s="348" t="s">
        <v>673</v>
      </c>
      <c r="P11" s="433"/>
      <c r="Q11" s="158"/>
    </row>
    <row r="12" spans="2:17" x14ac:dyDescent="0.25">
      <c r="B12" s="225"/>
      <c r="C12" s="218"/>
      <c r="D12" s="218"/>
      <c r="E12" s="218"/>
      <c r="F12" s="218"/>
      <c r="G12" s="218"/>
      <c r="H12" s="226"/>
      <c r="J12" s="225"/>
      <c r="K12" s="218"/>
      <c r="L12" s="218"/>
      <c r="M12" s="218"/>
      <c r="N12" s="218"/>
      <c r="O12" s="218"/>
      <c r="P12" s="218"/>
      <c r="Q12" s="158"/>
    </row>
    <row r="13" spans="2:17" ht="39.950000000000003" customHeight="1" x14ac:dyDescent="0.25">
      <c r="B13" s="225"/>
      <c r="C13" s="431"/>
      <c r="D13" s="193"/>
      <c r="E13" s="486" t="s">
        <v>674</v>
      </c>
      <c r="F13" s="193"/>
      <c r="G13" s="432"/>
      <c r="H13" s="226"/>
      <c r="J13" s="225"/>
      <c r="K13" s="431"/>
      <c r="L13" s="193"/>
      <c r="M13" s="487" t="s">
        <v>675</v>
      </c>
      <c r="N13" s="193"/>
      <c r="O13" s="432"/>
      <c r="P13" s="218"/>
      <c r="Q13" s="158"/>
    </row>
    <row r="14" spans="2:17" x14ac:dyDescent="0.25">
      <c r="B14" s="225"/>
      <c r="C14" s="218"/>
      <c r="D14" s="218"/>
      <c r="E14" s="218"/>
      <c r="F14" s="218"/>
      <c r="G14" s="218"/>
      <c r="H14" s="226"/>
      <c r="J14" s="225"/>
      <c r="K14" s="218"/>
      <c r="L14" s="218"/>
      <c r="M14" s="218"/>
      <c r="N14" s="218"/>
      <c r="O14" s="218"/>
      <c r="P14" s="218"/>
      <c r="Q14" s="158"/>
    </row>
    <row r="15" spans="2:17" ht="213.75" customHeight="1" x14ac:dyDescent="0.25">
      <c r="B15" s="225"/>
      <c r="C15" s="343" t="s">
        <v>676</v>
      </c>
      <c r="D15" s="435"/>
      <c r="E15" s="344" t="s">
        <v>677</v>
      </c>
      <c r="F15" s="435"/>
      <c r="G15" s="342" t="s">
        <v>678</v>
      </c>
      <c r="H15" s="436"/>
      <c r="I15" s="236"/>
      <c r="J15" s="438"/>
      <c r="K15" s="345" t="s">
        <v>679</v>
      </c>
      <c r="L15" s="438"/>
      <c r="M15" s="379" t="s">
        <v>680</v>
      </c>
      <c r="N15" s="435"/>
      <c r="O15" s="379" t="s">
        <v>681</v>
      </c>
      <c r="P15" s="435"/>
      <c r="Q15" s="158"/>
    </row>
    <row r="16" spans="2:17" x14ac:dyDescent="0.25">
      <c r="B16" s="223"/>
      <c r="C16" s="222"/>
      <c r="D16" s="222"/>
      <c r="E16" s="222"/>
      <c r="F16" s="222"/>
      <c r="G16" s="222"/>
      <c r="H16" s="224"/>
      <c r="J16" s="223"/>
      <c r="K16" s="222"/>
      <c r="L16" s="439"/>
      <c r="M16" s="439"/>
      <c r="N16" s="439"/>
      <c r="O16" s="439"/>
      <c r="P16" s="439"/>
      <c r="Q16" s="158"/>
    </row>
    <row r="19" spans="2:16" x14ac:dyDescent="0.25">
      <c r="B19" s="220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5"/>
      <c r="O19" s="815"/>
      <c r="P19" s="221"/>
    </row>
    <row r="20" spans="2:16" x14ac:dyDescent="0.25">
      <c r="B20" s="225" t="s">
        <v>682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26"/>
    </row>
    <row r="21" spans="2:16" x14ac:dyDescent="0.25">
      <c r="B21" s="440" t="s">
        <v>683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26"/>
    </row>
    <row r="22" spans="2:16" x14ac:dyDescent="0.25">
      <c r="B22" s="441" t="s">
        <v>684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26"/>
    </row>
    <row r="23" spans="2:16" x14ac:dyDescent="0.25">
      <c r="B23" s="442" t="s">
        <v>685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26"/>
    </row>
    <row r="24" spans="2:16" x14ac:dyDescent="0.25">
      <c r="B24" s="441" t="s">
        <v>686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26"/>
    </row>
    <row r="25" spans="2:16" x14ac:dyDescent="0.25">
      <c r="B25" s="441" t="s">
        <v>687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26"/>
    </row>
    <row r="26" spans="2:16" x14ac:dyDescent="0.25">
      <c r="B26" s="225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26"/>
    </row>
    <row r="27" spans="2:16" x14ac:dyDescent="0.25">
      <c r="B27" s="443" t="s">
        <v>1046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26"/>
    </row>
    <row r="28" spans="2:16" x14ac:dyDescent="0.25">
      <c r="B28" s="223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4"/>
    </row>
  </sheetData>
  <sheetProtection algorithmName="SHA-512" hashValue="8KPFmthT46EHFzhnAKgHapEiXwH/icFRXgKSqo07RPxkdMzH7UrslN/fKFNGYI6STQD9Hpum89pJvgVtA8cNwg==" saltValue="dpHmZvgMTJM05PGaQjMedQ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04"/>
  <sheetViews>
    <sheetView showGridLines="0" zoomScale="80" zoomScaleNormal="80" workbookViewId="0"/>
  </sheetViews>
  <sheetFormatPr defaultRowHeight="15" x14ac:dyDescent="0.25"/>
  <cols>
    <col min="1" max="1" width="2.42578125" customWidth="1"/>
    <col min="2" max="2" width="5.85546875" customWidth="1"/>
    <col min="3" max="3" width="63.42578125" customWidth="1"/>
    <col min="4" max="4" width="20.85546875" customWidth="1"/>
    <col min="5" max="5" width="18" customWidth="1"/>
    <col min="6" max="6" width="13.140625" customWidth="1"/>
    <col min="7" max="11" width="13.42578125" customWidth="1"/>
    <col min="12" max="12" width="17" customWidth="1"/>
    <col min="13" max="18" width="13.42578125" customWidth="1"/>
    <col min="19" max="19" width="3.42578125" customWidth="1"/>
  </cols>
  <sheetData>
    <row r="1" spans="2:24" ht="30" customHeight="1" x14ac:dyDescent="0.25">
      <c r="B1" s="502" t="s">
        <v>1051</v>
      </c>
    </row>
    <row r="2" spans="2:24" ht="30" customHeight="1" x14ac:dyDescent="0.25">
      <c r="B2" s="153" t="s">
        <v>688</v>
      </c>
      <c r="C2" s="153"/>
      <c r="D2" s="152"/>
      <c r="E2" s="169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4" spans="2:24" x14ac:dyDescent="0.25">
      <c r="B4" s="154" t="s">
        <v>689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155"/>
    </row>
    <row r="5" spans="2:24" x14ac:dyDescent="0.25">
      <c r="B5" s="158"/>
      <c r="C5" t="s">
        <v>690</v>
      </c>
      <c r="S5" s="157"/>
    </row>
    <row r="6" spans="2:24" x14ac:dyDescent="0.25">
      <c r="B6" s="158"/>
      <c r="C6" t="s">
        <v>691</v>
      </c>
      <c r="S6" s="157"/>
    </row>
    <row r="7" spans="2:24" x14ac:dyDescent="0.25">
      <c r="B7" s="158"/>
      <c r="C7" t="s">
        <v>692</v>
      </c>
      <c r="S7" s="157"/>
    </row>
    <row r="8" spans="2:24" x14ac:dyDescent="0.25">
      <c r="B8" s="159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57"/>
    </row>
    <row r="9" spans="2:24" x14ac:dyDescent="0.25">
      <c r="S9" s="193"/>
    </row>
    <row r="10" spans="2:24" x14ac:dyDescent="0.25">
      <c r="B10" s="154" t="s">
        <v>693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14"/>
      <c r="Q10" s="814"/>
      <c r="R10" s="814"/>
      <c r="S10" s="157"/>
    </row>
    <row r="11" spans="2:24" x14ac:dyDescent="0.25">
      <c r="B11" s="156"/>
      <c r="C11" t="s">
        <v>694</v>
      </c>
      <c r="E11" s="148" t="s">
        <v>21</v>
      </c>
      <c r="S11" s="157"/>
    </row>
    <row r="12" spans="2:24" x14ac:dyDescent="0.25">
      <c r="B12" s="156"/>
      <c r="C12" t="s">
        <v>41</v>
      </c>
      <c r="E12" s="148" t="s">
        <v>62</v>
      </c>
      <c r="G12" s="126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7"/>
    </row>
    <row r="13" spans="2:24" x14ac:dyDescent="0.25">
      <c r="B13" s="156"/>
      <c r="E13" s="582"/>
      <c r="G13" s="589">
        <f>2.05533586601874%</f>
        <v>2.0553358660187402E-2</v>
      </c>
      <c r="H13" t="s">
        <v>695</v>
      </c>
      <c r="S13" s="157"/>
    </row>
    <row r="14" spans="2:24" x14ac:dyDescent="0.25">
      <c r="B14" s="156"/>
      <c r="C14" s="146"/>
      <c r="G14" s="126">
        <f>(100%+G13)*G12</f>
        <v>46148904.437507473</v>
      </c>
      <c r="H14" t="s">
        <v>696</v>
      </c>
      <c r="S14" s="157"/>
    </row>
    <row r="15" spans="2:24" x14ac:dyDescent="0.25">
      <c r="B15" s="158"/>
      <c r="C15" t="s">
        <v>697</v>
      </c>
      <c r="E15" s="590" t="s">
        <v>19</v>
      </c>
      <c r="F15" s="168" t="str">
        <f>IF(E15="yes","","If no, enter current locality population below")</f>
        <v/>
      </c>
      <c r="S15" s="157"/>
    </row>
    <row r="16" spans="2:24" x14ac:dyDescent="0.25">
      <c r="B16" s="158"/>
      <c r="F16" s="168" t="str">
        <f>IF(AND(NOT(ISBLANK(E17)),E15="yes"),"error - change cell above to 'no'","")</f>
        <v/>
      </c>
      <c r="S16" s="157"/>
    </row>
    <row r="17" spans="2:24" x14ac:dyDescent="0.25">
      <c r="B17" s="158"/>
      <c r="C17" t="str">
        <f>"Manually entered current locality population "&amp;IF(E15="no","","(n/a)")</f>
        <v>Manually entered current locality population (n/a)</v>
      </c>
      <c r="E17" s="591"/>
      <c r="F17" s="670" t="str">
        <f>IF(E15="yes","Leave blue cell on left blank if NICE estimate is used","")</f>
        <v>Leave blue cell on left blank if NICE estimate is used</v>
      </c>
      <c r="S17" s="157"/>
    </row>
    <row r="18" spans="2:24" x14ac:dyDescent="0.25">
      <c r="B18" s="158"/>
      <c r="F18" s="168" t="str">
        <f>IF(AND(ISBLANK(E17),E15="no"),"error - enter current locality population above","")</f>
        <v/>
      </c>
      <c r="S18" s="157"/>
    </row>
    <row r="19" spans="2:24" x14ac:dyDescent="0.25">
      <c r="B19" s="158"/>
      <c r="C19" t="s">
        <v>698</v>
      </c>
      <c r="D19" s="150"/>
      <c r="E19" s="589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7"/>
    </row>
    <row r="20" spans="2:24" x14ac:dyDescent="0.25">
      <c r="B20" s="158"/>
      <c r="C20" t="s">
        <v>699</v>
      </c>
      <c r="D20" s="150"/>
      <c r="E20" s="589">
        <v>0</v>
      </c>
      <c r="F20" t="str">
        <f>IF(E20=0,"Enter local value or delete the NICE assumption if required","Local value")</f>
        <v>Enter local value or delete the NICE assumption if required</v>
      </c>
      <c r="S20" s="157"/>
    </row>
    <row r="21" spans="2:24" x14ac:dyDescent="0.25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1"/>
    </row>
    <row r="23" spans="2:24" x14ac:dyDescent="0.25">
      <c r="B23" s="154" t="s">
        <v>700</v>
      </c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814"/>
      <c r="N23" s="814"/>
      <c r="O23" s="814"/>
      <c r="P23" s="814"/>
      <c r="Q23" s="814"/>
      <c r="R23" s="814"/>
      <c r="S23" s="814"/>
      <c r="T23" s="814"/>
      <c r="U23" s="814"/>
      <c r="V23" s="814"/>
      <c r="W23" s="814"/>
      <c r="X23" s="155"/>
    </row>
    <row r="24" spans="2:24" ht="84.95" customHeight="1" x14ac:dyDescent="0.25">
      <c r="B24" s="156"/>
      <c r="F24" s="232" t="s">
        <v>701</v>
      </c>
      <c r="G24" s="163" t="s">
        <v>702</v>
      </c>
      <c r="H24" s="220" t="s">
        <v>703</v>
      </c>
      <c r="I24" s="815"/>
      <c r="J24" s="815"/>
      <c r="K24" s="815"/>
      <c r="L24" s="815"/>
      <c r="M24" s="815"/>
      <c r="N24" s="815"/>
      <c r="O24" s="815"/>
      <c r="P24" s="815"/>
      <c r="Q24" s="815"/>
      <c r="R24" s="815"/>
      <c r="S24" s="815"/>
      <c r="T24" s="815"/>
      <c r="U24" s="815"/>
      <c r="V24" s="815"/>
      <c r="W24" s="815"/>
      <c r="X24" s="221"/>
    </row>
    <row r="25" spans="2:24" x14ac:dyDescent="0.25">
      <c r="B25" s="156"/>
      <c r="C25" s="231" t="s">
        <v>704</v>
      </c>
      <c r="D25" s="234"/>
      <c r="E25" s="166"/>
      <c r="F25" s="126">
        <f>IF(ISBLANK(E17),G14,'Population selection'!F16)</f>
        <v>46148904.437507473</v>
      </c>
      <c r="G25" s="233"/>
      <c r="H25" s="230" t="s">
        <v>705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66"/>
    </row>
    <row r="26" spans="2:24" x14ac:dyDescent="0.25">
      <c r="B26" s="156"/>
      <c r="C26" s="583" t="s">
        <v>706</v>
      </c>
      <c r="D26" s="235"/>
      <c r="E26" s="166"/>
      <c r="F26" s="202"/>
      <c r="G26" s="126">
        <f>K40</f>
        <v>48417016.421111427</v>
      </c>
      <c r="H26" s="230" t="s">
        <v>705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1"/>
    </row>
    <row r="27" spans="2:24" x14ac:dyDescent="0.25">
      <c r="B27" s="158"/>
      <c r="C27" s="165" t="s">
        <v>707</v>
      </c>
      <c r="D27" s="166"/>
      <c r="E27" s="589">
        <v>1.1046849458589978E-3</v>
      </c>
      <c r="F27" s="592">
        <f>E27*F25</f>
        <v>50980.000000000007</v>
      </c>
      <c r="G27" s="592">
        <f>E27*G26</f>
        <v>53485.549163809686</v>
      </c>
      <c r="H27" s="504" t="s">
        <v>708</v>
      </c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66"/>
    </row>
    <row r="28" spans="2:24" ht="45" x14ac:dyDescent="0.25">
      <c r="B28" s="158"/>
      <c r="C28" s="165" t="s">
        <v>1047</v>
      </c>
      <c r="D28" s="166"/>
      <c r="E28" s="589">
        <v>6.6900000000000001E-2</v>
      </c>
      <c r="F28" s="592">
        <f>E28*F27</f>
        <v>3410.5620000000004</v>
      </c>
      <c r="G28" s="592">
        <f>E28*G27</f>
        <v>3578.1832390588679</v>
      </c>
      <c r="H28" s="844" t="s">
        <v>1052</v>
      </c>
      <c r="I28" s="845"/>
      <c r="J28" s="845"/>
      <c r="K28" s="845"/>
      <c r="L28" s="845"/>
      <c r="M28" s="845"/>
      <c r="N28" s="845"/>
      <c r="O28" s="845"/>
      <c r="P28" s="845"/>
      <c r="Q28" s="845"/>
      <c r="R28" s="845"/>
      <c r="S28" s="845"/>
      <c r="T28" s="845"/>
      <c r="U28" s="845"/>
      <c r="V28" s="845"/>
      <c r="W28" s="845"/>
      <c r="X28" s="846"/>
    </row>
    <row r="29" spans="2:24" ht="30" customHeight="1" x14ac:dyDescent="0.25">
      <c r="B29" s="158"/>
      <c r="C29" s="165" t="s">
        <v>709</v>
      </c>
      <c r="D29" s="166"/>
      <c r="E29" s="589">
        <v>0.40799999999999997</v>
      </c>
      <c r="F29" s="592">
        <f>E29*F28</f>
        <v>1391.5092959999999</v>
      </c>
      <c r="G29" s="592">
        <f t="shared" ref="G29:G30" si="0">E29*G28</f>
        <v>1459.8987615360179</v>
      </c>
      <c r="H29" s="847" t="s">
        <v>710</v>
      </c>
      <c r="I29" s="848"/>
      <c r="J29" s="848"/>
      <c r="K29" s="848"/>
      <c r="L29" s="848"/>
      <c r="M29" s="848"/>
      <c r="N29" s="848"/>
      <c r="O29" s="848"/>
      <c r="P29" s="848"/>
      <c r="Q29" s="848"/>
      <c r="R29" s="848"/>
      <c r="S29" s="848"/>
      <c r="T29" s="848"/>
      <c r="U29" s="848"/>
      <c r="V29" s="848"/>
      <c r="W29" s="848"/>
      <c r="X29" s="849"/>
    </row>
    <row r="30" spans="2:24" ht="30" x14ac:dyDescent="0.25">
      <c r="B30" s="158"/>
      <c r="C30" s="165" t="s">
        <v>711</v>
      </c>
      <c r="D30" s="166"/>
      <c r="E30" s="589">
        <v>0.8</v>
      </c>
      <c r="F30" s="592">
        <f>E30*F29</f>
        <v>1113.2074368000001</v>
      </c>
      <c r="G30" s="592">
        <f t="shared" si="0"/>
        <v>1167.9190092288143</v>
      </c>
      <c r="H30" s="194" t="s">
        <v>712</v>
      </c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66"/>
    </row>
    <row r="31" spans="2:24" x14ac:dyDescent="0.25">
      <c r="B31" s="158"/>
      <c r="C31" s="219" t="s">
        <v>713</v>
      </c>
      <c r="D31" s="193"/>
      <c r="E31" s="825"/>
      <c r="F31" s="178">
        <f>F30</f>
        <v>1113.2074368000001</v>
      </c>
      <c r="G31" s="178">
        <f>G30</f>
        <v>1167.9190092288143</v>
      </c>
      <c r="H31" s="194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66"/>
    </row>
    <row r="32" spans="2:24" x14ac:dyDescent="0.25">
      <c r="B32" s="158"/>
      <c r="C32" s="337"/>
      <c r="E32" s="338"/>
      <c r="F32" s="339"/>
      <c r="G32" s="339"/>
      <c r="H32" s="187"/>
      <c r="X32" s="157"/>
    </row>
    <row r="33" spans="2:24" x14ac:dyDescent="0.25">
      <c r="B33" s="158"/>
      <c r="C33" t="s">
        <v>714</v>
      </c>
      <c r="F33" s="590" t="s">
        <v>19</v>
      </c>
      <c r="G33" s="339"/>
      <c r="H33" s="187"/>
      <c r="X33" s="157"/>
    </row>
    <row r="34" spans="2:24" x14ac:dyDescent="0.25">
      <c r="B34" s="158"/>
      <c r="C34" s="337"/>
      <c r="E34" s="338"/>
      <c r="F34" s="339"/>
      <c r="G34" s="339"/>
      <c r="H34" s="187"/>
      <c r="X34" s="157"/>
    </row>
    <row r="35" spans="2:24" x14ac:dyDescent="0.25">
      <c r="B35" s="158"/>
      <c r="C35" t="str">
        <f>"Manually entered current eligible population "&amp;IF(F33="no","","(n/a)")</f>
        <v>Manually entered current eligible population (n/a)</v>
      </c>
      <c r="F35" s="593"/>
      <c r="G35" s="667" t="str">
        <f>IF(F33="yes","Leave blue cell on left blank if NICE estimate is used","local value")</f>
        <v>Leave blue cell on left blank if NICE estimate is used</v>
      </c>
      <c r="X35" s="157"/>
    </row>
    <row r="36" spans="2:24" x14ac:dyDescent="0.25">
      <c r="B36" s="158"/>
      <c r="G36" s="528" t="str">
        <f>IF(AND(F33="yes",F35&gt;0),"error, set the drop down above to be 'no'","")</f>
        <v/>
      </c>
      <c r="X36" s="157"/>
    </row>
    <row r="37" spans="2:24" ht="45" x14ac:dyDescent="0.25">
      <c r="B37" s="158"/>
      <c r="C37" s="160"/>
      <c r="F37" s="228" t="s">
        <v>701</v>
      </c>
      <c r="G37" s="163" t="s">
        <v>715</v>
      </c>
      <c r="H37" s="163" t="s">
        <v>716</v>
      </c>
      <c r="I37" s="229" t="s">
        <v>717</v>
      </c>
      <c r="J37" s="163" t="s">
        <v>718</v>
      </c>
      <c r="K37" s="163" t="s">
        <v>719</v>
      </c>
      <c r="L37" s="529"/>
      <c r="M37" s="529"/>
      <c r="N37" s="529"/>
      <c r="O37" s="529"/>
      <c r="P37" s="529"/>
      <c r="Q37" s="529"/>
      <c r="X37" s="157"/>
    </row>
    <row r="38" spans="2:24" x14ac:dyDescent="0.25">
      <c r="B38" s="158"/>
      <c r="C38" s="230" t="s">
        <v>720</v>
      </c>
      <c r="D38" s="193"/>
      <c r="E38" s="166"/>
      <c r="F38" s="202"/>
      <c r="G38" s="331">
        <f>IF(E19&lt;&gt;"",E19+100%,100%)</f>
        <v>1.0096418074639288</v>
      </c>
      <c r="H38" s="331">
        <f>IF($E$19&lt;&gt;"",G38*(100%+$E$19),100%)</f>
        <v>1.0193765793790293</v>
      </c>
      <c r="I38" s="331">
        <f>IF($E$19&lt;&gt;"",H38*(100%+$E$19),100%)</f>
        <v>1.0292052120906403</v>
      </c>
      <c r="J38" s="331">
        <f>IF($E$19&lt;&gt;"",I38*(100%+$E$19),100%)</f>
        <v>1.0391286105864903</v>
      </c>
      <c r="K38" s="331">
        <f>IF($E$19&lt;&gt;"",J38*(100%+$E$19),100%)</f>
        <v>1.0491476885800251</v>
      </c>
      <c r="L38" t="s">
        <v>721</v>
      </c>
      <c r="M38" s="519"/>
      <c r="N38" s="519"/>
      <c r="O38" s="519"/>
      <c r="P38" s="519"/>
      <c r="Q38" s="519"/>
      <c r="X38" s="157"/>
    </row>
    <row r="39" spans="2:24" x14ac:dyDescent="0.25">
      <c r="B39" s="158"/>
      <c r="C39" s="230" t="s">
        <v>722</v>
      </c>
      <c r="D39" s="193"/>
      <c r="E39" s="166"/>
      <c r="F39" s="202"/>
      <c r="G39" s="331">
        <f>IF(E20&lt;&gt;"",E20+100%,100%)</f>
        <v>1</v>
      </c>
      <c r="H39" s="331">
        <f>IF($E$20&lt;&gt;"",G39*(100%+$E$20),100%)</f>
        <v>1</v>
      </c>
      <c r="I39" s="331">
        <f>IF($E$20&lt;&gt;"",H39*(100%+$E$20),100%)</f>
        <v>1</v>
      </c>
      <c r="J39" s="331">
        <f>IF($E$20&lt;&gt;"",I39*(100%+$E$20),100%)</f>
        <v>1</v>
      </c>
      <c r="K39" s="331">
        <f>IF($E$20&lt;&gt;"",J39*(100%+$E$20),100%)</f>
        <v>1</v>
      </c>
      <c r="L39" t="s">
        <v>721</v>
      </c>
      <c r="M39" s="519"/>
      <c r="N39" s="519"/>
      <c r="O39" s="519"/>
      <c r="P39" s="519"/>
      <c r="Q39" s="519"/>
      <c r="X39" s="157"/>
    </row>
    <row r="40" spans="2:24" x14ac:dyDescent="0.25">
      <c r="B40" s="158"/>
      <c r="C40" s="375" t="str">
        <f>IF('Inputs and eligible population'!E17=0,"Baseline population (inflated by growth(s))","Manually entered locality population (inflated by growth(s))")</f>
        <v>Baseline population (inflated by growth(s))</v>
      </c>
      <c r="D40" s="193"/>
      <c r="E40" s="166"/>
      <c r="F40" s="126">
        <f>IF(ISBLANK(E17),G14,'Population selection'!F16)</f>
        <v>46148904.437507473</v>
      </c>
      <c r="G40" s="126">
        <f>F40*G38</f>
        <v>46593863.28876517</v>
      </c>
      <c r="H40" s="126">
        <f>F40*H38</f>
        <v>47043112.347596072</v>
      </c>
      <c r="I40" s="126">
        <f>F40*I38</f>
        <v>47496692.979355574</v>
      </c>
      <c r="J40" s="126">
        <f>F40*J38</f>
        <v>47954646.948235855</v>
      </c>
      <c r="K40" s="126">
        <f>F40*K38</f>
        <v>48417016.421111427</v>
      </c>
      <c r="M40" s="279"/>
      <c r="N40" s="279"/>
      <c r="O40" s="279"/>
      <c r="P40" s="279"/>
      <c r="Q40" s="279"/>
      <c r="X40" s="157"/>
    </row>
    <row r="41" spans="2:24" x14ac:dyDescent="0.25">
      <c r="B41" s="158"/>
      <c r="C41" s="219" t="str">
        <f>IF(ISBLANK(F35),"Eligible population, NICE estimate","Eligible population, local estimate")</f>
        <v>Eligible population, NICE estimate</v>
      </c>
      <c r="D41" s="193"/>
      <c r="E41" s="166"/>
      <c r="F41" s="178">
        <f>IF(ISBLANK(F35),F31,F35)</f>
        <v>1113.2074368000001</v>
      </c>
      <c r="G41" s="178">
        <f>$F$41*G38*G39</f>
        <v>1123.9407685730393</v>
      </c>
      <c r="H41" s="178">
        <f>$F$41*H38*H39</f>
        <v>1134.7775890644809</v>
      </c>
      <c r="I41" s="178">
        <f>$F$41*I38*I39</f>
        <v>1145.7188960926221</v>
      </c>
      <c r="J41" s="178">
        <f>$F$41*J38*J39</f>
        <v>1156.7656970965322</v>
      </c>
      <c r="K41" s="178">
        <f>$F$41*K38*K39</f>
        <v>1167.9190092288145</v>
      </c>
      <c r="L41" s="168" t="str">
        <f>IF(F33="no","local estimate used","")</f>
        <v/>
      </c>
      <c r="M41" s="339"/>
      <c r="N41" s="339"/>
      <c r="O41" s="339"/>
      <c r="P41" s="339"/>
      <c r="Q41" s="339"/>
      <c r="X41" s="157"/>
    </row>
    <row r="42" spans="2:24" x14ac:dyDescent="0.25"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1"/>
    </row>
    <row r="45" spans="2:24" x14ac:dyDescent="0.25">
      <c r="B45" s="154" t="s">
        <v>723</v>
      </c>
      <c r="C45" s="814"/>
      <c r="D45" s="814"/>
      <c r="E45" s="814"/>
      <c r="F45" s="814"/>
      <c r="G45" s="814"/>
      <c r="H45" s="814"/>
      <c r="I45" s="814"/>
      <c r="J45" s="814"/>
      <c r="K45" s="814"/>
      <c r="L45" s="814"/>
      <c r="M45" s="814"/>
      <c r="N45" s="814"/>
      <c r="O45" s="814"/>
      <c r="P45" s="814"/>
      <c r="Q45" s="814"/>
      <c r="R45" s="814"/>
      <c r="S45" s="155"/>
    </row>
    <row r="46" spans="2:24" x14ac:dyDescent="0.25">
      <c r="B46" s="158"/>
      <c r="D46" s="205" t="s">
        <v>1062</v>
      </c>
      <c r="E46" s="205" t="s">
        <v>724</v>
      </c>
      <c r="F46" s="205" t="s">
        <v>725</v>
      </c>
      <c r="G46" s="205" t="s">
        <v>726</v>
      </c>
      <c r="H46" s="205" t="s">
        <v>727</v>
      </c>
      <c r="I46" s="205" t="s">
        <v>728</v>
      </c>
      <c r="J46" s="205" t="s">
        <v>729</v>
      </c>
      <c r="K46" s="205" t="s">
        <v>730</v>
      </c>
      <c r="L46" s="522"/>
      <c r="M46" s="522"/>
      <c r="N46" s="522"/>
      <c r="O46" s="522"/>
      <c r="P46" s="522"/>
      <c r="Q46" s="522"/>
      <c r="S46" s="157"/>
    </row>
    <row r="47" spans="2:24" x14ac:dyDescent="0.25">
      <c r="B47" s="158"/>
      <c r="C47" s="326" t="s">
        <v>754</v>
      </c>
      <c r="D47" s="594">
        <v>28</v>
      </c>
      <c r="E47" s="595">
        <v>28</v>
      </c>
      <c r="F47" s="630">
        <v>7.8</v>
      </c>
      <c r="G47" s="601"/>
      <c r="H47" s="601"/>
      <c r="I47" s="601"/>
      <c r="J47" s="601"/>
      <c r="K47" s="325">
        <f>SUM(F47:J47)</f>
        <v>7.8</v>
      </c>
      <c r="S47" s="157"/>
    </row>
    <row r="48" spans="2:24" x14ac:dyDescent="0.25">
      <c r="B48" s="158"/>
      <c r="C48" s="326" t="s">
        <v>1028</v>
      </c>
      <c r="D48" s="597">
        <v>28</v>
      </c>
      <c r="E48" s="598">
        <v>28</v>
      </c>
      <c r="F48" s="631">
        <v>7.9</v>
      </c>
      <c r="G48" s="601"/>
      <c r="H48" s="601"/>
      <c r="I48" s="601"/>
      <c r="J48" s="601"/>
      <c r="K48" s="325">
        <f t="shared" ref="K48:K49" si="1">SUM(F48:J48)</f>
        <v>7.9</v>
      </c>
      <c r="L48" s="520"/>
      <c r="M48" s="520"/>
      <c r="N48" s="520"/>
      <c r="O48" s="520"/>
      <c r="P48" s="520"/>
      <c r="Q48" s="520"/>
      <c r="S48" s="157"/>
    </row>
    <row r="49" spans="2:19" x14ac:dyDescent="0.25">
      <c r="B49" s="158"/>
      <c r="C49" s="326" t="s">
        <v>1029</v>
      </c>
      <c r="D49" s="597">
        <v>30</v>
      </c>
      <c r="E49" s="598">
        <v>30</v>
      </c>
      <c r="F49" s="631">
        <v>6.3</v>
      </c>
      <c r="G49" s="601"/>
      <c r="H49" s="601"/>
      <c r="I49" s="601"/>
      <c r="J49" s="601"/>
      <c r="K49" s="325">
        <f t="shared" si="1"/>
        <v>6.3</v>
      </c>
      <c r="S49" s="157"/>
    </row>
    <row r="50" spans="2:19" x14ac:dyDescent="0.25">
      <c r="B50" s="158"/>
      <c r="D50" s="150"/>
      <c r="E50" s="150"/>
      <c r="F50" s="150"/>
      <c r="G50" s="150"/>
      <c r="S50" s="157"/>
    </row>
    <row r="51" spans="2:19" ht="32.1" customHeight="1" x14ac:dyDescent="0.25">
      <c r="B51" s="158"/>
      <c r="C51" s="202" t="s">
        <v>731</v>
      </c>
      <c r="D51" s="207" t="s">
        <v>732</v>
      </c>
      <c r="E51" s="203"/>
      <c r="F51" s="203"/>
      <c r="G51" s="203"/>
      <c r="H51" s="204"/>
      <c r="I51" s="205" t="s">
        <v>733</v>
      </c>
      <c r="J51" s="163" t="s">
        <v>734</v>
      </c>
      <c r="K51" s="205" t="s">
        <v>735</v>
      </c>
      <c r="S51" s="157"/>
    </row>
    <row r="52" spans="2:19" x14ac:dyDescent="0.25">
      <c r="B52" s="158"/>
      <c r="C52" s="326" t="s">
        <v>736</v>
      </c>
      <c r="D52" s="194" t="s">
        <v>737</v>
      </c>
      <c r="E52" s="195"/>
      <c r="F52" s="195"/>
      <c r="G52" s="195"/>
      <c r="H52" s="193"/>
      <c r="I52" s="599"/>
      <c r="J52" s="600">
        <v>0</v>
      </c>
      <c r="K52" s="822" t="s">
        <v>1048</v>
      </c>
      <c r="S52" s="157"/>
    </row>
    <row r="53" spans="2:19" x14ac:dyDescent="0.25">
      <c r="B53" s="158"/>
      <c r="C53" s="326" t="s">
        <v>738</v>
      </c>
      <c r="D53" s="194" t="s">
        <v>739</v>
      </c>
      <c r="E53" s="195"/>
      <c r="F53" s="195"/>
      <c r="G53" s="195"/>
      <c r="H53" s="193"/>
      <c r="I53" s="599"/>
      <c r="J53" s="600">
        <v>0</v>
      </c>
      <c r="K53" s="826" t="s">
        <v>1048</v>
      </c>
      <c r="S53" s="157"/>
    </row>
    <row r="54" spans="2:19" x14ac:dyDescent="0.25">
      <c r="B54" s="158"/>
      <c r="C54" s="326" t="s">
        <v>740</v>
      </c>
      <c r="D54" s="194" t="s">
        <v>741</v>
      </c>
      <c r="E54" s="195"/>
      <c r="F54" s="195"/>
      <c r="G54" s="195"/>
      <c r="H54" s="193"/>
      <c r="I54" s="599">
        <v>77.239999999999995</v>
      </c>
      <c r="J54" s="600">
        <v>0.2</v>
      </c>
      <c r="K54" s="823" t="s">
        <v>1057</v>
      </c>
      <c r="L54" s="828"/>
      <c r="M54" s="521"/>
      <c r="N54" s="521"/>
      <c r="O54" s="521"/>
      <c r="P54" s="521"/>
      <c r="Q54" s="521"/>
      <c r="S54" s="157"/>
    </row>
    <row r="55" spans="2:19" x14ac:dyDescent="0.25">
      <c r="B55" s="158"/>
      <c r="C55" s="326" t="s">
        <v>742</v>
      </c>
      <c r="D55" s="194" t="s">
        <v>743</v>
      </c>
      <c r="E55" s="195"/>
      <c r="F55" s="195"/>
      <c r="G55" s="195"/>
      <c r="H55" s="193"/>
      <c r="I55" s="599"/>
      <c r="J55" s="600">
        <v>0</v>
      </c>
      <c r="K55" s="826" t="s">
        <v>1048</v>
      </c>
      <c r="L55" s="521"/>
      <c r="M55" s="521"/>
      <c r="N55" s="521"/>
      <c r="O55" s="521"/>
      <c r="P55" s="521"/>
      <c r="Q55" s="521"/>
      <c r="S55" s="157"/>
    </row>
    <row r="56" spans="2:19" x14ac:dyDescent="0.25">
      <c r="B56" s="158"/>
      <c r="C56" s="326" t="s">
        <v>744</v>
      </c>
      <c r="D56" s="194" t="s">
        <v>745</v>
      </c>
      <c r="E56" s="195"/>
      <c r="F56" s="195"/>
      <c r="G56" s="195"/>
      <c r="H56" s="193"/>
      <c r="I56" s="599">
        <v>6.02</v>
      </c>
      <c r="J56" s="600">
        <v>0</v>
      </c>
      <c r="K56" s="823" t="s">
        <v>1057</v>
      </c>
      <c r="L56" s="828"/>
      <c r="M56" s="521"/>
      <c r="N56" s="521"/>
      <c r="O56" s="521"/>
      <c r="P56" s="521"/>
      <c r="Q56" s="521"/>
      <c r="S56" s="157"/>
    </row>
    <row r="57" spans="2:19" x14ac:dyDescent="0.25">
      <c r="B57" s="158"/>
      <c r="C57" s="191"/>
      <c r="D57" s="150"/>
      <c r="E57" s="150"/>
      <c r="F57" s="150"/>
      <c r="G57" s="150"/>
      <c r="S57" s="157"/>
    </row>
    <row r="58" spans="2:19" x14ac:dyDescent="0.25">
      <c r="B58" s="158"/>
      <c r="C58" s="146" t="s">
        <v>746</v>
      </c>
      <c r="S58" s="157"/>
    </row>
    <row r="59" spans="2:19" x14ac:dyDescent="0.25">
      <c r="B59" s="158"/>
      <c r="D59" s="341" t="s">
        <v>747</v>
      </c>
      <c r="E59" s="206" t="s">
        <v>748</v>
      </c>
      <c r="F59" s="206" t="s">
        <v>749</v>
      </c>
      <c r="G59" s="206" t="s">
        <v>753</v>
      </c>
      <c r="H59" s="206" t="s">
        <v>750</v>
      </c>
      <c r="I59" s="205" t="s">
        <v>751</v>
      </c>
      <c r="J59" s="205" t="s">
        <v>752</v>
      </c>
      <c r="L59" s="205" t="s">
        <v>748</v>
      </c>
      <c r="M59" s="530" t="s">
        <v>749</v>
      </c>
      <c r="N59" s="206" t="s">
        <v>753</v>
      </c>
      <c r="O59" s="206" t="s">
        <v>750</v>
      </c>
      <c r="P59" s="205" t="s">
        <v>751</v>
      </c>
      <c r="Q59" s="205" t="s">
        <v>752</v>
      </c>
      <c r="S59" s="157"/>
    </row>
    <row r="60" spans="2:19" ht="30" x14ac:dyDescent="0.25">
      <c r="B60" s="158"/>
      <c r="D60" s="819" t="s">
        <v>754</v>
      </c>
      <c r="E60" s="602">
        <v>0</v>
      </c>
      <c r="F60" s="603">
        <v>0.3</v>
      </c>
      <c r="G60" s="603">
        <v>0.4</v>
      </c>
      <c r="H60" s="603">
        <v>0.5</v>
      </c>
      <c r="I60" s="603">
        <v>0.5</v>
      </c>
      <c r="J60" s="603">
        <v>0.5</v>
      </c>
      <c r="L60" s="531">
        <f t="shared" ref="L60:Q60" si="2">F41*E60</f>
        <v>0</v>
      </c>
      <c r="M60" s="523">
        <f t="shared" si="2"/>
        <v>337.18223057191182</v>
      </c>
      <c r="N60" s="523">
        <f t="shared" si="2"/>
        <v>453.91103562579241</v>
      </c>
      <c r="O60" s="523">
        <f t="shared" si="2"/>
        <v>572.85944804631106</v>
      </c>
      <c r="P60" s="523">
        <f t="shared" si="2"/>
        <v>578.38284854826611</v>
      </c>
      <c r="Q60" s="523">
        <f t="shared" si="2"/>
        <v>583.95950461440725</v>
      </c>
      <c r="S60" s="157"/>
    </row>
    <row r="61" spans="2:19" ht="30" x14ac:dyDescent="0.25">
      <c r="B61" s="158"/>
      <c r="D61" s="819" t="s">
        <v>755</v>
      </c>
      <c r="E61" s="602">
        <v>0.22</v>
      </c>
      <c r="F61" s="603">
        <v>0.14000000000000001</v>
      </c>
      <c r="G61" s="603">
        <v>0.12</v>
      </c>
      <c r="H61" s="603">
        <v>0.1</v>
      </c>
      <c r="I61" s="603">
        <v>0.1</v>
      </c>
      <c r="J61" s="603">
        <v>0.1</v>
      </c>
      <c r="L61" s="523">
        <f t="shared" ref="L61:Q61" si="3">F41*E61</f>
        <v>244.90563609600002</v>
      </c>
      <c r="M61" s="523">
        <f t="shared" si="3"/>
        <v>157.35170760022552</v>
      </c>
      <c r="N61" s="523">
        <f t="shared" si="3"/>
        <v>136.17331068773771</v>
      </c>
      <c r="O61" s="523">
        <f t="shared" si="3"/>
        <v>114.57188960926221</v>
      </c>
      <c r="P61" s="523">
        <f t="shared" si="3"/>
        <v>115.67656970965322</v>
      </c>
      <c r="Q61" s="523">
        <f t="shared" si="3"/>
        <v>116.79190092288145</v>
      </c>
      <c r="S61" s="157"/>
    </row>
    <row r="62" spans="2:19" ht="30" x14ac:dyDescent="0.25">
      <c r="B62" s="158"/>
      <c r="D62" s="819" t="s">
        <v>756</v>
      </c>
      <c r="E62" s="602">
        <v>0.78</v>
      </c>
      <c r="F62" s="603">
        <v>0.56000000000000005</v>
      </c>
      <c r="G62" s="603">
        <v>0.48</v>
      </c>
      <c r="H62" s="603">
        <v>0.4</v>
      </c>
      <c r="I62" s="603">
        <v>0.4</v>
      </c>
      <c r="J62" s="603">
        <v>0.4</v>
      </c>
      <c r="L62" s="523">
        <f t="shared" ref="L62:Q62" si="4">F41*E62</f>
        <v>868.30180070400013</v>
      </c>
      <c r="M62" s="523">
        <f t="shared" si="4"/>
        <v>629.40683040090209</v>
      </c>
      <c r="N62" s="523">
        <f t="shared" si="4"/>
        <v>544.69324275095084</v>
      </c>
      <c r="O62" s="523">
        <f t="shared" si="4"/>
        <v>458.28755843704886</v>
      </c>
      <c r="P62" s="523">
        <f t="shared" si="4"/>
        <v>462.70627883861289</v>
      </c>
      <c r="Q62" s="523">
        <f t="shared" si="4"/>
        <v>467.16760369152581</v>
      </c>
      <c r="S62" s="157"/>
    </row>
    <row r="63" spans="2:19" x14ac:dyDescent="0.25">
      <c r="B63" s="158"/>
      <c r="E63" s="149">
        <f>SUM(E60:E62)</f>
        <v>1</v>
      </c>
      <c r="F63" s="149">
        <f>SUM(F60:F62)</f>
        <v>1</v>
      </c>
      <c r="G63" s="149">
        <f>SUM(G60:G62)</f>
        <v>1</v>
      </c>
      <c r="H63" s="149">
        <f t="shared" ref="H63:J63" si="5">SUM(H60:H62)</f>
        <v>1</v>
      </c>
      <c r="I63" s="149">
        <f t="shared" si="5"/>
        <v>1</v>
      </c>
      <c r="J63" s="149">
        <f t="shared" si="5"/>
        <v>1</v>
      </c>
      <c r="L63" s="332">
        <f>SUM(L60:L62)</f>
        <v>1113.2074368000001</v>
      </c>
      <c r="M63" s="332">
        <f t="shared" ref="M63:Q63" si="6">SUM(M60:M62)</f>
        <v>1123.9407685730393</v>
      </c>
      <c r="N63" s="332">
        <f t="shared" si="6"/>
        <v>1134.7775890644809</v>
      </c>
      <c r="O63" s="332">
        <f t="shared" si="6"/>
        <v>1145.7188960926221</v>
      </c>
      <c r="P63" s="332">
        <f t="shared" si="6"/>
        <v>1156.7656970965322</v>
      </c>
      <c r="Q63" s="332">
        <f t="shared" si="6"/>
        <v>1167.9190092288145</v>
      </c>
      <c r="S63" s="157"/>
    </row>
    <row r="64" spans="2:19" x14ac:dyDescent="0.25">
      <c r="B64" s="158"/>
      <c r="C64" t="s">
        <v>1033</v>
      </c>
      <c r="E64" s="816"/>
      <c r="F64" s="816"/>
      <c r="G64" s="816"/>
      <c r="H64" s="816"/>
      <c r="I64" s="816"/>
      <c r="J64" s="816"/>
      <c r="S64" s="157"/>
    </row>
    <row r="65" spans="2:19" x14ac:dyDescent="0.25">
      <c r="B65" s="158"/>
      <c r="C65" t="s">
        <v>1058</v>
      </c>
      <c r="E65" s="500"/>
      <c r="F65" s="500"/>
      <c r="G65" s="500"/>
      <c r="H65" s="500"/>
      <c r="I65" s="500"/>
      <c r="J65" s="500"/>
      <c r="S65" s="157"/>
    </row>
    <row r="66" spans="2:19" x14ac:dyDescent="0.25">
      <c r="B66" s="159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1"/>
    </row>
    <row r="67" spans="2:19" x14ac:dyDescent="0.25">
      <c r="D67" s="193"/>
      <c r="K67" s="193"/>
    </row>
    <row r="68" spans="2:19" x14ac:dyDescent="0.25">
      <c r="B68" s="154" t="s">
        <v>757</v>
      </c>
      <c r="C68" s="814"/>
      <c r="E68" s="814"/>
      <c r="F68" s="814"/>
      <c r="G68" s="814"/>
      <c r="H68" s="814"/>
      <c r="I68" s="814"/>
      <c r="J68" s="814"/>
      <c r="L68" s="814"/>
      <c r="M68" s="814"/>
      <c r="N68" s="814"/>
      <c r="O68" s="814"/>
      <c r="P68" s="814"/>
      <c r="Q68" s="814"/>
      <c r="R68" s="814"/>
      <c r="S68" s="155"/>
    </row>
    <row r="69" spans="2:19" x14ac:dyDescent="0.25">
      <c r="B69" s="158" t="s">
        <v>758</v>
      </c>
      <c r="S69" s="157"/>
    </row>
    <row r="70" spans="2:19" x14ac:dyDescent="0.25">
      <c r="B70" s="158" t="s">
        <v>759</v>
      </c>
      <c r="S70" s="157"/>
    </row>
    <row r="71" spans="2:19" x14ac:dyDescent="0.25">
      <c r="B71" s="158"/>
      <c r="C71" s="333"/>
      <c r="D71" s="208"/>
      <c r="E71" s="208"/>
      <c r="F71" s="208"/>
      <c r="J71" s="146" t="s">
        <v>760</v>
      </c>
      <c r="S71" s="157"/>
    </row>
    <row r="72" spans="2:19" ht="42.95" customHeight="1" x14ac:dyDescent="0.25">
      <c r="B72" s="158"/>
      <c r="C72" s="382" t="s">
        <v>761</v>
      </c>
      <c r="D72" s="382" t="s">
        <v>762</v>
      </c>
      <c r="E72" s="382" t="s">
        <v>763</v>
      </c>
      <c r="F72" s="243" t="s">
        <v>754</v>
      </c>
      <c r="G72" s="243" t="s">
        <v>755</v>
      </c>
      <c r="H72" s="243" t="s">
        <v>756</v>
      </c>
      <c r="J72" s="382" t="s">
        <v>764</v>
      </c>
      <c r="K72" s="382" t="s">
        <v>765</v>
      </c>
      <c r="S72" s="157"/>
    </row>
    <row r="73" spans="2:19" ht="30" x14ac:dyDescent="0.25">
      <c r="B73" s="158"/>
      <c r="C73" s="383" t="s">
        <v>766</v>
      </c>
      <c r="D73" s="163" t="s">
        <v>767</v>
      </c>
      <c r="E73" s="163" t="s">
        <v>768</v>
      </c>
      <c r="F73" s="604">
        <v>0</v>
      </c>
      <c r="G73" s="604">
        <v>0</v>
      </c>
      <c r="H73" s="604">
        <v>0</v>
      </c>
      <c r="J73" s="202"/>
      <c r="K73" s="202"/>
      <c r="S73" s="157"/>
    </row>
    <row r="74" spans="2:19" ht="45" x14ac:dyDescent="0.25">
      <c r="B74" s="158"/>
      <c r="C74" s="383" t="s">
        <v>766</v>
      </c>
      <c r="D74" s="163" t="s">
        <v>769</v>
      </c>
      <c r="E74" s="163" t="s">
        <v>770</v>
      </c>
      <c r="F74" s="596">
        <v>30</v>
      </c>
      <c r="G74" s="596">
        <v>30</v>
      </c>
      <c r="H74" s="596">
        <v>30</v>
      </c>
      <c r="J74" s="609" t="s">
        <v>771</v>
      </c>
      <c r="K74" s="610">
        <f>VLOOKUP(J74,payscales!B:K,10,0)</f>
        <v>122.51</v>
      </c>
      <c r="S74" s="157"/>
    </row>
    <row r="75" spans="2:19" ht="30" x14ac:dyDescent="0.25">
      <c r="B75" s="158"/>
      <c r="C75" s="383" t="s">
        <v>766</v>
      </c>
      <c r="D75" s="163" t="s">
        <v>772</v>
      </c>
      <c r="E75" s="163" t="s">
        <v>768</v>
      </c>
      <c r="F75" s="596">
        <v>4</v>
      </c>
      <c r="G75" s="596">
        <v>3</v>
      </c>
      <c r="H75" s="596">
        <v>3</v>
      </c>
      <c r="J75" s="202"/>
      <c r="K75" s="202"/>
      <c r="S75" s="157"/>
    </row>
    <row r="76" spans="2:19" ht="45" x14ac:dyDescent="0.25">
      <c r="B76" s="158"/>
      <c r="C76" s="383" t="s">
        <v>766</v>
      </c>
      <c r="D76" s="163" t="s">
        <v>773</v>
      </c>
      <c r="E76" s="163" t="s">
        <v>770</v>
      </c>
      <c r="F76" s="596">
        <v>20</v>
      </c>
      <c r="G76" s="596">
        <v>20</v>
      </c>
      <c r="H76" s="596">
        <v>20</v>
      </c>
      <c r="J76" s="609" t="s">
        <v>771</v>
      </c>
      <c r="K76" s="610">
        <f>VLOOKUP(J76,payscales!B:K,10,0)</f>
        <v>122.51</v>
      </c>
      <c r="S76" s="157"/>
    </row>
    <row r="77" spans="2:19" ht="45" x14ac:dyDescent="0.25">
      <c r="B77" s="158"/>
      <c r="C77" s="380" t="s">
        <v>774</v>
      </c>
      <c r="D77" s="163" t="s">
        <v>775</v>
      </c>
      <c r="E77" s="163" t="s">
        <v>768</v>
      </c>
      <c r="F77" s="605">
        <v>4</v>
      </c>
      <c r="G77" s="605">
        <v>4</v>
      </c>
      <c r="H77" s="604">
        <v>0</v>
      </c>
      <c r="J77" s="609" t="s">
        <v>776</v>
      </c>
      <c r="K77" s="610">
        <f>VLOOKUP(J77,payscales!B:K,10,0)</f>
        <v>42.84</v>
      </c>
      <c r="S77" s="157"/>
    </row>
    <row r="78" spans="2:19" ht="45" x14ac:dyDescent="0.25">
      <c r="B78" s="158"/>
      <c r="C78" s="380" t="s">
        <v>774</v>
      </c>
      <c r="D78" s="163" t="s">
        <v>777</v>
      </c>
      <c r="E78" s="163" t="s">
        <v>768</v>
      </c>
      <c r="F78" s="605">
        <v>1</v>
      </c>
      <c r="G78" s="598">
        <v>1</v>
      </c>
      <c r="H78" s="596">
        <v>0</v>
      </c>
      <c r="J78" s="609" t="s">
        <v>776</v>
      </c>
      <c r="K78" s="610">
        <f>VLOOKUP(J78,payscales!B:K,10,0)</f>
        <v>42.84</v>
      </c>
      <c r="S78" s="157"/>
    </row>
    <row r="79" spans="2:19" ht="30" x14ac:dyDescent="0.25">
      <c r="B79" s="158"/>
      <c r="C79" s="380" t="s">
        <v>774</v>
      </c>
      <c r="D79" s="163" t="s">
        <v>778</v>
      </c>
      <c r="E79" s="163" t="s">
        <v>768</v>
      </c>
      <c r="F79" s="605">
        <v>0</v>
      </c>
      <c r="G79" s="598">
        <v>0</v>
      </c>
      <c r="H79" s="596">
        <v>0</v>
      </c>
      <c r="J79" s="609" t="s">
        <v>776</v>
      </c>
      <c r="K79" s="610">
        <f>VLOOKUP(J79,payscales!B:K,10,0)</f>
        <v>42.84</v>
      </c>
      <c r="S79" s="157"/>
    </row>
    <row r="80" spans="2:19" ht="30" x14ac:dyDescent="0.25">
      <c r="B80" s="158"/>
      <c r="C80" s="381" t="s">
        <v>779</v>
      </c>
      <c r="D80" s="163" t="s">
        <v>780</v>
      </c>
      <c r="E80" s="163" t="s">
        <v>768</v>
      </c>
      <c r="F80" s="606">
        <v>10</v>
      </c>
      <c r="G80" s="607">
        <v>10</v>
      </c>
      <c r="H80" s="596">
        <v>5</v>
      </c>
      <c r="J80" s="609" t="s">
        <v>781</v>
      </c>
      <c r="K80" s="610">
        <f>VLOOKUP(J80,payscales!B:K,10,0)</f>
        <v>47.51</v>
      </c>
      <c r="S80" s="157"/>
    </row>
    <row r="81" spans="2:19" hidden="1" x14ac:dyDescent="0.25">
      <c r="B81" s="158"/>
      <c r="C81" s="384" t="s">
        <v>783</v>
      </c>
      <c r="D81" s="163"/>
      <c r="E81" s="163" t="s">
        <v>782</v>
      </c>
      <c r="F81" s="605"/>
      <c r="G81" s="605"/>
      <c r="H81" s="605"/>
      <c r="J81" s="202"/>
      <c r="K81" s="202"/>
      <c r="S81" s="157"/>
    </row>
    <row r="82" spans="2:19" ht="30" hidden="1" x14ac:dyDescent="0.25">
      <c r="B82" s="158"/>
      <c r="C82" s="384" t="s">
        <v>783</v>
      </c>
      <c r="D82" s="163"/>
      <c r="E82" s="163" t="s">
        <v>784</v>
      </c>
      <c r="F82" s="605"/>
      <c r="G82" s="605"/>
      <c r="H82" s="605"/>
      <c r="J82" s="609" t="s">
        <v>776</v>
      </c>
      <c r="K82" s="610">
        <f>VLOOKUP(J82,payscales!B:K,10,0)</f>
        <v>42.84</v>
      </c>
      <c r="S82" s="157"/>
    </row>
    <row r="83" spans="2:19" ht="23.25" hidden="1" x14ac:dyDescent="0.35">
      <c r="B83" s="158"/>
      <c r="C83" s="384" t="s">
        <v>783</v>
      </c>
      <c r="D83" s="163"/>
      <c r="E83" s="163" t="s">
        <v>782</v>
      </c>
      <c r="F83" s="605"/>
      <c r="G83" s="608"/>
      <c r="H83" s="608"/>
      <c r="J83" s="202"/>
      <c r="K83" s="202"/>
      <c r="L83" s="690"/>
      <c r="M83" s="670"/>
      <c r="N83" s="670"/>
      <c r="O83" s="670"/>
      <c r="P83" s="670"/>
      <c r="S83" s="157"/>
    </row>
    <row r="84" spans="2:19" ht="30" hidden="1" x14ac:dyDescent="0.25">
      <c r="B84" s="158"/>
      <c r="C84" s="384" t="s">
        <v>783</v>
      </c>
      <c r="D84" s="163"/>
      <c r="E84" s="163" t="s">
        <v>784</v>
      </c>
      <c r="F84" s="605"/>
      <c r="G84" s="608"/>
      <c r="H84" s="608"/>
      <c r="J84" s="609" t="s">
        <v>785</v>
      </c>
      <c r="K84" s="610">
        <f>VLOOKUP(J84,payscales!B:K,10,0)</f>
        <v>34.700000000000003</v>
      </c>
      <c r="L84" s="670"/>
      <c r="M84" s="670"/>
      <c r="N84" s="670"/>
      <c r="O84" s="670"/>
      <c r="P84" s="670"/>
      <c r="S84" s="157"/>
    </row>
    <row r="85" spans="2:19" hidden="1" x14ac:dyDescent="0.25">
      <c r="B85" s="158"/>
      <c r="C85" s="384" t="s">
        <v>783</v>
      </c>
      <c r="D85" s="163"/>
      <c r="E85" s="163" t="s">
        <v>786</v>
      </c>
      <c r="F85" s="605"/>
      <c r="G85" s="608"/>
      <c r="H85" s="608"/>
      <c r="J85" s="202"/>
      <c r="K85" s="202"/>
      <c r="S85" s="157"/>
    </row>
    <row r="86" spans="2:19" ht="30" hidden="1" x14ac:dyDescent="0.25">
      <c r="B86" s="158"/>
      <c r="C86" s="384" t="s">
        <v>783</v>
      </c>
      <c r="D86" s="163"/>
      <c r="E86" s="163" t="s">
        <v>784</v>
      </c>
      <c r="F86" s="605"/>
      <c r="G86" s="608"/>
      <c r="H86" s="608"/>
      <c r="J86" s="609" t="s">
        <v>787</v>
      </c>
      <c r="K86" s="610">
        <f>VLOOKUP(J86,payscales!B:K,10,0)</f>
        <v>49.92</v>
      </c>
      <c r="S86" s="157"/>
    </row>
    <row r="87" spans="2:19" ht="30" x14ac:dyDescent="0.25">
      <c r="B87" s="158"/>
      <c r="C87" s="340" t="s">
        <v>788</v>
      </c>
      <c r="D87" s="340" t="s">
        <v>789</v>
      </c>
      <c r="E87" s="163" t="s">
        <v>782</v>
      </c>
      <c r="F87" s="505" t="s">
        <v>790</v>
      </c>
      <c r="G87" s="506"/>
      <c r="H87" s="507"/>
      <c r="J87" s="205"/>
      <c r="K87" s="202"/>
      <c r="S87" s="157"/>
    </row>
    <row r="88" spans="2:19" x14ac:dyDescent="0.25">
      <c r="B88" s="158"/>
      <c r="C88" s="333"/>
      <c r="D88" s="208"/>
      <c r="E88" s="208"/>
      <c r="F88" s="208"/>
      <c r="S88" s="157"/>
    </row>
    <row r="89" spans="2:19" x14ac:dyDescent="0.25">
      <c r="B89" s="159"/>
      <c r="C89" s="160"/>
      <c r="D89" s="162"/>
      <c r="E89" s="162"/>
      <c r="F89" s="162"/>
      <c r="G89" s="162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1"/>
    </row>
    <row r="90" spans="2:19" x14ac:dyDescent="0.25">
      <c r="D90" s="150"/>
      <c r="E90" s="150"/>
      <c r="F90" s="150"/>
      <c r="G90" s="150"/>
    </row>
    <row r="91" spans="2:19" x14ac:dyDescent="0.25">
      <c r="B91" s="377" t="s">
        <v>791</v>
      </c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15"/>
      <c r="S91" s="221"/>
    </row>
    <row r="92" spans="2:19" x14ac:dyDescent="0.25">
      <c r="B92" s="225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26"/>
    </row>
    <row r="93" spans="2:19" x14ac:dyDescent="0.25">
      <c r="B93" s="225"/>
      <c r="C93" s="672" t="s">
        <v>792</v>
      </c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26"/>
    </row>
    <row r="94" spans="2:19" x14ac:dyDescent="0.25">
      <c r="B94" s="225"/>
      <c r="C94" s="668" t="s">
        <v>793</v>
      </c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26"/>
    </row>
    <row r="95" spans="2:19" x14ac:dyDescent="0.25">
      <c r="B95" s="225"/>
      <c r="C95" s="668" t="s">
        <v>794</v>
      </c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26"/>
    </row>
    <row r="96" spans="2:19" x14ac:dyDescent="0.25">
      <c r="B96" s="225"/>
      <c r="C96" s="435" t="s">
        <v>795</v>
      </c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26"/>
    </row>
    <row r="97" spans="2:19" x14ac:dyDescent="0.25">
      <c r="B97" s="225"/>
      <c r="C97" s="435" t="s">
        <v>796</v>
      </c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26"/>
    </row>
    <row r="98" spans="2:19" x14ac:dyDescent="0.25">
      <c r="B98" s="225"/>
      <c r="C98" s="435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26"/>
    </row>
    <row r="99" spans="2:19" x14ac:dyDescent="0.25">
      <c r="B99" s="225"/>
      <c r="C99" s="671" t="s">
        <v>797</v>
      </c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26"/>
    </row>
    <row r="100" spans="2:19" x14ac:dyDescent="0.25">
      <c r="B100" s="225"/>
      <c r="C100" s="668" t="s">
        <v>798</v>
      </c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26"/>
    </row>
    <row r="101" spans="2:19" x14ac:dyDescent="0.25">
      <c r="B101" s="225"/>
      <c r="C101" s="435" t="s">
        <v>799</v>
      </c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26"/>
    </row>
    <row r="102" spans="2:19" x14ac:dyDescent="0.25">
      <c r="B102" s="225"/>
      <c r="C102" s="435" t="s">
        <v>800</v>
      </c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26"/>
    </row>
    <row r="103" spans="2:19" x14ac:dyDescent="0.25">
      <c r="B103" s="225"/>
      <c r="C103" s="435" t="s">
        <v>801</v>
      </c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26"/>
    </row>
    <row r="104" spans="2:19" x14ac:dyDescent="0.25">
      <c r="B104" s="223"/>
      <c r="C104" s="227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4"/>
    </row>
  </sheetData>
  <sheetProtection algorithmName="SHA-512" hashValue="C+QBOMr3CtEO5gf7TV9eXoAx8h9mAv0mAA9S69xMLAnXZ7otz0limQ2arHNmSHMDgZaSVPxfWI6vNvZRv0/twA==" saltValue="zoZ5fIJRQuOUQGCoIyqDbQ==" spinCount="100000" sheet="1" objects="1" scenarios="1"/>
  <protectedRanges>
    <protectedRange sqref="E11:E13 E15 E17 E19:E20 E27:G30 I52:J56 F33 G31:G34 E31:F32 E34:F34 G36 E60:J62 G71:H71 F35 L60:Q62 D47:J49 H88 F73:H86" name="Range1"/>
  </protectedRanges>
  <mergeCells count="2">
    <mergeCell ref="H28:X28"/>
    <mergeCell ref="H29:X29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94" r:id="rId1" display="Office for National Statistics Population Estimates, England and Wales: mid-2022" xr:uid="{E5307553-7A6C-4E4A-A884-E27CF8AE4772}"/>
    <hyperlink ref="C95" r:id="rId2" xr:uid="{7973B0A5-0DDC-4D6E-A615-7910C6E2CF4A}"/>
    <hyperlink ref="C100" r:id="rId3" xr:uid="{EDC70E40-643A-4353-80EE-8CAA529E12F0}"/>
    <hyperlink ref="H27" r:id="rId4" xr:uid="{D386C3E1-291B-46DF-84AE-740465AA6FF7}"/>
    <hyperlink ref="K56" r:id="rId5" xr:uid="{60FB27CE-1BFC-4B33-A3E5-1CADB656BACF}"/>
    <hyperlink ref="K54" r:id="rId6" xr:uid="{8BC75345-03C4-4CF4-9B1E-7C10A98AE582}"/>
  </hyperlinks>
  <pageMargins left="0.7" right="0.7" top="0.75" bottom="0.75" header="0.3" footer="0.3"/>
  <pageSetup paperSize="9" scale="49" orientation="portrait" verticalDpi="0" r:id="rId7"/>
  <rowBreaks count="1" manualBreakCount="1">
    <brk id="57" max="12" man="1"/>
  </rowBreaks>
  <legacyDrawing r:id="rId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F33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J74 J76:J80 J82 J84 J86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W52"/>
  <sheetViews>
    <sheetView showGridLines="0" zoomScale="80" zoomScaleNormal="80" workbookViewId="0"/>
  </sheetViews>
  <sheetFormatPr defaultColWidth="9.140625" defaultRowHeight="12.75" x14ac:dyDescent="0.2"/>
  <cols>
    <col min="1" max="1" width="3.5703125" style="3" customWidth="1"/>
    <col min="2" max="2" width="30.140625" style="3" customWidth="1"/>
    <col min="3" max="3" width="29.85546875" style="3" bestFit="1" customWidth="1"/>
    <col min="4" max="4" width="12.42578125" style="3" customWidth="1"/>
    <col min="5" max="5" width="11.42578125" style="3" customWidth="1"/>
    <col min="6" max="6" width="10.85546875" style="3" customWidth="1"/>
    <col min="7" max="7" width="10.42578125" style="3" bestFit="1" customWidth="1"/>
    <col min="8" max="8" width="11.140625" style="3" customWidth="1"/>
    <col min="9" max="9" width="9.42578125" style="3" customWidth="1"/>
    <col min="10" max="10" width="11.42578125" style="3" customWidth="1"/>
    <col min="11" max="12" width="10.5703125" style="3" customWidth="1"/>
    <col min="13" max="13" width="12.5703125" style="3" customWidth="1"/>
    <col min="14" max="16" width="12.42578125" style="3" customWidth="1"/>
    <col min="17" max="19" width="12.140625" style="3" customWidth="1"/>
    <col min="20" max="20" width="3.42578125" style="3" customWidth="1"/>
    <col min="21" max="21" width="9.42578125" style="3" customWidth="1"/>
    <col min="22" max="16384" width="9.140625" style="3"/>
  </cols>
  <sheetData>
    <row r="1" spans="1:23" ht="30" customHeight="1" x14ac:dyDescent="0.35">
      <c r="A1" s="189"/>
      <c r="B1" s="840" t="str">
        <f>'Inputs and eligible population'!B1</f>
        <v>Capivasertib with fulvestrant for treating hormone receptor-positive HER2-negative 
advanced breast cancer after endocrine 
treatment</v>
      </c>
      <c r="C1" s="145"/>
      <c r="D1" s="129"/>
      <c r="E1" s="129"/>
      <c r="F1" s="129"/>
      <c r="G1" s="129"/>
      <c r="H1" s="129"/>
      <c r="I1" s="129"/>
      <c r="J1" s="129" t="s">
        <v>802</v>
      </c>
      <c r="K1" s="129" t="s">
        <v>802</v>
      </c>
      <c r="L1" s="129" t="s">
        <v>802</v>
      </c>
      <c r="M1" s="129" t="s">
        <v>802</v>
      </c>
      <c r="N1" s="151"/>
      <c r="O1" s="151"/>
      <c r="P1" s="151"/>
      <c r="Q1" s="189"/>
      <c r="R1" s="189"/>
      <c r="S1" s="189"/>
      <c r="T1" s="189"/>
    </row>
    <row r="2" spans="1:23" ht="26.25" customHeight="1" x14ac:dyDescent="0.35">
      <c r="A2" s="189"/>
      <c r="B2" s="143" t="s">
        <v>7</v>
      </c>
      <c r="C2" s="144" t="s">
        <v>802</v>
      </c>
      <c r="D2" s="129" t="s">
        <v>802</v>
      </c>
      <c r="E2" s="129" t="s">
        <v>802</v>
      </c>
      <c r="F2" s="129" t="s">
        <v>802</v>
      </c>
      <c r="G2" s="129" t="s">
        <v>802</v>
      </c>
      <c r="H2" s="129" t="s">
        <v>802</v>
      </c>
      <c r="I2" s="129" t="s">
        <v>802</v>
      </c>
      <c r="J2" s="129" t="s">
        <v>802</v>
      </c>
      <c r="K2" s="130" t="s">
        <v>802</v>
      </c>
      <c r="L2" s="130"/>
      <c r="M2" s="130"/>
      <c r="N2" s="130"/>
      <c r="O2" s="130"/>
      <c r="P2" s="130"/>
      <c r="Q2" s="189"/>
      <c r="R2" s="189"/>
      <c r="S2" s="189"/>
      <c r="T2" s="189"/>
    </row>
    <row r="3" spans="1:23" ht="14.45" customHeight="1" x14ac:dyDescent="0.35">
      <c r="A3" s="189"/>
      <c r="B3" s="127"/>
      <c r="C3" s="145"/>
      <c r="D3" s="129"/>
      <c r="E3" s="129"/>
      <c r="F3" s="129"/>
      <c r="G3" s="129" t="s">
        <v>802</v>
      </c>
      <c r="H3" s="129" t="s">
        <v>802</v>
      </c>
      <c r="I3" s="129" t="s">
        <v>802</v>
      </c>
      <c r="J3" s="129" t="s">
        <v>802</v>
      </c>
      <c r="K3" s="130" t="s">
        <v>802</v>
      </c>
      <c r="L3" s="130"/>
      <c r="M3" s="130"/>
      <c r="N3" s="130"/>
      <c r="O3" s="130"/>
      <c r="P3" s="130"/>
      <c r="Q3" s="189"/>
      <c r="R3" s="189"/>
      <c r="S3" s="189"/>
      <c r="T3" s="189"/>
    </row>
    <row r="4" spans="1:23" ht="14.45" customHeight="1" x14ac:dyDescent="0.35">
      <c r="A4" s="189"/>
      <c r="B4" t="s">
        <v>803</v>
      </c>
      <c r="C4" s="145"/>
      <c r="D4" s="129"/>
      <c r="E4" s="129"/>
      <c r="F4" s="129"/>
      <c r="G4" s="129" t="s">
        <v>802</v>
      </c>
      <c r="H4" s="129" t="s">
        <v>802</v>
      </c>
      <c r="I4" s="129" t="s">
        <v>802</v>
      </c>
      <c r="J4" s="129" t="s">
        <v>802</v>
      </c>
      <c r="K4" s="130" t="s">
        <v>802</v>
      </c>
      <c r="L4" s="129"/>
      <c r="M4" s="130"/>
      <c r="N4" s="130"/>
      <c r="O4" s="130"/>
      <c r="P4" s="130"/>
      <c r="Q4" s="130"/>
      <c r="R4" s="130"/>
      <c r="S4" s="130"/>
      <c r="T4" s="130"/>
    </row>
    <row r="5" spans="1:23" ht="14.45" customHeight="1" x14ac:dyDescent="0.35">
      <c r="A5" s="189"/>
      <c r="B5" t="s">
        <v>691</v>
      </c>
      <c r="C5" s="145"/>
      <c r="D5" s="129"/>
      <c r="E5" s="129"/>
      <c r="F5" s="129"/>
      <c r="G5" s="129"/>
      <c r="H5" s="129" t="s">
        <v>802</v>
      </c>
      <c r="I5" s="129" t="s">
        <v>802</v>
      </c>
      <c r="J5" s="129" t="s">
        <v>802</v>
      </c>
      <c r="K5" s="130" t="s">
        <v>802</v>
      </c>
      <c r="L5" s="129"/>
      <c r="M5" s="130"/>
      <c r="N5" s="130"/>
      <c r="O5" s="130"/>
      <c r="P5" s="130"/>
      <c r="Q5" s="130"/>
      <c r="R5" s="130"/>
      <c r="S5" s="130"/>
      <c r="T5" s="130"/>
    </row>
    <row r="6" spans="1:23" ht="14.45" customHeight="1" thickBot="1" x14ac:dyDescent="0.4">
      <c r="A6" s="189"/>
      <c r="B6"/>
      <c r="C6" s="145"/>
      <c r="D6" s="129"/>
      <c r="E6" s="129"/>
      <c r="F6" s="129"/>
      <c r="G6" s="129"/>
      <c r="H6" s="129"/>
      <c r="I6" s="129"/>
      <c r="J6" s="129"/>
      <c r="K6" s="130"/>
      <c r="L6" s="129"/>
      <c r="M6" s="130"/>
      <c r="N6" s="130"/>
      <c r="O6" s="130"/>
      <c r="P6" s="130"/>
      <c r="Q6" s="130"/>
      <c r="R6" s="130"/>
      <c r="S6" s="130"/>
      <c r="T6" s="130"/>
    </row>
    <row r="7" spans="1:23" s="239" customFormat="1" ht="15" x14ac:dyDescent="0.25">
      <c r="A7" s="241"/>
      <c r="B7" s="237" t="s">
        <v>804</v>
      </c>
      <c r="C7" s="241"/>
      <c r="D7" s="634" t="s">
        <v>805</v>
      </c>
      <c r="E7" s="635"/>
      <c r="F7" s="635"/>
      <c r="G7" s="635"/>
      <c r="H7" s="636"/>
      <c r="I7" s="634" t="s">
        <v>806</v>
      </c>
      <c r="J7" s="635"/>
      <c r="K7" s="635"/>
      <c r="L7" s="635"/>
      <c r="M7" s="635"/>
      <c r="N7" s="635"/>
      <c r="O7" s="635"/>
      <c r="P7" s="635"/>
      <c r="Q7" s="636"/>
      <c r="R7" s="241"/>
      <c r="S7" s="827"/>
      <c r="T7" s="827"/>
      <c r="W7" s="3"/>
    </row>
    <row r="8" spans="1:23" s="239" customFormat="1" ht="48.95" customHeight="1" x14ac:dyDescent="0.25">
      <c r="A8" s="241"/>
      <c r="B8" s="240" t="s">
        <v>807</v>
      </c>
      <c r="C8" s="242" t="s">
        <v>808</v>
      </c>
      <c r="D8" s="637" t="s">
        <v>809</v>
      </c>
      <c r="E8" s="243" t="s">
        <v>810</v>
      </c>
      <c r="F8" s="243" t="s">
        <v>811</v>
      </c>
      <c r="G8" s="243" t="s">
        <v>812</v>
      </c>
      <c r="H8" s="638" t="s">
        <v>813</v>
      </c>
      <c r="I8" s="649" t="s">
        <v>814</v>
      </c>
      <c r="J8" s="243" t="s">
        <v>815</v>
      </c>
      <c r="K8" s="243" t="s">
        <v>816</v>
      </c>
      <c r="L8" s="243" t="s">
        <v>817</v>
      </c>
      <c r="M8" s="645" t="s">
        <v>818</v>
      </c>
      <c r="N8" s="645" t="s">
        <v>819</v>
      </c>
      <c r="O8" s="242" t="s">
        <v>820</v>
      </c>
      <c r="P8" s="240" t="s">
        <v>821</v>
      </c>
      <c r="Q8" s="638" t="s">
        <v>822</v>
      </c>
      <c r="R8" s="241"/>
      <c r="S8" s="827"/>
      <c r="T8" s="827"/>
      <c r="W8" s="3"/>
    </row>
    <row r="9" spans="1:23" s="239" customFormat="1" ht="15" x14ac:dyDescent="0.25">
      <c r="A9" s="241"/>
      <c r="B9" s="611" t="str">
        <f>'Inputs and eligible population'!C47</f>
        <v>Capivasertib with fulvestrant</v>
      </c>
      <c r="C9" s="632" t="str">
        <f>'Inputs and eligible population'!C52</f>
        <v>Capivasertib</v>
      </c>
      <c r="D9" s="639" t="s">
        <v>1020</v>
      </c>
      <c r="E9" s="612" t="s">
        <v>1021</v>
      </c>
      <c r="F9" s="613">
        <v>200</v>
      </c>
      <c r="G9" s="613">
        <v>64</v>
      </c>
      <c r="H9" s="640">
        <f>G9*F9</f>
        <v>12800</v>
      </c>
      <c r="I9" s="650">
        <v>800</v>
      </c>
      <c r="J9" s="613">
        <f>I9</f>
        <v>800</v>
      </c>
      <c r="K9" s="611">
        <f>'Inputs and eligible population'!E47</f>
        <v>28</v>
      </c>
      <c r="L9" s="611">
        <f>'Inputs and eligible population'!F47</f>
        <v>7.8</v>
      </c>
      <c r="M9" s="646">
        <f>L9*K9*J9</f>
        <v>174720</v>
      </c>
      <c r="N9" s="611">
        <f>M9/H9</f>
        <v>13.65</v>
      </c>
      <c r="O9" s="614">
        <f>'Inputs and eligible population'!I52</f>
        <v>0</v>
      </c>
      <c r="P9" s="615">
        <f>'Inputs and eligible population'!J52</f>
        <v>0</v>
      </c>
      <c r="Q9" s="651">
        <f>N9*O9*(100%+P9)</f>
        <v>0</v>
      </c>
      <c r="R9" s="241"/>
      <c r="S9" s="827"/>
      <c r="T9" s="827"/>
      <c r="W9" s="3"/>
    </row>
    <row r="10" spans="1:23" s="239" customFormat="1" ht="15" x14ac:dyDescent="0.25">
      <c r="A10" s="241"/>
      <c r="B10" s="611"/>
      <c r="C10" s="632" t="str">
        <f>'Inputs and eligible population'!C54</f>
        <v>Fulvestrant</v>
      </c>
      <c r="D10" s="639" t="s">
        <v>1022</v>
      </c>
      <c r="E10" s="612" t="s">
        <v>1023</v>
      </c>
      <c r="F10" s="613">
        <v>250</v>
      </c>
      <c r="G10" s="613">
        <v>2</v>
      </c>
      <c r="H10" s="640">
        <f>G10*F10</f>
        <v>500</v>
      </c>
      <c r="I10" s="650">
        <v>500</v>
      </c>
      <c r="J10" s="613">
        <f>I10</f>
        <v>500</v>
      </c>
      <c r="K10" s="611">
        <v>1</v>
      </c>
      <c r="L10" s="829">
        <f>'Inputs and eligible population'!F47</f>
        <v>7.8</v>
      </c>
      <c r="M10" s="646">
        <f>L10*K10*J10</f>
        <v>3900</v>
      </c>
      <c r="N10" s="611">
        <f>M10/H10</f>
        <v>7.8</v>
      </c>
      <c r="O10" s="614">
        <f>'Inputs and eligible population'!I54</f>
        <v>77.239999999999995</v>
      </c>
      <c r="P10" s="615">
        <f>'Inputs and eligible population'!J54</f>
        <v>0.2</v>
      </c>
      <c r="Q10" s="651">
        <f>N10*O10*(100%+P10)</f>
        <v>722.96639999999991</v>
      </c>
      <c r="R10" s="241"/>
      <c r="S10" s="827"/>
      <c r="T10" s="827"/>
      <c r="W10" s="3"/>
    </row>
    <row r="11" spans="1:23" s="239" customFormat="1" ht="15.75" thickBot="1" x14ac:dyDescent="0.3">
      <c r="A11" s="241"/>
      <c r="B11" s="611"/>
      <c r="C11" s="632" t="s">
        <v>823</v>
      </c>
      <c r="D11" s="641"/>
      <c r="E11" s="642"/>
      <c r="F11" s="643"/>
      <c r="G11" s="643"/>
      <c r="H11" s="644"/>
      <c r="I11" s="652"/>
      <c r="J11" s="643"/>
      <c r="K11" s="653"/>
      <c r="L11" s="654"/>
      <c r="M11" s="655"/>
      <c r="N11" s="655"/>
      <c r="O11" s="656"/>
      <c r="P11" s="657"/>
      <c r="Q11" s="658"/>
      <c r="R11" s="241"/>
      <c r="S11" s="827"/>
      <c r="T11" s="827"/>
      <c r="W11" s="3"/>
    </row>
    <row r="12" spans="1:23" s="239" customFormat="1" ht="15" x14ac:dyDescent="0.25">
      <c r="A12" s="241"/>
      <c r="B12" s="629"/>
      <c r="C12" s="244" t="s">
        <v>824</v>
      </c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47"/>
      <c r="Q12" s="648">
        <f>SUM(Q9:Q11)</f>
        <v>722.96639999999991</v>
      </c>
      <c r="R12" s="241"/>
      <c r="S12" s="827"/>
      <c r="T12" s="827"/>
      <c r="W12" s="3"/>
    </row>
    <row r="13" spans="1:23" s="239" customFormat="1" ht="15.75" thickBot="1" x14ac:dyDescent="0.3">
      <c r="A13" s="241"/>
      <c r="B13" s="237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627"/>
      <c r="R13" s="241"/>
      <c r="S13" s="827"/>
      <c r="T13" s="827"/>
      <c r="W13" s="3"/>
    </row>
    <row r="14" spans="1:23" s="239" customFormat="1" ht="15" x14ac:dyDescent="0.25">
      <c r="A14" s="241"/>
      <c r="B14" s="237"/>
      <c r="C14" s="241"/>
      <c r="D14" s="634" t="s">
        <v>805</v>
      </c>
      <c r="E14" s="635"/>
      <c r="F14" s="635"/>
      <c r="G14" s="635"/>
      <c r="H14" s="636"/>
      <c r="I14" s="634" t="s">
        <v>806</v>
      </c>
      <c r="J14" s="660"/>
      <c r="K14" s="660"/>
      <c r="L14" s="660"/>
      <c r="M14" s="660"/>
      <c r="N14" s="660"/>
      <c r="O14" s="660"/>
      <c r="P14" s="660"/>
      <c r="Q14" s="661"/>
      <c r="R14" s="241"/>
      <c r="S14" s="827"/>
      <c r="T14" s="827"/>
      <c r="W14" s="3"/>
    </row>
    <row r="15" spans="1:23" s="239" customFormat="1" ht="48.95" customHeight="1" x14ac:dyDescent="0.25">
      <c r="A15" s="241"/>
      <c r="B15" s="240" t="s">
        <v>807</v>
      </c>
      <c r="C15" s="242" t="s">
        <v>808</v>
      </c>
      <c r="D15" s="637" t="s">
        <v>809</v>
      </c>
      <c r="E15" s="243" t="s">
        <v>810</v>
      </c>
      <c r="F15" s="243" t="s">
        <v>811</v>
      </c>
      <c r="G15" s="243" t="s">
        <v>812</v>
      </c>
      <c r="H15" s="638" t="s">
        <v>813</v>
      </c>
      <c r="I15" s="649" t="s">
        <v>814</v>
      </c>
      <c r="J15" s="243" t="s">
        <v>815</v>
      </c>
      <c r="K15" s="243" t="s">
        <v>816</v>
      </c>
      <c r="L15" s="243" t="s">
        <v>817</v>
      </c>
      <c r="M15" s="645" t="s">
        <v>818</v>
      </c>
      <c r="N15" s="645" t="s">
        <v>819</v>
      </c>
      <c r="O15" s="242" t="s">
        <v>820</v>
      </c>
      <c r="P15" s="240" t="s">
        <v>821</v>
      </c>
      <c r="Q15" s="638" t="s">
        <v>822</v>
      </c>
      <c r="R15" s="241"/>
      <c r="S15" s="827"/>
      <c r="T15" s="827"/>
      <c r="W15" s="3"/>
    </row>
    <row r="16" spans="1:23" s="239" customFormat="1" ht="15" x14ac:dyDescent="0.25">
      <c r="A16" s="241"/>
      <c r="B16" s="611" t="str">
        <f>'Inputs and eligible population'!C48</f>
        <v xml:space="preserve">Alpelisib with fulvestrant </v>
      </c>
      <c r="C16" s="632" t="str">
        <f>'Inputs and eligible population'!C53</f>
        <v>Alpelisib</v>
      </c>
      <c r="D16" s="639" t="s">
        <v>1020</v>
      </c>
      <c r="E16" s="612" t="s">
        <v>1021</v>
      </c>
      <c r="F16" s="613">
        <v>150</v>
      </c>
      <c r="G16" s="613">
        <v>56</v>
      </c>
      <c r="H16" s="640">
        <f>G16*F16</f>
        <v>8400</v>
      </c>
      <c r="I16" s="650">
        <v>300</v>
      </c>
      <c r="J16" s="613">
        <f>I16</f>
        <v>300</v>
      </c>
      <c r="K16" s="611">
        <f>'Inputs and eligible population'!E48</f>
        <v>28</v>
      </c>
      <c r="L16" s="830">
        <f>'Inputs and eligible population'!F48</f>
        <v>7.9</v>
      </c>
      <c r="M16" s="646">
        <f>L16*K16*J16</f>
        <v>66360</v>
      </c>
      <c r="N16" s="611">
        <f>M16/H16</f>
        <v>7.9</v>
      </c>
      <c r="O16" s="614">
        <f>'Inputs and eligible population'!I53</f>
        <v>0</v>
      </c>
      <c r="P16" s="615">
        <f>'Inputs and eligible population'!J53</f>
        <v>0</v>
      </c>
      <c r="Q16" s="651">
        <f>N16*O16*(100%+P16)</f>
        <v>0</v>
      </c>
      <c r="R16" s="241"/>
      <c r="S16" s="827"/>
      <c r="T16" s="827"/>
      <c r="W16" s="3"/>
    </row>
    <row r="17" spans="1:23" s="239" customFormat="1" ht="15" x14ac:dyDescent="0.25">
      <c r="A17" s="241"/>
      <c r="B17" s="611"/>
      <c r="C17" s="632" t="str">
        <f>'Inputs and eligible population'!C54</f>
        <v>Fulvestrant</v>
      </c>
      <c r="D17" s="639" t="s">
        <v>1022</v>
      </c>
      <c r="E17" s="612" t="s">
        <v>1023</v>
      </c>
      <c r="F17" s="613">
        <v>250</v>
      </c>
      <c r="G17" s="613">
        <v>2</v>
      </c>
      <c r="H17" s="640">
        <f>G17*F17</f>
        <v>500</v>
      </c>
      <c r="I17" s="650">
        <v>500</v>
      </c>
      <c r="J17" s="613">
        <f>I17</f>
        <v>500</v>
      </c>
      <c r="K17" s="611">
        <v>1</v>
      </c>
      <c r="L17" s="830">
        <f>'Inputs and eligible population'!F48</f>
        <v>7.9</v>
      </c>
      <c r="M17" s="646">
        <f>L17*K17*J17</f>
        <v>3950</v>
      </c>
      <c r="N17" s="611">
        <f>M17/H17</f>
        <v>7.9</v>
      </c>
      <c r="O17" s="614">
        <f>'Inputs and eligible population'!I54</f>
        <v>77.239999999999995</v>
      </c>
      <c r="P17" s="615">
        <v>0.2</v>
      </c>
      <c r="Q17" s="651">
        <f>N17*O17*(100%+P17)</f>
        <v>732.23519999999996</v>
      </c>
      <c r="R17" s="241"/>
      <c r="S17" s="827"/>
      <c r="T17" s="827"/>
      <c r="W17" s="3"/>
    </row>
    <row r="18" spans="1:23" s="239" customFormat="1" ht="15.75" thickBot="1" x14ac:dyDescent="0.3">
      <c r="A18" s="241"/>
      <c r="B18" s="611"/>
      <c r="C18" s="632" t="s">
        <v>823</v>
      </c>
      <c r="D18" s="641"/>
      <c r="E18" s="642"/>
      <c r="F18" s="643"/>
      <c r="G18" s="643"/>
      <c r="H18" s="644"/>
      <c r="I18" s="652"/>
      <c r="J18" s="643"/>
      <c r="K18" s="653"/>
      <c r="L18" s="662"/>
      <c r="M18" s="663"/>
      <c r="N18" s="663"/>
      <c r="O18" s="656"/>
      <c r="P18" s="657"/>
      <c r="Q18" s="658"/>
      <c r="R18" s="241"/>
      <c r="S18" s="827"/>
      <c r="T18" s="827"/>
      <c r="W18" s="3"/>
    </row>
    <row r="19" spans="1:23" s="239" customFormat="1" ht="15" x14ac:dyDescent="0.25">
      <c r="A19" s="241"/>
      <c r="B19" s="629"/>
      <c r="C19" s="244" t="s">
        <v>824</v>
      </c>
      <c r="D19" s="633"/>
      <c r="E19" s="633"/>
      <c r="F19" s="633"/>
      <c r="G19" s="633"/>
      <c r="H19" s="633"/>
      <c r="I19" s="633"/>
      <c r="J19" s="633"/>
      <c r="K19" s="633"/>
      <c r="L19" s="659"/>
      <c r="M19" s="659"/>
      <c r="N19" s="659"/>
      <c r="O19" s="633"/>
      <c r="P19" s="647"/>
      <c r="Q19" s="648">
        <f>SUM(Q16:Q18)</f>
        <v>732.23519999999996</v>
      </c>
      <c r="R19" s="241"/>
      <c r="S19" s="827"/>
      <c r="T19" s="827"/>
      <c r="W19" s="3"/>
    </row>
    <row r="20" spans="1:23" s="239" customFormat="1" ht="15.75" thickBot="1" x14ac:dyDescent="0.3">
      <c r="A20" s="241"/>
      <c r="B20" s="237"/>
      <c r="C20" s="241"/>
      <c r="D20" s="241"/>
      <c r="E20" s="241"/>
      <c r="F20" s="241"/>
      <c r="G20" s="241"/>
      <c r="H20" s="241"/>
      <c r="I20" s="241"/>
      <c r="J20" s="241"/>
      <c r="K20" s="241"/>
      <c r="L20" s="588"/>
      <c r="M20" s="588"/>
      <c r="N20" s="588"/>
      <c r="O20" s="241"/>
      <c r="P20" s="241"/>
      <c r="Q20" s="627"/>
      <c r="R20" s="241"/>
      <c r="S20" s="827"/>
      <c r="T20" s="827"/>
      <c r="W20" s="3"/>
    </row>
    <row r="21" spans="1:23" s="239" customFormat="1" ht="15" x14ac:dyDescent="0.25">
      <c r="A21" s="241"/>
      <c r="B21" s="237"/>
      <c r="C21" s="241"/>
      <c r="D21" s="634" t="s">
        <v>805</v>
      </c>
      <c r="E21" s="635"/>
      <c r="F21" s="635"/>
      <c r="G21" s="635"/>
      <c r="H21" s="636"/>
      <c r="I21" s="634" t="s">
        <v>806</v>
      </c>
      <c r="J21" s="660"/>
      <c r="K21" s="660"/>
      <c r="L21" s="664"/>
      <c r="M21" s="664"/>
      <c r="N21" s="664"/>
      <c r="O21" s="660"/>
      <c r="P21" s="660"/>
      <c r="Q21" s="661"/>
      <c r="R21" s="241"/>
      <c r="S21" s="827"/>
      <c r="T21" s="827"/>
      <c r="W21" s="3"/>
    </row>
    <row r="22" spans="1:23" s="239" customFormat="1" ht="48.95" customHeight="1" x14ac:dyDescent="0.25">
      <c r="A22" s="241"/>
      <c r="B22" s="240" t="s">
        <v>807</v>
      </c>
      <c r="C22" s="242" t="s">
        <v>808</v>
      </c>
      <c r="D22" s="637" t="s">
        <v>809</v>
      </c>
      <c r="E22" s="243" t="s">
        <v>810</v>
      </c>
      <c r="F22" s="243" t="s">
        <v>811</v>
      </c>
      <c r="G22" s="243" t="s">
        <v>812</v>
      </c>
      <c r="H22" s="638" t="s">
        <v>813</v>
      </c>
      <c r="I22" s="649" t="s">
        <v>814</v>
      </c>
      <c r="J22" s="243" t="s">
        <v>815</v>
      </c>
      <c r="K22" s="243" t="s">
        <v>816</v>
      </c>
      <c r="L22" s="243" t="s">
        <v>817</v>
      </c>
      <c r="M22" s="645" t="s">
        <v>818</v>
      </c>
      <c r="N22" s="645" t="s">
        <v>819</v>
      </c>
      <c r="O22" s="242" t="s">
        <v>820</v>
      </c>
      <c r="P22" s="240" t="s">
        <v>821</v>
      </c>
      <c r="Q22" s="638" t="s">
        <v>822</v>
      </c>
      <c r="R22" s="241"/>
      <c r="S22" s="827"/>
      <c r="T22" s="827"/>
      <c r="W22" s="3"/>
    </row>
    <row r="23" spans="1:23" s="239" customFormat="1" ht="15" x14ac:dyDescent="0.25">
      <c r="A23" s="241"/>
      <c r="B23" s="611" t="str">
        <f>'Inputs and eligible population'!C49</f>
        <v xml:space="preserve">Everolimus with exemestane </v>
      </c>
      <c r="C23" s="632" t="str">
        <f>'Inputs and eligible population'!C55</f>
        <v>Everolimus</v>
      </c>
      <c r="D23" s="639" t="s">
        <v>1020</v>
      </c>
      <c r="E23" s="612" t="s">
        <v>1021</v>
      </c>
      <c r="F23" s="613">
        <v>10</v>
      </c>
      <c r="G23" s="613">
        <v>30</v>
      </c>
      <c r="H23" s="640">
        <f>G23*F23</f>
        <v>300</v>
      </c>
      <c r="I23" s="650">
        <v>10</v>
      </c>
      <c r="J23" s="613">
        <f>I23</f>
        <v>10</v>
      </c>
      <c r="K23" s="611">
        <f>'Inputs and eligible population'!E49</f>
        <v>30</v>
      </c>
      <c r="L23" s="830">
        <f>'Inputs and eligible population'!F49</f>
        <v>6.3</v>
      </c>
      <c r="M23" s="646">
        <f>L23*K23*J23</f>
        <v>1890</v>
      </c>
      <c r="N23" s="611">
        <f>M23/H23</f>
        <v>6.3</v>
      </c>
      <c r="O23" s="614">
        <f>'Inputs and eligible population'!I55</f>
        <v>0</v>
      </c>
      <c r="P23" s="615">
        <f>'Inputs and eligible population'!J56</f>
        <v>0</v>
      </c>
      <c r="Q23" s="651">
        <f>N23*O23*(100%+P23)</f>
        <v>0</v>
      </c>
      <c r="R23" s="241"/>
      <c r="S23" s="827"/>
      <c r="T23" s="827"/>
      <c r="W23" s="3"/>
    </row>
    <row r="24" spans="1:23" s="239" customFormat="1" ht="15" x14ac:dyDescent="0.25">
      <c r="A24" s="241"/>
      <c r="B24" s="611"/>
      <c r="C24" s="632" t="str">
        <f>'Inputs and eligible population'!C56</f>
        <v>Exemestane</v>
      </c>
      <c r="D24" s="639" t="s">
        <v>1020</v>
      </c>
      <c r="E24" s="612" t="s">
        <v>1021</v>
      </c>
      <c r="F24" s="613">
        <v>25</v>
      </c>
      <c r="G24" s="613">
        <v>30</v>
      </c>
      <c r="H24" s="640">
        <f>G24*F24</f>
        <v>750</v>
      </c>
      <c r="I24" s="650">
        <v>25</v>
      </c>
      <c r="J24" s="613">
        <f>I24</f>
        <v>25</v>
      </c>
      <c r="K24" s="611">
        <f>'Inputs and eligible population'!E49</f>
        <v>30</v>
      </c>
      <c r="L24" s="830">
        <f>'Inputs and eligible population'!F49</f>
        <v>6.3</v>
      </c>
      <c r="M24" s="646">
        <f>L24*K24*J24</f>
        <v>4725</v>
      </c>
      <c r="N24" s="611">
        <f>M24/H24</f>
        <v>6.3</v>
      </c>
      <c r="O24" s="614">
        <f>'Inputs and eligible population'!I56</f>
        <v>6.02</v>
      </c>
      <c r="P24" s="615">
        <f>'Inputs and eligible population'!J56</f>
        <v>0</v>
      </c>
      <c r="Q24" s="651">
        <f>N24*O24*(100%+P24)</f>
        <v>37.925999999999995</v>
      </c>
      <c r="R24" s="241"/>
      <c r="S24" s="827"/>
      <c r="T24" s="827"/>
      <c r="W24" s="3"/>
    </row>
    <row r="25" spans="1:23" s="239" customFormat="1" ht="15.75" thickBot="1" x14ac:dyDescent="0.3">
      <c r="A25" s="241"/>
      <c r="B25" s="611"/>
      <c r="C25" s="632" t="s">
        <v>823</v>
      </c>
      <c r="D25" s="641"/>
      <c r="E25" s="642"/>
      <c r="F25" s="643"/>
      <c r="G25" s="643"/>
      <c r="H25" s="644"/>
      <c r="I25" s="652"/>
      <c r="J25" s="643"/>
      <c r="K25" s="653"/>
      <c r="L25" s="665"/>
      <c r="M25" s="666"/>
      <c r="N25" s="666"/>
      <c r="O25" s="656"/>
      <c r="P25" s="657"/>
      <c r="Q25" s="658"/>
      <c r="R25" s="241"/>
      <c r="S25" s="827"/>
      <c r="T25" s="827"/>
      <c r="W25" s="3"/>
    </row>
    <row r="26" spans="1:23" s="239" customFormat="1" ht="15" x14ac:dyDescent="0.25">
      <c r="A26" s="241"/>
      <c r="B26" s="629"/>
      <c r="C26" s="244" t="s">
        <v>824</v>
      </c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47"/>
      <c r="Q26" s="648">
        <f>SUM(Q23:Q25)</f>
        <v>37.925999999999995</v>
      </c>
      <c r="R26" s="241"/>
      <c r="S26" s="827"/>
      <c r="T26" s="827"/>
      <c r="W26" s="3"/>
    </row>
    <row r="27" spans="1:23" s="4" customFormat="1" ht="15" x14ac:dyDescent="0.25">
      <c r="A27" s="5"/>
      <c r="B27" s="190" t="s">
        <v>1049</v>
      </c>
      <c r="C27" s="5"/>
      <c r="D27" s="174"/>
      <c r="E27" s="110"/>
      <c r="F27" s="175"/>
      <c r="G27" s="176"/>
      <c r="H27" s="5"/>
      <c r="I27" s="5"/>
      <c r="J27" s="177"/>
      <c r="K27" s="176"/>
      <c r="L27" s="176"/>
      <c r="M27" s="176"/>
      <c r="N27" s="176"/>
      <c r="O27" s="176"/>
      <c r="P27" s="176"/>
      <c r="Q27" s="176"/>
      <c r="R27" s="177"/>
      <c r="S27" s="827"/>
      <c r="T27" s="827"/>
      <c r="W27" s="3"/>
    </row>
    <row r="28" spans="1:23" s="4" customFormat="1" ht="15" x14ac:dyDescent="0.25">
      <c r="A28" s="5"/>
      <c r="B28" s="821" t="s">
        <v>1061</v>
      </c>
      <c r="C28" s="5"/>
      <c r="D28" s="174"/>
      <c r="E28" s="110"/>
      <c r="F28" s="175"/>
      <c r="G28" s="176"/>
      <c r="H28" s="5"/>
      <c r="I28" s="5"/>
      <c r="J28" s="177"/>
      <c r="K28" s="176"/>
      <c r="L28" s="176"/>
      <c r="M28" s="176"/>
      <c r="N28" s="176"/>
      <c r="O28" s="176"/>
      <c r="P28" s="176"/>
      <c r="Q28" s="176"/>
      <c r="R28" s="177"/>
      <c r="S28" s="5"/>
      <c r="T28" s="5"/>
      <c r="W28" s="3"/>
    </row>
    <row r="29" spans="1:23" s="4" customFormat="1" ht="15" x14ac:dyDescent="0.25">
      <c r="A29" s="5"/>
      <c r="B29" s="190"/>
      <c r="C29" s="5"/>
      <c r="D29" s="174"/>
      <c r="E29" s="110"/>
      <c r="F29" s="175"/>
      <c r="G29" s="176"/>
      <c r="H29" s="5"/>
      <c r="I29" s="5"/>
      <c r="J29" s="177"/>
      <c r="K29" s="176"/>
      <c r="L29" s="176"/>
      <c r="M29" s="176"/>
      <c r="N29" s="176"/>
      <c r="O29" s="176"/>
      <c r="P29" s="176"/>
      <c r="Q29" s="176"/>
      <c r="R29" s="177"/>
      <c r="S29" s="5"/>
      <c r="T29" s="5"/>
      <c r="W29" s="3"/>
    </row>
    <row r="30" spans="1:23" s="4" customFormat="1" ht="15" x14ac:dyDescent="0.25">
      <c r="A30" s="5"/>
      <c r="B30" s="421"/>
      <c r="C30" s="5"/>
      <c r="D30" s="174"/>
      <c r="E30" s="110"/>
      <c r="F30" s="175"/>
      <c r="G30" s="176"/>
      <c r="H30" s="5"/>
      <c r="I30" s="5"/>
      <c r="J30" s="177"/>
      <c r="K30" s="176"/>
      <c r="L30" s="176"/>
      <c r="M30" s="176"/>
      <c r="N30" s="176"/>
      <c r="O30" s="176"/>
      <c r="P30" s="176"/>
      <c r="Q30" s="176"/>
      <c r="R30" s="177"/>
      <c r="S30" s="5"/>
      <c r="T30" s="5"/>
      <c r="W30" s="3"/>
    </row>
    <row r="31" spans="1:23" s="4" customFormat="1" ht="15" x14ac:dyDescent="0.25">
      <c r="A31" s="5"/>
      <c r="B31" s="237" t="s">
        <v>825</v>
      </c>
      <c r="C31" s="241"/>
      <c r="D31" s="174"/>
      <c r="E31" s="110"/>
      <c r="F31" s="175"/>
      <c r="G31" s="176"/>
      <c r="H31" s="5"/>
      <c r="I31" s="5"/>
      <c r="J31" s="177"/>
      <c r="K31" s="176"/>
      <c r="L31" s="176"/>
      <c r="M31" s="176"/>
      <c r="N31" s="176"/>
      <c r="O31" s="176"/>
      <c r="P31" s="176"/>
      <c r="Q31" s="176"/>
      <c r="R31" s="177"/>
      <c r="S31" s="838"/>
      <c r="T31" s="5"/>
      <c r="W31" s="3"/>
    </row>
    <row r="32" spans="1:23" s="4" customFormat="1" ht="15" x14ac:dyDescent="0.25">
      <c r="A32" s="5"/>
      <c r="B32" s="240" t="s">
        <v>826</v>
      </c>
      <c r="C32" s="242" t="s">
        <v>827</v>
      </c>
      <c r="D32" s="242" t="s">
        <v>1060</v>
      </c>
      <c r="E32" s="245" t="s">
        <v>828</v>
      </c>
      <c r="F32" s="418"/>
      <c r="G32" s="419"/>
      <c r="H32" s="420"/>
      <c r="I32" s="419"/>
      <c r="J32" s="420"/>
      <c r="K32" s="419"/>
      <c r="L32" s="420"/>
      <c r="M32" s="419"/>
      <c r="N32" s="240" t="s">
        <v>829</v>
      </c>
      <c r="O32" s="176"/>
      <c r="P32" s="176"/>
      <c r="Q32" s="176"/>
      <c r="R32" s="177"/>
      <c r="S32" s="838"/>
      <c r="T32" s="5"/>
      <c r="W32" s="3"/>
    </row>
    <row r="33" spans="1:23" s="4" customFormat="1" ht="15" x14ac:dyDescent="0.25">
      <c r="A33" s="5"/>
      <c r="B33" s="611" t="str">
        <f>B9</f>
        <v>Capivasertib with fulvestrant</v>
      </c>
      <c r="C33" s="616" t="s">
        <v>1024</v>
      </c>
      <c r="D33" s="831">
        <f>L9</f>
        <v>7.8</v>
      </c>
      <c r="E33" s="617" t="s">
        <v>1026</v>
      </c>
      <c r="F33" s="618"/>
      <c r="G33" s="619"/>
      <c r="H33" s="620"/>
      <c r="I33" s="620"/>
      <c r="J33" s="620"/>
      <c r="K33" s="620"/>
      <c r="L33" s="619"/>
      <c r="M33" s="621"/>
      <c r="N33" s="622">
        <v>178</v>
      </c>
      <c r="O33" s="176"/>
      <c r="P33" s="176"/>
      <c r="Q33" s="176"/>
      <c r="R33" s="177"/>
      <c r="S33" s="838"/>
      <c r="T33" s="5"/>
      <c r="W33" s="3"/>
    </row>
    <row r="34" spans="1:23" s="4" customFormat="1" ht="15" x14ac:dyDescent="0.25">
      <c r="A34" s="5"/>
      <c r="B34" s="611" t="str">
        <f>B16</f>
        <v xml:space="preserve">Alpelisib with fulvestrant </v>
      </c>
      <c r="C34" s="616" t="s">
        <v>1024</v>
      </c>
      <c r="D34" s="831">
        <f>L16</f>
        <v>7.9</v>
      </c>
      <c r="E34" s="617" t="s">
        <v>1026</v>
      </c>
      <c r="F34" s="618"/>
      <c r="G34" s="619"/>
      <c r="H34" s="620"/>
      <c r="I34" s="620"/>
      <c r="J34" s="620"/>
      <c r="K34" s="620"/>
      <c r="L34" s="619"/>
      <c r="M34" s="621"/>
      <c r="N34" s="622">
        <v>178</v>
      </c>
      <c r="O34" s="176"/>
      <c r="P34" s="176"/>
      <c r="Q34" s="176"/>
      <c r="R34" s="177"/>
      <c r="S34" s="838"/>
      <c r="T34" s="5"/>
      <c r="W34" s="3"/>
    </row>
    <row r="35" spans="1:23" s="4" customFormat="1" ht="15" x14ac:dyDescent="0.25">
      <c r="A35" s="5"/>
      <c r="B35" s="611" t="str">
        <f>B23</f>
        <v xml:space="preserve">Everolimus with exemestane </v>
      </c>
      <c r="C35" s="616" t="s">
        <v>1025</v>
      </c>
      <c r="D35" s="831">
        <f>L23</f>
        <v>6.3</v>
      </c>
      <c r="E35" s="617" t="s">
        <v>1027</v>
      </c>
      <c r="F35" s="618"/>
      <c r="G35" s="619"/>
      <c r="H35" s="620"/>
      <c r="I35" s="620"/>
      <c r="J35" s="620"/>
      <c r="K35" s="620"/>
      <c r="L35" s="619"/>
      <c r="M35" s="621"/>
      <c r="N35" s="622">
        <v>142</v>
      </c>
      <c r="O35" s="176"/>
      <c r="P35" s="176"/>
      <c r="Q35" s="176"/>
      <c r="R35" s="177"/>
      <c r="S35" s="838"/>
      <c r="T35" s="5"/>
      <c r="W35" s="3"/>
    </row>
    <row r="36" spans="1:23" s="4" customFormat="1" ht="15" x14ac:dyDescent="0.2">
      <c r="A36" s="5"/>
      <c r="B36" s="673" t="s">
        <v>830</v>
      </c>
      <c r="C36" s="174"/>
      <c r="D36" s="174"/>
      <c r="E36" s="110"/>
      <c r="F36" s="175"/>
      <c r="G36" s="176"/>
      <c r="H36" s="5"/>
      <c r="I36" s="5"/>
      <c r="J36" s="177"/>
      <c r="K36" s="176"/>
      <c r="L36" s="176"/>
      <c r="M36" s="176"/>
      <c r="N36" s="176"/>
      <c r="O36" s="176"/>
      <c r="P36" s="176"/>
      <c r="Q36" s="176"/>
      <c r="R36" s="177"/>
      <c r="S36" s="838"/>
      <c r="T36" s="5"/>
      <c r="W36" s="3"/>
    </row>
    <row r="37" spans="1:23" s="4" customFormat="1" ht="15" x14ac:dyDescent="0.25">
      <c r="A37" s="5"/>
      <c r="B37" s="190"/>
      <c r="C37" s="174"/>
      <c r="D37" s="174"/>
      <c r="E37" s="110"/>
      <c r="F37" s="175"/>
      <c r="G37" s="176"/>
      <c r="H37" s="5"/>
      <c r="I37" s="5"/>
      <c r="J37" s="177"/>
      <c r="K37" s="176"/>
      <c r="L37" s="176"/>
      <c r="M37" s="176"/>
      <c r="N37" s="176"/>
      <c r="O37" s="176"/>
      <c r="P37" s="176"/>
      <c r="Q37" s="176"/>
      <c r="R37" s="177"/>
      <c r="S37" s="838"/>
      <c r="T37" s="5"/>
      <c r="W37" s="3"/>
    </row>
    <row r="38" spans="1:23" s="4" customFormat="1" ht="14.25" x14ac:dyDescent="0.2">
      <c r="A38" s="5"/>
      <c r="B38" s="174"/>
      <c r="C38" s="174"/>
      <c r="D38" s="174"/>
      <c r="E38" s="110"/>
      <c r="F38" s="175"/>
      <c r="G38" s="176"/>
      <c r="H38" s="5"/>
      <c r="I38" s="5"/>
      <c r="J38" s="177"/>
      <c r="K38" s="176"/>
      <c r="L38" s="176"/>
      <c r="M38" s="176"/>
      <c r="N38" s="176"/>
      <c r="O38" s="176"/>
      <c r="P38" s="176"/>
      <c r="Q38" s="176"/>
      <c r="R38" s="177"/>
      <c r="S38" s="838"/>
      <c r="T38" s="5"/>
      <c r="W38" s="3"/>
    </row>
    <row r="39" spans="1:23" s="4" customFormat="1" ht="15" x14ac:dyDescent="0.25">
      <c r="A39" s="5"/>
      <c r="B39" s="237" t="s">
        <v>852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76"/>
      <c r="R39" s="177"/>
      <c r="S39" s="838"/>
      <c r="T39" s="5"/>
      <c r="W39" s="3"/>
    </row>
    <row r="40" spans="1:23" s="4" customFormat="1" ht="15" x14ac:dyDescent="0.25">
      <c r="A40" s="5"/>
      <c r="B40" t="s">
        <v>853</v>
      </c>
      <c r="C40" s="5"/>
      <c r="D40" s="5"/>
      <c r="E40" s="5"/>
      <c r="F40" s="5"/>
      <c r="G40" s="423"/>
      <c r="H40" s="420"/>
      <c r="I40" s="426" t="s">
        <v>15</v>
      </c>
      <c r="J40" s="424"/>
      <c r="K40" s="176"/>
      <c r="L40" s="423"/>
      <c r="M40" s="420"/>
      <c r="N40" s="427" t="s">
        <v>20</v>
      </c>
      <c r="O40" s="424"/>
      <c r="P40" s="674"/>
      <c r="Q40" s="674"/>
      <c r="R40" s="674"/>
      <c r="S40" s="674"/>
      <c r="T40" s="5"/>
      <c r="W40" s="3"/>
    </row>
    <row r="41" spans="1:23" s="4" customFormat="1" ht="60" x14ac:dyDescent="0.25">
      <c r="A41" s="5"/>
      <c r="B41" s="243" t="s">
        <v>854</v>
      </c>
      <c r="C41" s="243" t="s">
        <v>1053</v>
      </c>
      <c r="D41" s="243" t="s">
        <v>1028</v>
      </c>
      <c r="E41" s="243" t="s">
        <v>1029</v>
      </c>
      <c r="F41" s="5"/>
      <c r="G41" s="243" t="s">
        <v>855</v>
      </c>
      <c r="H41" s="243" t="s">
        <v>754</v>
      </c>
      <c r="I41" s="243" t="s">
        <v>1028</v>
      </c>
      <c r="J41" s="243" t="s">
        <v>1029</v>
      </c>
      <c r="K41" s="176"/>
      <c r="L41" s="243" t="s">
        <v>856</v>
      </c>
      <c r="M41" s="243" t="s">
        <v>754</v>
      </c>
      <c r="N41" s="243" t="s">
        <v>1028</v>
      </c>
      <c r="O41" s="243" t="s">
        <v>1029</v>
      </c>
      <c r="P41" s="675"/>
      <c r="Q41" s="833" t="s">
        <v>831</v>
      </c>
      <c r="R41" s="835" t="s">
        <v>837</v>
      </c>
      <c r="S41" s="833" t="s">
        <v>843</v>
      </c>
      <c r="T41" s="5"/>
      <c r="W41" s="3"/>
    </row>
    <row r="42" spans="1:23" s="4" customFormat="1" ht="15" x14ac:dyDescent="0.25">
      <c r="A42" s="5"/>
      <c r="B42" s="623" t="s">
        <v>857</v>
      </c>
      <c r="C42" s="624">
        <v>9.2999999999999999E-2</v>
      </c>
      <c r="D42" s="624">
        <v>7.6999999999999999E-2</v>
      </c>
      <c r="E42" s="624">
        <v>0.03</v>
      </c>
      <c r="F42" s="5"/>
      <c r="G42" s="422">
        <v>164.19</v>
      </c>
      <c r="H42" s="625">
        <f t="shared" ref="H42:H47" si="0">C42*$G42</f>
        <v>15.26967</v>
      </c>
      <c r="I42" s="625">
        <f t="shared" ref="I42:I47" si="1">D42*$G42</f>
        <v>12.64263</v>
      </c>
      <c r="J42" s="622">
        <f t="shared" ref="J42:J47" si="2">E42*$G42</f>
        <v>4.9257</v>
      </c>
      <c r="K42" s="176"/>
      <c r="L42" s="626">
        <f>G42*0.8</f>
        <v>131.352</v>
      </c>
      <c r="M42" s="625">
        <f t="shared" ref="M42:M47" si="3">C42*$L42</f>
        <v>12.215736</v>
      </c>
      <c r="N42" s="625">
        <f t="shared" ref="N42:N47" si="4">D42*$L42</f>
        <v>10.114103999999999</v>
      </c>
      <c r="O42" s="622">
        <f t="shared" ref="O42:O47" si="5">E42*$L42</f>
        <v>3.9405600000000001</v>
      </c>
      <c r="P42" s="675"/>
      <c r="Q42" s="444" t="s">
        <v>832</v>
      </c>
      <c r="R42" s="836" t="s">
        <v>838</v>
      </c>
      <c r="S42" s="444" t="s">
        <v>844</v>
      </c>
      <c r="T42" s="5"/>
      <c r="W42" s="3"/>
    </row>
    <row r="43" spans="1:23" s="4" customFormat="1" ht="15" x14ac:dyDescent="0.25">
      <c r="A43" s="5"/>
      <c r="B43" s="623" t="s">
        <v>858</v>
      </c>
      <c r="C43" s="624">
        <v>0.14899999999999999</v>
      </c>
      <c r="D43" s="624">
        <v>0.13</v>
      </c>
      <c r="E43" s="624">
        <v>0.01</v>
      </c>
      <c r="F43" s="5"/>
      <c r="G43" s="422">
        <v>164.19</v>
      </c>
      <c r="H43" s="625">
        <f t="shared" si="0"/>
        <v>24.464309999999998</v>
      </c>
      <c r="I43" s="625">
        <f t="shared" si="1"/>
        <v>21.3447</v>
      </c>
      <c r="J43" s="622">
        <f t="shared" si="2"/>
        <v>1.6418999999999999</v>
      </c>
      <c r="K43" s="176"/>
      <c r="L43" s="626">
        <f t="shared" ref="L43:L47" si="6">G43*0.8</f>
        <v>131.352</v>
      </c>
      <c r="M43" s="625">
        <f t="shared" si="3"/>
        <v>19.571448</v>
      </c>
      <c r="N43" s="625">
        <f t="shared" si="4"/>
        <v>17.075760000000002</v>
      </c>
      <c r="O43" s="622">
        <f t="shared" si="5"/>
        <v>1.31352</v>
      </c>
      <c r="P43" s="675"/>
      <c r="Q43" s="444" t="s">
        <v>833</v>
      </c>
      <c r="R43" s="836" t="s">
        <v>839</v>
      </c>
      <c r="S43" s="444" t="s">
        <v>845</v>
      </c>
      <c r="T43" s="5"/>
      <c r="W43" s="3"/>
    </row>
    <row r="44" spans="1:23" s="4" customFormat="1" ht="15" x14ac:dyDescent="0.25">
      <c r="A44" s="5"/>
      <c r="B44" s="623" t="s">
        <v>859</v>
      </c>
      <c r="C44" s="624">
        <v>0.02</v>
      </c>
      <c r="D44" s="624">
        <v>0.13</v>
      </c>
      <c r="E44" s="624">
        <v>0.01</v>
      </c>
      <c r="F44" s="5"/>
      <c r="G44" s="422">
        <v>164</v>
      </c>
      <c r="H44" s="625">
        <f t="shared" si="0"/>
        <v>3.2800000000000002</v>
      </c>
      <c r="I44" s="625">
        <f t="shared" si="1"/>
        <v>21.32</v>
      </c>
      <c r="J44" s="622">
        <f t="shared" si="2"/>
        <v>1.6400000000000001</v>
      </c>
      <c r="K44" s="176"/>
      <c r="L44" s="626">
        <f t="shared" si="6"/>
        <v>131.20000000000002</v>
      </c>
      <c r="M44" s="625">
        <f t="shared" si="3"/>
        <v>2.6240000000000006</v>
      </c>
      <c r="N44" s="625">
        <f t="shared" si="4"/>
        <v>17.056000000000004</v>
      </c>
      <c r="O44" s="622">
        <f t="shared" si="5"/>
        <v>1.3120000000000003</v>
      </c>
      <c r="P44" s="675"/>
      <c r="Q44" s="444" t="s">
        <v>834</v>
      </c>
      <c r="R44" s="836" t="s">
        <v>840</v>
      </c>
      <c r="S44" s="444" t="s">
        <v>846</v>
      </c>
      <c r="T44" s="5"/>
      <c r="W44" s="3"/>
    </row>
    <row r="45" spans="1:23" s="4" customFormat="1" ht="15" x14ac:dyDescent="0.25">
      <c r="A45" s="5"/>
      <c r="B45" s="623" t="s">
        <v>860</v>
      </c>
      <c r="C45" s="624">
        <v>2.8000000000000001E-2</v>
      </c>
      <c r="D45" s="624">
        <v>0.36699999999999999</v>
      </c>
      <c r="E45" s="624">
        <v>0.06</v>
      </c>
      <c r="F45" s="5"/>
      <c r="G45" s="422">
        <v>1532.85</v>
      </c>
      <c r="H45" s="625">
        <f t="shared" si="0"/>
        <v>42.919799999999995</v>
      </c>
      <c r="I45" s="625">
        <f t="shared" si="1"/>
        <v>562.55594999999994</v>
      </c>
      <c r="J45" s="622">
        <f t="shared" si="2"/>
        <v>91.970999999999989</v>
      </c>
      <c r="K45" s="176"/>
      <c r="L45" s="626">
        <f t="shared" si="6"/>
        <v>1226.28</v>
      </c>
      <c r="M45" s="625">
        <f t="shared" si="3"/>
        <v>34.335839999999997</v>
      </c>
      <c r="N45" s="625">
        <f t="shared" si="4"/>
        <v>450.04476</v>
      </c>
      <c r="O45" s="622">
        <f t="shared" si="5"/>
        <v>73.576799999999992</v>
      </c>
      <c r="P45" s="675"/>
      <c r="Q45" s="444" t="s">
        <v>835</v>
      </c>
      <c r="R45" s="836" t="s">
        <v>841</v>
      </c>
      <c r="S45" s="444" t="s">
        <v>847</v>
      </c>
      <c r="T45" s="5"/>
      <c r="W45" s="3"/>
    </row>
    <row r="46" spans="1:23" s="4" customFormat="1" ht="15" x14ac:dyDescent="0.25">
      <c r="A46" s="5"/>
      <c r="B46" s="623" t="s">
        <v>861</v>
      </c>
      <c r="C46" s="624">
        <v>0.02</v>
      </c>
      <c r="D46" s="624">
        <v>0.03</v>
      </c>
      <c r="E46" s="624">
        <v>0.08</v>
      </c>
      <c r="F46" s="5"/>
      <c r="G46" s="422">
        <v>1273.3900000000001</v>
      </c>
      <c r="H46" s="625">
        <f t="shared" si="0"/>
        <v>25.467800000000004</v>
      </c>
      <c r="I46" s="625">
        <f t="shared" si="1"/>
        <v>38.201700000000002</v>
      </c>
      <c r="J46" s="622">
        <f t="shared" si="2"/>
        <v>101.87120000000002</v>
      </c>
      <c r="K46" s="176"/>
      <c r="L46" s="626">
        <f t="shared" si="6"/>
        <v>1018.7120000000001</v>
      </c>
      <c r="M46" s="625">
        <f t="shared" si="3"/>
        <v>20.374240000000004</v>
      </c>
      <c r="N46" s="625">
        <f t="shared" si="4"/>
        <v>30.561360000000001</v>
      </c>
      <c r="O46" s="622">
        <f t="shared" si="5"/>
        <v>81.496960000000016</v>
      </c>
      <c r="P46" s="675"/>
      <c r="Q46" s="834" t="s">
        <v>836</v>
      </c>
      <c r="R46" s="837" t="s">
        <v>842</v>
      </c>
      <c r="S46" s="444" t="s">
        <v>848</v>
      </c>
      <c r="T46" s="5"/>
      <c r="W46" s="3"/>
    </row>
    <row r="47" spans="1:23" s="4" customFormat="1" ht="15" x14ac:dyDescent="0.25">
      <c r="A47" s="5"/>
      <c r="B47" s="623" t="s">
        <v>862</v>
      </c>
      <c r="C47" s="624">
        <v>0.02</v>
      </c>
      <c r="D47" s="624">
        <v>0</v>
      </c>
      <c r="E47" s="624">
        <v>0.08</v>
      </c>
      <c r="F47" s="5"/>
      <c r="G47" s="422">
        <v>694.96</v>
      </c>
      <c r="H47" s="625">
        <f t="shared" si="0"/>
        <v>13.8992</v>
      </c>
      <c r="I47" s="625">
        <f t="shared" si="1"/>
        <v>0</v>
      </c>
      <c r="J47" s="622">
        <f t="shared" si="2"/>
        <v>55.596800000000002</v>
      </c>
      <c r="K47" s="176"/>
      <c r="L47" s="626">
        <f t="shared" si="6"/>
        <v>555.96800000000007</v>
      </c>
      <c r="M47" s="625">
        <f t="shared" si="3"/>
        <v>11.119360000000002</v>
      </c>
      <c r="N47" s="625">
        <f t="shared" si="4"/>
        <v>0</v>
      </c>
      <c r="O47" s="622">
        <f t="shared" si="5"/>
        <v>44.477440000000009</v>
      </c>
      <c r="P47" s="675"/>
      <c r="Q47" s="176"/>
      <c r="R47" s="177"/>
      <c r="S47" s="444" t="s">
        <v>849</v>
      </c>
      <c r="T47" s="5"/>
      <c r="W47" s="3"/>
    </row>
    <row r="48" spans="1:23" s="4" customFormat="1" ht="15" x14ac:dyDescent="0.25">
      <c r="A48" s="5"/>
      <c r="B48" s="5"/>
      <c r="C48" s="336">
        <f>SUM(C42:C47)</f>
        <v>0.33000000000000007</v>
      </c>
      <c r="D48" s="336">
        <f>SUM(D42:D47)</f>
        <v>0.73399999999999999</v>
      </c>
      <c r="E48" s="336">
        <f>SUM(E42:E47)</f>
        <v>0.27</v>
      </c>
      <c r="F48" s="5"/>
      <c r="G48" s="425"/>
      <c r="H48" s="409">
        <f>SUM(H42:H47)</f>
        <v>125.30078</v>
      </c>
      <c r="I48" s="409">
        <f>SUM(I42:I47)</f>
        <v>656.06497999999988</v>
      </c>
      <c r="J48" s="410">
        <f>SUM(J42:J47)</f>
        <v>257.64660000000003</v>
      </c>
      <c r="K48" s="176"/>
      <c r="L48" s="5"/>
      <c r="M48" s="409">
        <f>SUM(M42:M47)</f>
        <v>100.240624</v>
      </c>
      <c r="N48" s="409">
        <f>SUM(N42:N47)</f>
        <v>524.85198400000002</v>
      </c>
      <c r="O48" s="410">
        <f>SUM(O42:O47)</f>
        <v>206.11727999999999</v>
      </c>
      <c r="P48" s="5"/>
      <c r="Q48" s="176"/>
      <c r="R48" s="177"/>
      <c r="S48" s="444" t="s">
        <v>835</v>
      </c>
      <c r="T48" s="5"/>
      <c r="W48" s="3"/>
    </row>
    <row r="49" spans="1:23" s="4" customFormat="1" ht="15" x14ac:dyDescent="0.25">
      <c r="A49" s="5"/>
      <c r="B49" s="676" t="s">
        <v>1055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176"/>
      <c r="R49" s="177"/>
      <c r="S49" s="444" t="s">
        <v>850</v>
      </c>
      <c r="T49" s="5"/>
      <c r="W49" s="3"/>
    </row>
    <row r="50" spans="1:23" s="4" customFormat="1" ht="15" x14ac:dyDescent="0.25">
      <c r="A50" s="5"/>
      <c r="B50" s="676" t="s">
        <v>1056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176"/>
      <c r="R50" s="177"/>
      <c r="S50" s="834" t="s">
        <v>851</v>
      </c>
      <c r="T50" s="5"/>
      <c r="W50" s="3"/>
    </row>
    <row r="51" spans="1:23" s="4" customFormat="1" ht="15" x14ac:dyDescent="0.25">
      <c r="A51" s="5"/>
      <c r="B51" t="s">
        <v>863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176"/>
      <c r="R51" s="177"/>
      <c r="S51" s="832"/>
      <c r="T51" s="5"/>
      <c r="W51" s="3"/>
    </row>
    <row r="52" spans="1:23" s="4" customFormat="1" ht="15" x14ac:dyDescent="0.2">
      <c r="A52" s="5"/>
      <c r="B52" s="820"/>
      <c r="C52" s="5"/>
      <c r="D52" s="174"/>
      <c r="E52" s="110"/>
      <c r="F52" s="175"/>
      <c r="G52" s="176"/>
      <c r="H52" s="5"/>
      <c r="I52" s="5"/>
      <c r="J52" s="177"/>
      <c r="K52" s="176"/>
      <c r="L52" s="176"/>
      <c r="M52" s="176"/>
      <c r="N52" s="176"/>
      <c r="O52" s="176"/>
      <c r="P52" s="176"/>
      <c r="Q52" s="176"/>
      <c r="R52" s="177"/>
      <c r="S52" s="832"/>
      <c r="T52" s="5"/>
      <c r="W52" s="3"/>
    </row>
  </sheetData>
  <sheetProtection algorithmName="SHA-512" hashValue="JMxp/QGHXo1q3Kw9k9V3GhOIMA4+D2/sr/tk9uanmzxXiu8IsyFY+0fA3+qPWoZzCovMc/nKr5r9SIEXTp2UdA==" saltValue="rmdZ7eQqVmhDb4DJfC2YLA==" spinCount="100000" sheet="1" objects="1" scenarios="1"/>
  <protectedRanges>
    <protectedRange sqref="G42:G47 B42:E47 L42:L47" name="Range1"/>
  </protectedRanges>
  <hyperlinks>
    <hyperlink ref="B27" r:id="rId1" location="National-Tariff-Payment-System" display="https://www.england.nhs.uk/pay-syst/national-tariff/national-tariff-payment-system/#National-Tariff-Payment-System" xr:uid="{07A42822-B2C2-47CD-8645-06CEF4ED32D8}"/>
    <hyperlink ref="B36" r:id="rId2" location="National-Tariff-Payment-System" xr:uid="{20EB959E-79F7-4539-9E86-3ADDF93D0860}"/>
  </hyperlinks>
  <pageMargins left="0.70866141732283472" right="0.70866141732283472" top="0.74803149606299213" bottom="0.74803149606299213" header="0.31496062992125984" footer="0.31496062992125984"/>
  <pageSetup paperSize="9" scale="35" orientation="portrait" r:id="rId3"/>
  <ignoredErrors>
    <ignoredError sqref="H16 H9 H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4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501" t="str">
        <f>'Inputs and eligible population'!B1</f>
        <v>Capivasertib with fulvestrant for treating hormone receptor-positive HER2-negative 
advanced breast cancer after endocrine 
treatment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25">
      <c r="B2" s="358" t="s">
        <v>670</v>
      </c>
      <c r="C2" s="139"/>
      <c r="E2" s="125" t="s">
        <v>802</v>
      </c>
      <c r="F2" s="125" t="s">
        <v>802</v>
      </c>
      <c r="G2" s="125" t="s">
        <v>802</v>
      </c>
      <c r="H2" s="125" t="s">
        <v>802</v>
      </c>
      <c r="I2" s="125" t="s">
        <v>802</v>
      </c>
      <c r="J2" s="139"/>
    </row>
    <row r="3" spans="2:10" x14ac:dyDescent="0.25">
      <c r="B3" s="128" t="s">
        <v>802</v>
      </c>
      <c r="C3" s="128"/>
      <c r="D3" s="131" t="s">
        <v>802</v>
      </c>
      <c r="E3" s="131" t="s">
        <v>802</v>
      </c>
      <c r="F3" s="131" t="s">
        <v>802</v>
      </c>
      <c r="G3" s="131" t="s">
        <v>802</v>
      </c>
      <c r="H3" s="131" t="s">
        <v>802</v>
      </c>
      <c r="I3" s="131" t="s">
        <v>802</v>
      </c>
      <c r="J3" s="139"/>
    </row>
    <row r="4" spans="2:10" ht="45" x14ac:dyDescent="0.25">
      <c r="B4" s="252" t="s">
        <v>864</v>
      </c>
      <c r="C4" s="232" t="s">
        <v>865</v>
      </c>
      <c r="D4" s="264" t="s">
        <v>715</v>
      </c>
      <c r="E4" s="264" t="s">
        <v>716</v>
      </c>
      <c r="F4" s="265" t="s">
        <v>866</v>
      </c>
      <c r="G4" s="265" t="s">
        <v>867</v>
      </c>
      <c r="H4" s="264" t="s">
        <v>868</v>
      </c>
      <c r="J4" s="139"/>
    </row>
    <row r="5" spans="2:10" s="146" customFormat="1" x14ac:dyDescent="0.25">
      <c r="B5" s="165" t="s">
        <v>869</v>
      </c>
      <c r="C5" s="126">
        <f>'Inputs and eligible population'!F41</f>
        <v>1113.2074368000001</v>
      </c>
      <c r="D5" s="126">
        <f>'Inputs and eligible population'!G41</f>
        <v>1123.9407685730393</v>
      </c>
      <c r="E5" s="126">
        <f>'Inputs and eligible population'!H41</f>
        <v>1134.7775890644809</v>
      </c>
      <c r="F5" s="126">
        <f>'Inputs and eligible population'!I41</f>
        <v>1145.7188960926221</v>
      </c>
      <c r="G5" s="126">
        <f>'Inputs and eligible population'!J41</f>
        <v>1156.7656970965322</v>
      </c>
      <c r="H5" s="126">
        <f>'Inputs and eligible population'!K41</f>
        <v>1167.9190092288145</v>
      </c>
      <c r="I5"/>
      <c r="J5" s="139"/>
    </row>
    <row r="6" spans="2:10" x14ac:dyDescent="0.25">
      <c r="B6" s="824" t="s">
        <v>754</v>
      </c>
      <c r="C6" s="491">
        <f>'Inputs and eligible population'!E60</f>
        <v>0</v>
      </c>
      <c r="D6" s="491">
        <f>'Inputs and eligible population'!F60</f>
        <v>0.3</v>
      </c>
      <c r="E6" s="491">
        <f>'Inputs and eligible population'!G60</f>
        <v>0.4</v>
      </c>
      <c r="F6" s="491">
        <f>'Inputs and eligible population'!H60</f>
        <v>0.5</v>
      </c>
      <c r="G6" s="491">
        <f>'Inputs and eligible population'!I60</f>
        <v>0.5</v>
      </c>
      <c r="H6" s="491">
        <f>'Inputs and eligible population'!J60</f>
        <v>0.5</v>
      </c>
      <c r="J6" s="139"/>
    </row>
    <row r="7" spans="2:10" ht="33" customHeight="1" x14ac:dyDescent="0.25">
      <c r="B7" s="165" t="s">
        <v>1050</v>
      </c>
      <c r="C7" s="126">
        <f>'Financial impact (cash)'!D13</f>
        <v>0</v>
      </c>
      <c r="D7" s="126">
        <f>'Financial impact (cash)'!E13</f>
        <v>337.18223057191182</v>
      </c>
      <c r="E7" s="126">
        <f>'Financial impact (cash)'!F13</f>
        <v>453.91103562579241</v>
      </c>
      <c r="F7" s="126">
        <f>'Financial impact (cash)'!G13</f>
        <v>572.85944804631106</v>
      </c>
      <c r="G7" s="126">
        <f>'Financial impact (cash)'!H13</f>
        <v>578.38284854826611</v>
      </c>
      <c r="H7" s="126">
        <f>'Financial impact (cash)'!I13</f>
        <v>583.95950461440725</v>
      </c>
      <c r="J7" s="131"/>
    </row>
    <row r="8" spans="2:10" ht="14.45" customHeight="1" x14ac:dyDescent="0.25">
      <c r="B8" s="238"/>
      <c r="C8" s="238"/>
      <c r="D8" s="131"/>
      <c r="E8" s="131"/>
      <c r="F8" s="131"/>
      <c r="G8" s="131"/>
      <c r="H8" s="131"/>
      <c r="J8" s="131"/>
    </row>
    <row r="9" spans="2:10" ht="45" x14ac:dyDescent="0.25">
      <c r="B9" s="258" t="s">
        <v>870</v>
      </c>
      <c r="C9" s="232" t="s">
        <v>865</v>
      </c>
      <c r="D9" s="264" t="s">
        <v>715</v>
      </c>
      <c r="E9" s="264" t="s">
        <v>716</v>
      </c>
      <c r="F9" s="265" t="s">
        <v>866</v>
      </c>
      <c r="G9" s="265" t="s">
        <v>867</v>
      </c>
      <c r="H9" s="264" t="s">
        <v>868</v>
      </c>
      <c r="J9" s="131"/>
    </row>
    <row r="10" spans="2:10" x14ac:dyDescent="0.25">
      <c r="B10" s="326" t="s">
        <v>754</v>
      </c>
      <c r="C10" s="126">
        <f>'Inputs and eligible population'!E60*C5</f>
        <v>0</v>
      </c>
      <c r="D10" s="126">
        <f>C5*'Inputs and eligible population'!F60</f>
        <v>333.96223104000001</v>
      </c>
      <c r="E10" s="126">
        <f>E5*'Inputs and eligible population'!G60</f>
        <v>453.91103562579241</v>
      </c>
      <c r="F10" s="126">
        <f>F5*'Inputs and eligible population'!H60</f>
        <v>572.85944804631106</v>
      </c>
      <c r="G10" s="126">
        <f>G5*'Inputs and eligible population'!I60</f>
        <v>578.38284854826611</v>
      </c>
      <c r="H10" s="126">
        <f>H5*'Inputs and eligible population'!J60</f>
        <v>583.95950461440725</v>
      </c>
      <c r="J10" s="131"/>
    </row>
    <row r="11" spans="2:10" x14ac:dyDescent="0.25">
      <c r="B11" s="326" t="s">
        <v>1028</v>
      </c>
      <c r="C11" s="126">
        <f>'Inputs and eligible population'!E61*C5</f>
        <v>244.90563609600002</v>
      </c>
      <c r="D11" s="126">
        <f>C5*'Inputs and eligible population'!F61</f>
        <v>155.84904115200004</v>
      </c>
      <c r="E11" s="126">
        <f>E5*'Inputs and eligible population'!G61</f>
        <v>136.17331068773771</v>
      </c>
      <c r="F11" s="126">
        <f>F5*'Inputs and eligible population'!H61</f>
        <v>114.57188960926221</v>
      </c>
      <c r="G11" s="126">
        <f>G5*'Inputs and eligible population'!I61</f>
        <v>115.67656970965322</v>
      </c>
      <c r="H11" s="126">
        <f>H5*'Inputs and eligible population'!J61</f>
        <v>116.79190092288145</v>
      </c>
      <c r="J11" s="131"/>
    </row>
    <row r="12" spans="2:10" x14ac:dyDescent="0.25">
      <c r="B12" s="326" t="s">
        <v>1029</v>
      </c>
      <c r="C12" s="126">
        <f>'Inputs and eligible population'!E62*C5</f>
        <v>868.30180070400013</v>
      </c>
      <c r="D12" s="126">
        <f>C5*'Inputs and eligible population'!F62</f>
        <v>623.39616460800016</v>
      </c>
      <c r="E12" s="126">
        <f>E5*'Inputs and eligible population'!G62</f>
        <v>544.69324275095084</v>
      </c>
      <c r="F12" s="126">
        <f>F5*'Inputs and eligible population'!H62</f>
        <v>458.28755843704886</v>
      </c>
      <c r="G12" s="126">
        <f>G5*'Inputs and eligible population'!I62</f>
        <v>462.70627883861289</v>
      </c>
      <c r="H12" s="126">
        <f>H5*'Inputs and eligible population'!J62</f>
        <v>467.16760369152581</v>
      </c>
      <c r="J12" s="131"/>
    </row>
    <row r="13" spans="2:10" x14ac:dyDescent="0.25">
      <c r="B13" s="259"/>
      <c r="C13" s="178">
        <f t="shared" ref="C13:H13" si="0">SUM(C10:C12)</f>
        <v>1113.2074368000001</v>
      </c>
      <c r="D13" s="178">
        <f t="shared" si="0"/>
        <v>1113.2074368000003</v>
      </c>
      <c r="E13" s="178">
        <f t="shared" si="0"/>
        <v>1134.7775890644809</v>
      </c>
      <c r="F13" s="178">
        <f t="shared" si="0"/>
        <v>1145.7188960926221</v>
      </c>
      <c r="G13" s="178">
        <f t="shared" si="0"/>
        <v>1156.7656970965322</v>
      </c>
      <c r="H13" s="178">
        <f t="shared" si="0"/>
        <v>1167.9190092288145</v>
      </c>
      <c r="J13" s="131"/>
    </row>
    <row r="14" spans="2:10" ht="15.75" thickBot="1" x14ac:dyDescent="0.3">
      <c r="B14" s="466"/>
      <c r="C14" s="466"/>
      <c r="D14" s="467"/>
      <c r="E14" s="467"/>
      <c r="F14" s="467"/>
      <c r="G14" s="467"/>
      <c r="H14" s="467"/>
      <c r="I14" s="468"/>
      <c r="J14" s="131"/>
    </row>
    <row r="15" spans="2:10" x14ac:dyDescent="0.25">
      <c r="B15" s="261"/>
      <c r="C15" s="261"/>
      <c r="D15" s="316"/>
      <c r="E15" s="316"/>
      <c r="F15" s="316"/>
      <c r="G15" s="316"/>
      <c r="H15" s="316"/>
      <c r="I15" s="131"/>
      <c r="J15" s="131"/>
    </row>
    <row r="16" spans="2:10" ht="45" x14ac:dyDescent="0.25">
      <c r="B16" s="254" t="s">
        <v>871</v>
      </c>
      <c r="C16" s="232" t="s">
        <v>865</v>
      </c>
      <c r="D16" s="264" t="s">
        <v>715</v>
      </c>
      <c r="E16" s="264" t="s">
        <v>716</v>
      </c>
      <c r="F16" s="265" t="s">
        <v>866</v>
      </c>
      <c r="G16" s="265" t="s">
        <v>867</v>
      </c>
      <c r="H16" s="264" t="s">
        <v>868</v>
      </c>
      <c r="I16" s="131"/>
      <c r="J16" s="131"/>
    </row>
    <row r="17" spans="1:10" x14ac:dyDescent="0.25">
      <c r="B17" s="286" t="s">
        <v>872</v>
      </c>
      <c r="C17" s="677" t="s">
        <v>873</v>
      </c>
      <c r="D17" s="677" t="s">
        <v>873</v>
      </c>
      <c r="E17" s="677" t="s">
        <v>873</v>
      </c>
      <c r="F17" s="677" t="s">
        <v>873</v>
      </c>
      <c r="G17" s="677" t="s">
        <v>873</v>
      </c>
      <c r="H17" s="677" t="s">
        <v>873</v>
      </c>
      <c r="I17" s="131"/>
      <c r="J17" s="131"/>
    </row>
    <row r="18" spans="1:10" x14ac:dyDescent="0.25">
      <c r="B18" s="260" t="s">
        <v>874</v>
      </c>
      <c r="C18" s="247">
        <f>'Financial impact (cash)'!D22</f>
        <v>212.2597415213817</v>
      </c>
      <c r="D18" s="247">
        <f>'Financial impact (cash)'!E22</f>
        <v>382.8607659153223</v>
      </c>
      <c r="E18" s="247">
        <f>'Financial impact (cash)'!F22</f>
        <v>448.53135465732117</v>
      </c>
      <c r="F18" s="247">
        <f>'Financial impact (cash)'!G22</f>
        <v>515.43271730372805</v>
      </c>
      <c r="G18" s="247">
        <f>'Financial impact (cash)'!H22</f>
        <v>520.40242032458025</v>
      </c>
      <c r="H18" s="247">
        <f>'Financial impact (cash)'!I22</f>
        <v>525.42004026511245</v>
      </c>
      <c r="I18" s="131"/>
      <c r="J18" s="131"/>
    </row>
    <row r="19" spans="1:10" x14ac:dyDescent="0.25">
      <c r="C19" s="77"/>
      <c r="D19" s="192">
        <f>D18-$C$18</f>
        <v>170.60102439394061</v>
      </c>
      <c r="E19" s="192">
        <f>E18-$C$18</f>
        <v>236.27161313593948</v>
      </c>
      <c r="F19" s="192">
        <f>F18-$C$18</f>
        <v>303.17297578234638</v>
      </c>
      <c r="G19" s="192">
        <f>G18-$C$18</f>
        <v>308.14267880319858</v>
      </c>
      <c r="H19" s="192">
        <f>H18-$C$18</f>
        <v>313.16029874373078</v>
      </c>
      <c r="I19" s="428" t="s">
        <v>875</v>
      </c>
      <c r="J19" s="131"/>
    </row>
    <row r="20" spans="1:10" x14ac:dyDescent="0.25">
      <c r="C20" s="87"/>
      <c r="D20" s="192">
        <f>D18-C18</f>
        <v>170.60102439394061</v>
      </c>
      <c r="E20" s="192">
        <f>E18-D18</f>
        <v>65.67058874199887</v>
      </c>
      <c r="F20" s="192">
        <f>F18-E18</f>
        <v>66.901362646406881</v>
      </c>
      <c r="G20" s="192">
        <f>G18-F18</f>
        <v>4.9697030208521937</v>
      </c>
      <c r="H20" s="192">
        <f>H18-G18</f>
        <v>5.0176199405321995</v>
      </c>
      <c r="I20" s="428" t="s">
        <v>876</v>
      </c>
      <c r="J20" s="131"/>
    </row>
    <row r="21" spans="1:10" x14ac:dyDescent="0.25">
      <c r="B21" s="261"/>
      <c r="C21" s="261"/>
      <c r="D21" s="378"/>
      <c r="E21" s="378"/>
      <c r="F21" s="378"/>
      <c r="G21" s="378"/>
      <c r="H21" s="378"/>
      <c r="J21" s="131"/>
    </row>
    <row r="22" spans="1:10" x14ac:dyDescent="0.25">
      <c r="B22" t="s">
        <v>877</v>
      </c>
      <c r="C22" s="261"/>
      <c r="D22" s="378"/>
      <c r="E22" s="378"/>
      <c r="F22" s="378"/>
      <c r="G22" s="378"/>
      <c r="H22" s="378"/>
      <c r="J22" s="131"/>
    </row>
    <row r="23" spans="1:10" x14ac:dyDescent="0.25">
      <c r="B23" s="587" t="s">
        <v>15</v>
      </c>
      <c r="C23" s="261"/>
      <c r="D23" s="378"/>
      <c r="E23" s="378"/>
      <c r="F23" s="378"/>
      <c r="G23" s="378"/>
      <c r="H23" s="378"/>
      <c r="J23" s="131"/>
    </row>
    <row r="24" spans="1:10" x14ac:dyDescent="0.25">
      <c r="B24" s="261"/>
      <c r="C24" s="261"/>
      <c r="D24" s="378"/>
      <c r="E24" s="378"/>
      <c r="F24" s="378"/>
      <c r="G24" s="378"/>
      <c r="H24" s="378"/>
      <c r="J24" s="131"/>
    </row>
    <row r="25" spans="1:10" ht="45" x14ac:dyDescent="0.25">
      <c r="A25" s="378"/>
      <c r="B25" s="254" t="s">
        <v>878</v>
      </c>
      <c r="C25" s="232" t="s">
        <v>865</v>
      </c>
      <c r="D25" s="264" t="s">
        <v>715</v>
      </c>
      <c r="E25" s="264" t="s">
        <v>716</v>
      </c>
      <c r="F25" s="265" t="s">
        <v>866</v>
      </c>
      <c r="G25" s="265" t="s">
        <v>867</v>
      </c>
      <c r="H25" s="264" t="s">
        <v>868</v>
      </c>
      <c r="J25" s="131"/>
    </row>
    <row r="26" spans="1:10" x14ac:dyDescent="0.25">
      <c r="A26" s="378"/>
      <c r="B26" s="286" t="s">
        <v>879</v>
      </c>
      <c r="C26" s="677" t="s">
        <v>873</v>
      </c>
      <c r="D26" s="677" t="s">
        <v>873</v>
      </c>
      <c r="E26" s="677" t="s">
        <v>873</v>
      </c>
      <c r="F26" s="677" t="s">
        <v>873</v>
      </c>
      <c r="G26" s="677" t="s">
        <v>873</v>
      </c>
      <c r="H26" s="677" t="s">
        <v>873</v>
      </c>
      <c r="J26" s="131"/>
    </row>
    <row r="27" spans="1:10" x14ac:dyDescent="0.25">
      <c r="A27" s="378"/>
      <c r="B27" s="260" t="s">
        <v>880</v>
      </c>
      <c r="C27" s="247">
        <f>IF($B$23="national prices",'Capacity (national prices)'!L18,IF($B$23="local prices",'Capacity (local prices)'!L20,0))</f>
        <v>1562.5847034235026</v>
      </c>
      <c r="D27" s="247">
        <f>IF($B$23="national prices",'Capacity (national prices)'!M18,IF($B$23="local prices",'Capacity (local prices)'!M20,0))</f>
        <v>1623.4598731928206</v>
      </c>
      <c r="E27" s="247">
        <f>IF($B$23="national prices",'Capacity (national prices)'!N18,IF($B$23="local prices",'Capacity (local prices)'!N20,0))</f>
        <v>1661.414320720537</v>
      </c>
      <c r="F27" s="247">
        <f>IF($B$23="national prices",'Capacity (national prices)'!O18,IF($B$23="local prices",'Capacity (local prices)'!O20,0))</f>
        <v>1699.9497431430673</v>
      </c>
      <c r="G27" s="247">
        <f>IF($B$23="national prices",'Capacity (national prices)'!P18,IF($B$23="local prices",'Capacity (local prices)'!P20,0))</f>
        <v>1716.3403312648084</v>
      </c>
      <c r="H27" s="247">
        <f>IF($B$23="national prices",'Capacity (national prices)'!Q18,IF($B$23="local prices",'Capacity (local prices)'!Q20,0))</f>
        <v>1732.8889542814397</v>
      </c>
      <c r="J27" s="131"/>
    </row>
    <row r="28" spans="1:10" x14ac:dyDescent="0.25">
      <c r="A28" s="378"/>
      <c r="C28" s="77"/>
      <c r="D28" s="192">
        <f>D27-$C$27</f>
        <v>60.875169769318063</v>
      </c>
      <c r="E28" s="192">
        <f>E27-$C$27</f>
        <v>98.829617297034474</v>
      </c>
      <c r="F28" s="192">
        <f>F27-$C$27</f>
        <v>137.36503971956472</v>
      </c>
      <c r="G28" s="192">
        <f>G27-$C$27</f>
        <v>153.7556278413058</v>
      </c>
      <c r="H28" s="192">
        <f>H27-$C$27</f>
        <v>170.30425085793718</v>
      </c>
      <c r="I28" s="428" t="s">
        <v>875</v>
      </c>
      <c r="J28" s="131"/>
    </row>
    <row r="29" spans="1:10" x14ac:dyDescent="0.25">
      <c r="A29" s="378"/>
      <c r="C29" s="87"/>
      <c r="D29" s="192">
        <f>D27-C27</f>
        <v>60.875169769318063</v>
      </c>
      <c r="E29" s="192">
        <f>E27-D27</f>
        <v>37.954447527716411</v>
      </c>
      <c r="F29" s="192">
        <f>F27-E27</f>
        <v>38.535422422530246</v>
      </c>
      <c r="G29" s="192">
        <f>G27-F27</f>
        <v>16.390588121741075</v>
      </c>
      <c r="H29" s="192">
        <f>H27-G27</f>
        <v>16.548623016631382</v>
      </c>
      <c r="I29" s="428" t="s">
        <v>876</v>
      </c>
      <c r="J29" s="131"/>
    </row>
    <row r="30" spans="1:10" x14ac:dyDescent="0.25">
      <c r="A30" s="378"/>
      <c r="B30" s="378"/>
      <c r="C30" s="378"/>
      <c r="D30" s="378"/>
      <c r="E30" s="378"/>
      <c r="F30" s="378"/>
      <c r="G30" s="378"/>
      <c r="H30" s="378"/>
      <c r="J30" s="131"/>
    </row>
    <row r="31" spans="1:10" ht="45" x14ac:dyDescent="0.25">
      <c r="A31" s="378"/>
      <c r="B31" s="254" t="s">
        <v>881</v>
      </c>
      <c r="C31" s="232" t="s">
        <v>865</v>
      </c>
      <c r="D31" s="264" t="s">
        <v>715</v>
      </c>
      <c r="E31" s="264" t="s">
        <v>716</v>
      </c>
      <c r="F31" s="265" t="s">
        <v>866</v>
      </c>
      <c r="G31" s="265" t="s">
        <v>867</v>
      </c>
      <c r="H31" s="264" t="s">
        <v>868</v>
      </c>
      <c r="J31" s="131"/>
    </row>
    <row r="32" spans="1:10" x14ac:dyDescent="0.25">
      <c r="B32" s="286"/>
      <c r="C32" s="677" t="s">
        <v>873</v>
      </c>
      <c r="D32" s="677" t="s">
        <v>873</v>
      </c>
      <c r="E32" s="677" t="s">
        <v>873</v>
      </c>
      <c r="F32" s="677" t="s">
        <v>873</v>
      </c>
      <c r="G32" s="677" t="s">
        <v>873</v>
      </c>
      <c r="H32" s="677" t="s">
        <v>873</v>
      </c>
      <c r="I32" s="131"/>
      <c r="J32" s="131"/>
    </row>
    <row r="33" spans="2:10" x14ac:dyDescent="0.25">
      <c r="B33" s="462" t="s">
        <v>882</v>
      </c>
      <c r="C33" s="482">
        <f>C18+C27</f>
        <v>1774.8444449448843</v>
      </c>
      <c r="D33" s="482">
        <f t="shared" ref="D33:H33" si="1">D18+D27</f>
        <v>2006.320639108143</v>
      </c>
      <c r="E33" s="482">
        <f t="shared" si="1"/>
        <v>2109.9456753778582</v>
      </c>
      <c r="F33" s="482">
        <f t="shared" si="1"/>
        <v>2215.3824604467954</v>
      </c>
      <c r="G33" s="482">
        <f t="shared" si="1"/>
        <v>2236.7427515893887</v>
      </c>
      <c r="H33" s="482">
        <f t="shared" si="1"/>
        <v>2258.3089945465522</v>
      </c>
      <c r="I33" s="131"/>
      <c r="J33" s="131"/>
    </row>
    <row r="34" spans="2:10" x14ac:dyDescent="0.25">
      <c r="B34" s="461"/>
      <c r="C34" s="463"/>
      <c r="D34" s="464">
        <f>D33-$C$33</f>
        <v>231.4761941632587</v>
      </c>
      <c r="E34" s="464">
        <f t="shared" ref="E34:H34" si="2">E33-$C$33</f>
        <v>335.10123043297381</v>
      </c>
      <c r="F34" s="464">
        <f t="shared" si="2"/>
        <v>440.5380155019111</v>
      </c>
      <c r="G34" s="464">
        <f t="shared" si="2"/>
        <v>461.89830664450437</v>
      </c>
      <c r="H34" s="464">
        <f t="shared" si="2"/>
        <v>483.46454960166784</v>
      </c>
      <c r="I34" s="428" t="s">
        <v>875</v>
      </c>
      <c r="J34" s="131"/>
    </row>
    <row r="35" spans="2:10" x14ac:dyDescent="0.25">
      <c r="B35" s="461"/>
      <c r="C35" s="463"/>
      <c r="D35" s="465">
        <f>D33-C33</f>
        <v>231.4761941632587</v>
      </c>
      <c r="E35" s="465">
        <f>E33-D33</f>
        <v>103.62503626971511</v>
      </c>
      <c r="F35" s="465">
        <f>F33-E33</f>
        <v>105.4367850689373</v>
      </c>
      <c r="G35" s="465">
        <f>G33-F33</f>
        <v>21.360291142593269</v>
      </c>
      <c r="H35" s="465">
        <f>H33-G33</f>
        <v>21.566242957163468</v>
      </c>
      <c r="I35" s="428" t="s">
        <v>876</v>
      </c>
      <c r="J35" s="131"/>
    </row>
    <row r="36" spans="2:10" ht="15.75" thickBot="1" x14ac:dyDescent="0.3">
      <c r="B36" s="466"/>
      <c r="C36" s="466"/>
      <c r="D36" s="467"/>
      <c r="E36" s="467"/>
      <c r="F36" s="467"/>
      <c r="G36" s="467"/>
      <c r="H36" s="467"/>
      <c r="I36" s="468"/>
      <c r="J36" s="131"/>
    </row>
    <row r="37" spans="2:10" x14ac:dyDescent="0.25">
      <c r="B37" s="261"/>
      <c r="C37" s="261"/>
      <c r="D37" s="316"/>
      <c r="E37" s="316"/>
      <c r="F37" s="316"/>
      <c r="G37" s="316"/>
      <c r="H37" s="316"/>
      <c r="I37" s="131"/>
      <c r="J37" s="131"/>
    </row>
    <row r="38" spans="2:10" ht="45" x14ac:dyDescent="0.25">
      <c r="B38" s="254" t="s">
        <v>883</v>
      </c>
      <c r="C38" s="454"/>
      <c r="D38" s="264" t="s">
        <v>715</v>
      </c>
      <c r="E38" s="264" t="s">
        <v>716</v>
      </c>
      <c r="F38" s="265" t="s">
        <v>866</v>
      </c>
      <c r="G38" s="265" t="s">
        <v>867</v>
      </c>
      <c r="H38" s="264" t="s">
        <v>868</v>
      </c>
      <c r="I38" s="131"/>
      <c r="J38" s="131"/>
    </row>
    <row r="39" spans="2:10" x14ac:dyDescent="0.25">
      <c r="B39" s="457"/>
      <c r="C39" s="455"/>
      <c r="D39" s="456"/>
      <c r="E39" s="456"/>
      <c r="F39" s="456"/>
      <c r="G39" s="456"/>
      <c r="H39" s="456"/>
      <c r="I39" s="131"/>
      <c r="J39" s="131"/>
    </row>
    <row r="40" spans="2:10" x14ac:dyDescent="0.25">
      <c r="B40" s="254" t="s">
        <v>884</v>
      </c>
      <c r="C40" s="253"/>
      <c r="D40" s="249"/>
      <c r="E40" s="249"/>
      <c r="F40" s="249"/>
      <c r="G40" s="249"/>
      <c r="H40" s="250"/>
      <c r="I40" s="131"/>
      <c r="J40" s="131"/>
    </row>
    <row r="41" spans="2:10" x14ac:dyDescent="0.25">
      <c r="B41" s="585" t="s">
        <v>885</v>
      </c>
      <c r="C41" s="584"/>
      <c r="D41" s="586">
        <f>'Capacity (local prices)'!E10-'Capacity (local prices)'!$D10</f>
        <v>0</v>
      </c>
      <c r="E41" s="586">
        <f>'Capacity (local prices)'!F10-'Capacity (local prices)'!$D10</f>
        <v>0</v>
      </c>
      <c r="F41" s="586">
        <f>'Capacity (local prices)'!G10-'Capacity (local prices)'!$D10</f>
        <v>0</v>
      </c>
      <c r="G41" s="586">
        <f>'Capacity (local prices)'!H10-'Capacity (local prices)'!$D10</f>
        <v>0</v>
      </c>
      <c r="H41" s="586">
        <f>'Capacity (local prices)'!I10-'Capacity (local prices)'!$D10</f>
        <v>0</v>
      </c>
      <c r="I41" s="131"/>
      <c r="J41" s="131"/>
    </row>
    <row r="42" spans="2:10" x14ac:dyDescent="0.25">
      <c r="B42" s="585" t="s">
        <v>886</v>
      </c>
      <c r="C42" s="584"/>
      <c r="D42" s="586">
        <f>'Capacity (local prices)'!E11-'Capacity (local prices)'!$D11</f>
        <v>369.38222589102998</v>
      </c>
      <c r="E42" s="586">
        <f>'Capacity (local prices)'!F11-'Capacity (local prices)'!$D11</f>
        <v>518.62149241923453</v>
      </c>
      <c r="F42" s="586">
        <f>'Capacity (local prices)'!G11-'Capacity (local prices)'!$D11</f>
        <v>670.39382592417724</v>
      </c>
      <c r="G42" s="586">
        <f>'Capacity (local prices)'!H11-'Capacity (local prices)'!$D11</f>
        <v>709.05762943786203</v>
      </c>
      <c r="H42" s="586">
        <f>'Capacity (local prices)'!I11-'Capacity (local prices)'!$D11</f>
        <v>748.09422190085024</v>
      </c>
      <c r="I42" s="131"/>
      <c r="J42" s="131"/>
    </row>
    <row r="43" spans="2:10" x14ac:dyDescent="0.25">
      <c r="B43" s="256" t="s">
        <v>887</v>
      </c>
      <c r="C43" s="257"/>
      <c r="D43" s="178">
        <f>'Capacity (local prices)'!E30</f>
        <v>0</v>
      </c>
      <c r="E43" s="178">
        <f>'Capacity (local prices)'!F30</f>
        <v>0</v>
      </c>
      <c r="F43" s="178">
        <f>'Capacity (local prices)'!G30</f>
        <v>0</v>
      </c>
      <c r="G43" s="178">
        <f>'Capacity (local prices)'!H30</f>
        <v>0</v>
      </c>
      <c r="H43" s="178">
        <f>'Capacity (local prices)'!I30</f>
        <v>0</v>
      </c>
      <c r="I43" s="131"/>
      <c r="J43" s="131"/>
    </row>
    <row r="44" spans="2:10" x14ac:dyDescent="0.25">
      <c r="B44" s="256" t="s">
        <v>888</v>
      </c>
      <c r="C44" s="257"/>
      <c r="D44" s="178">
        <f>'Capacity (local prices)'!E38</f>
        <v>123.12740863034287</v>
      </c>
      <c r="E44" s="178">
        <f>'Capacity (local prices)'!F38</f>
        <v>172.87383080641143</v>
      </c>
      <c r="F44" s="178">
        <f>'Capacity (local prices)'!G38</f>
        <v>223.46460864139226</v>
      </c>
      <c r="G44" s="178">
        <f>'Capacity (local prices)'!H38</f>
        <v>236.35254314595386</v>
      </c>
      <c r="H44" s="178">
        <f>'Capacity (local prices)'!I38</f>
        <v>249.36474063361675</v>
      </c>
      <c r="I44" s="131"/>
      <c r="J44" s="131"/>
    </row>
    <row r="45" spans="2:10" x14ac:dyDescent="0.25">
      <c r="B45" s="256" t="s">
        <v>889</v>
      </c>
      <c r="C45" s="257"/>
      <c r="D45" s="178">
        <f>'Capacity (local prices)'!E45</f>
        <v>1938.3453633442934</v>
      </c>
      <c r="E45" s="178">
        <f>'Capacity (local prices)'!F45</f>
        <v>2681.520707155908</v>
      </c>
      <c r="F45" s="178">
        <f>'Capacity (local prices)'!G45</f>
        <v>3438.6670975159968</v>
      </c>
      <c r="G45" s="178">
        <f>'Capacity (local prices)'!H45</f>
        <v>3490.4765942243357</v>
      </c>
      <c r="H45" s="178">
        <f>'Capacity (local prices)'!I45</f>
        <v>3542.7856281247396</v>
      </c>
      <c r="I45" s="131"/>
      <c r="J45" s="131"/>
    </row>
    <row r="46" spans="2:10" x14ac:dyDescent="0.25">
      <c r="B46" s="256" t="s">
        <v>890</v>
      </c>
      <c r="C46" s="257"/>
      <c r="D46" s="178">
        <f>'Capacity (local prices)'!E52</f>
        <v>433.30705043477519</v>
      </c>
      <c r="E46" s="178">
        <f>'Capacity (local prices)'!F52</f>
        <v>642.78679205169738</v>
      </c>
      <c r="F46" s="178">
        <f>'Capacity (local prices)'!G52</f>
        <v>855.57737123420338</v>
      </c>
      <c r="G46" s="178">
        <f>'Capacity (local prices)'!H52</f>
        <v>935.22480647239536</v>
      </c>
      <c r="H46" s="178">
        <f>'Capacity (local prices)'!I52</f>
        <v>1015.6401869461515</v>
      </c>
      <c r="I46" s="131"/>
      <c r="J46" s="131"/>
    </row>
    <row r="47" spans="2:10" x14ac:dyDescent="0.25">
      <c r="B47" s="256" t="s">
        <v>891</v>
      </c>
      <c r="C47" s="257"/>
      <c r="D47" s="178">
        <f>'Capacity (local prices)'!E60</f>
        <v>433.30705043477519</v>
      </c>
      <c r="E47" s="178">
        <f>'Capacity (local prices)'!F60</f>
        <v>642.78679205169738</v>
      </c>
      <c r="F47" s="178">
        <f>'Capacity (local prices)'!G60</f>
        <v>855.57737123420338</v>
      </c>
      <c r="G47" s="178">
        <f>'Capacity (local prices)'!H60</f>
        <v>935.22480647239536</v>
      </c>
      <c r="H47" s="178">
        <f>'Capacity (local prices)'!I60</f>
        <v>1015.6401869461515</v>
      </c>
      <c r="I47" s="131"/>
      <c r="J47" s="131"/>
    </row>
    <row r="48" spans="2:10" x14ac:dyDescent="0.25">
      <c r="I48" s="131"/>
      <c r="J48" s="131"/>
    </row>
    <row r="49" spans="2:14" x14ac:dyDescent="0.25">
      <c r="B49" s="254" t="s">
        <v>892</v>
      </c>
      <c r="C49" s="255"/>
      <c r="D49" s="249"/>
      <c r="E49" s="249"/>
      <c r="F49" s="249"/>
      <c r="G49" s="249"/>
      <c r="H49" s="250"/>
      <c r="I49" s="131"/>
      <c r="J49" s="131"/>
    </row>
    <row r="50" spans="2:14" x14ac:dyDescent="0.25">
      <c r="B50" s="256" t="s">
        <v>893</v>
      </c>
      <c r="C50" s="257"/>
      <c r="D50" s="178">
        <f>'Capacity (local prices)'!E69</f>
        <v>129.22302422295292</v>
      </c>
      <c r="E50" s="178">
        <f>'Capacity (local prices)'!F69</f>
        <v>178.76804714372724</v>
      </c>
      <c r="F50" s="178">
        <f>'Capacity (local prices)'!G69</f>
        <v>229.24447316773313</v>
      </c>
      <c r="G50" s="178">
        <f>'Capacity (local prices)'!H69</f>
        <v>232.6984396149557</v>
      </c>
      <c r="H50" s="178">
        <f>'Capacity (local prices)'!I69</f>
        <v>236.18570854164932</v>
      </c>
      <c r="I50" s="131"/>
      <c r="J50" s="131"/>
    </row>
    <row r="51" spans="2:14" x14ac:dyDescent="0.25">
      <c r="B51" s="256" t="s">
        <v>894</v>
      </c>
      <c r="C51" s="257"/>
      <c r="D51" s="178">
        <f>'Capacity (local prices)'!E77</f>
        <v>32.305756055738229</v>
      </c>
      <c r="E51" s="178">
        <f>'Capacity (local prices)'!F77</f>
        <v>44.692011785931811</v>
      </c>
      <c r="F51" s="178">
        <f>'Capacity (local prices)'!G77</f>
        <v>57.311118291933283</v>
      </c>
      <c r="G51" s="178">
        <f>'Capacity (local prices)'!H77</f>
        <v>58.174609903738926</v>
      </c>
      <c r="H51" s="178">
        <f>'Capacity (local prices)'!I77</f>
        <v>59.04642713541233</v>
      </c>
      <c r="I51" s="131"/>
      <c r="J51" s="131"/>
    </row>
    <row r="52" spans="2:14" x14ac:dyDescent="0.25">
      <c r="B52" s="256" t="s">
        <v>895</v>
      </c>
      <c r="C52" s="257"/>
      <c r="D52" s="178">
        <f>'Capacity (local prices)'!E85</f>
        <v>0</v>
      </c>
      <c r="E52" s="178">
        <f>'Capacity (local prices)'!F85</f>
        <v>0</v>
      </c>
      <c r="F52" s="178">
        <f>'Capacity (local prices)'!G85</f>
        <v>0</v>
      </c>
      <c r="G52" s="178">
        <f>'Capacity (local prices)'!H85</f>
        <v>0</v>
      </c>
      <c r="H52" s="178">
        <f>'Capacity (local prices)'!I85</f>
        <v>0</v>
      </c>
      <c r="I52" s="131"/>
      <c r="J52" s="131"/>
    </row>
    <row r="53" spans="2:14" x14ac:dyDescent="0.25">
      <c r="I53" s="131"/>
      <c r="J53" s="131"/>
    </row>
    <row r="54" spans="2:14" x14ac:dyDescent="0.25">
      <c r="B54" s="254" t="s">
        <v>896</v>
      </c>
      <c r="C54" s="255"/>
      <c r="D54" s="249"/>
      <c r="E54" s="249"/>
      <c r="F54" s="249"/>
      <c r="G54" s="249"/>
      <c r="H54" s="250"/>
      <c r="I54" s="131"/>
      <c r="J54" s="131"/>
    </row>
    <row r="55" spans="2:14" x14ac:dyDescent="0.25">
      <c r="B55" s="323" t="s">
        <v>897</v>
      </c>
      <c r="C55" s="262"/>
      <c r="D55" s="357">
        <f>'Capacity (local prices)'!E94</f>
        <v>197.6377011482557</v>
      </c>
      <c r="E55" s="178">
        <f>'Capacity (local prices)'!F94</f>
        <v>277.02562493396726</v>
      </c>
      <c r="F55" s="178">
        <f>'Capacity (local prices)'!G94</f>
        <v>357.8537057291835</v>
      </c>
      <c r="G55" s="178">
        <f>'Capacity (local prices)'!H94</f>
        <v>368.808450058061</v>
      </c>
      <c r="H55" s="178">
        <f>'Capacity (local prices)'!I94</f>
        <v>379.86881792257418</v>
      </c>
      <c r="I55" s="131"/>
      <c r="J55" s="131"/>
    </row>
    <row r="56" spans="2:14" x14ac:dyDescent="0.25">
      <c r="I56" s="131"/>
      <c r="J56" s="131"/>
    </row>
    <row r="57" spans="2:14" x14ac:dyDescent="0.25">
      <c r="I57" s="131"/>
      <c r="J57" s="131"/>
    </row>
    <row r="58" spans="2:14" x14ac:dyDescent="0.25">
      <c r="B58" s="254" t="s">
        <v>898</v>
      </c>
      <c r="C58" s="253"/>
      <c r="D58" s="249"/>
      <c r="E58" s="249"/>
      <c r="F58" s="249"/>
      <c r="G58" s="249"/>
      <c r="H58" s="250"/>
      <c r="I58" s="131"/>
      <c r="J58" s="131"/>
    </row>
    <row r="59" spans="2:14" x14ac:dyDescent="0.25">
      <c r="B59" s="256" t="s">
        <v>899</v>
      </c>
      <c r="C59" s="257"/>
      <c r="D59" s="357">
        <f>'Capacity (local prices)'!E106</f>
        <v>-17.496089409004071</v>
      </c>
      <c r="E59" s="178">
        <f>'Capacity (local prices)'!F106</f>
        <v>-17.393195740476244</v>
      </c>
      <c r="F59" s="178">
        <f>'Capacity (local prices)'!G106</f>
        <v>-17.325197478059692</v>
      </c>
      <c r="G59" s="178">
        <f>'Capacity (local prices)'!H106</f>
        <v>-13.49858561030527</v>
      </c>
      <c r="H59" s="178">
        <f>'Capacity (local prices)'!I106</f>
        <v>-9.6350782876826884</v>
      </c>
      <c r="I59" s="131"/>
      <c r="J59" s="131"/>
    </row>
    <row r="60" spans="2:14" x14ac:dyDescent="0.25">
      <c r="B60" s="261"/>
      <c r="C60" s="261"/>
      <c r="D60" s="248"/>
      <c r="E60" s="248"/>
      <c r="F60" s="248"/>
      <c r="G60" s="248"/>
      <c r="H60" s="248"/>
      <c r="I60" s="131"/>
      <c r="J60" s="131"/>
    </row>
    <row r="62" spans="2:14" x14ac:dyDescent="0.25">
      <c r="D62" s="850"/>
      <c r="E62" s="851"/>
      <c r="F62" s="851"/>
      <c r="G62" s="851"/>
      <c r="H62" s="851"/>
      <c r="I62" s="851"/>
      <c r="J62" s="851"/>
      <c r="K62" s="851"/>
      <c r="L62" s="851"/>
      <c r="M62" s="851"/>
      <c r="N62" s="851"/>
    </row>
    <row r="63" spans="2:14" x14ac:dyDescent="0.25">
      <c r="D63" s="851"/>
      <c r="E63" s="851"/>
      <c r="F63" s="851"/>
      <c r="G63" s="851"/>
      <c r="H63" s="851"/>
      <c r="I63" s="851"/>
      <c r="J63" s="851"/>
      <c r="K63" s="851"/>
      <c r="L63" s="851"/>
      <c r="M63" s="851"/>
      <c r="N63" s="851"/>
    </row>
    <row r="64" spans="2:14" x14ac:dyDescent="0.25">
      <c r="D64" s="850"/>
      <c r="E64" s="851"/>
      <c r="F64" s="851"/>
      <c r="G64" s="851"/>
      <c r="H64" s="851"/>
      <c r="I64" s="851"/>
      <c r="J64" s="851"/>
      <c r="K64" s="851"/>
      <c r="L64" s="851"/>
      <c r="M64" s="851"/>
      <c r="N64" s="851"/>
    </row>
  </sheetData>
  <sheetProtection algorithmName="SHA-512" hashValue="ruwu68Xbs8q2qio8fwul0FjyautUdUIJFgqbXkl0EBE/OJkLLgpET02fWIu24u1T1qiE3D+/QYlCPRlF5vPFIw==" saltValue="E9Sy4BecAx6Kv8a8hwTH4g==" spinCount="100000" sheet="1" objects="1" scenarios="1"/>
  <mergeCells count="2">
    <mergeCell ref="D62:N63"/>
    <mergeCell ref="D64:N6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9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0.5703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501" t="str">
        <f>'Inputs and eligible population'!B1</f>
        <v>Capivasertib with fulvestrant for treating hormone receptor-positive HER2-negative 
advanced breast cancer after endocrine 
treatment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" customHeight="1" x14ac:dyDescent="0.25">
      <c r="B2" s="355" t="s">
        <v>900</v>
      </c>
      <c r="C2" s="125" t="s">
        <v>802</v>
      </c>
      <c r="D2" s="125" t="s">
        <v>802</v>
      </c>
      <c r="E2" s="125" t="s">
        <v>802</v>
      </c>
      <c r="F2" s="125" t="s">
        <v>802</v>
      </c>
      <c r="G2" s="125" t="s">
        <v>802</v>
      </c>
      <c r="H2" s="125"/>
      <c r="I2" s="125" t="s">
        <v>802</v>
      </c>
      <c r="J2" s="125" t="s">
        <v>802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25">
      <c r="B3" s="128" t="s">
        <v>802</v>
      </c>
      <c r="C3" s="131" t="s">
        <v>802</v>
      </c>
      <c r="D3" s="131" t="s">
        <v>802</v>
      </c>
      <c r="E3" s="131" t="s">
        <v>802</v>
      </c>
      <c r="F3" s="131" t="s">
        <v>802</v>
      </c>
      <c r="G3" s="131" t="s">
        <v>802</v>
      </c>
      <c r="H3" s="131" t="s">
        <v>802</v>
      </c>
      <c r="I3" s="131" t="s">
        <v>802</v>
      </c>
      <c r="J3" s="131" t="s">
        <v>802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36" customFormat="1" x14ac:dyDescent="0.25">
      <c r="B4" s="241" t="s">
        <v>901</v>
      </c>
      <c r="F4" s="131"/>
      <c r="G4" s="131"/>
      <c r="H4" s="131"/>
      <c r="I4" s="131"/>
      <c r="J4" s="131" t="s">
        <v>802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36" customFormat="1" x14ac:dyDescent="0.25">
      <c r="B5" s="241" t="s">
        <v>902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36" customFormat="1" x14ac:dyDescent="0.25">
      <c r="B6" s="241"/>
      <c r="C6" s="131" t="s">
        <v>802</v>
      </c>
      <c r="D6" s="131" t="s">
        <v>802</v>
      </c>
      <c r="E6" s="131"/>
      <c r="F6" s="131"/>
      <c r="G6" s="131"/>
      <c r="H6" s="131"/>
      <c r="I6" s="131" t="s">
        <v>802</v>
      </c>
      <c r="J6" s="131" t="s">
        <v>802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36" customFormat="1" ht="45" x14ac:dyDescent="0.25">
      <c r="B7" s="252" t="s">
        <v>869</v>
      </c>
      <c r="C7" s="263"/>
      <c r="D7" s="817" t="s">
        <v>903</v>
      </c>
      <c r="E7" s="264" t="s">
        <v>715</v>
      </c>
      <c r="F7" s="264" t="s">
        <v>716</v>
      </c>
      <c r="G7" s="265" t="s">
        <v>866</v>
      </c>
      <c r="H7" s="265" t="s">
        <v>867</v>
      </c>
      <c r="I7" s="264" t="s">
        <v>868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25">
      <c r="B8" s="219" t="s">
        <v>869</v>
      </c>
      <c r="C8" s="179"/>
      <c r="D8" s="178">
        <f>'Inputs and eligible population'!F41</f>
        <v>1113.2074368000001</v>
      </c>
      <c r="E8" s="178">
        <f>'Inputs and eligible population'!G41</f>
        <v>1123.9407685730393</v>
      </c>
      <c r="F8" s="178">
        <f>'Inputs and eligible population'!H41</f>
        <v>1134.7775890644809</v>
      </c>
      <c r="G8" s="178">
        <f>'Inputs and eligible population'!I41</f>
        <v>1145.7188960926221</v>
      </c>
      <c r="H8" s="178">
        <f>'Inputs and eligible population'!J41</f>
        <v>1156.7656970965322</v>
      </c>
      <c r="I8" s="178">
        <f>'Inputs and eligible population'!K41</f>
        <v>1167.9190092288145</v>
      </c>
      <c r="K8" s="131"/>
      <c r="L8" s="131"/>
    </row>
    <row r="9" spans="2:34" s="236" customFormat="1" x14ac:dyDescent="0.25">
      <c r="B9" s="238" t="s">
        <v>802</v>
      </c>
      <c r="C9" s="131" t="s">
        <v>802</v>
      </c>
      <c r="D9" s="131" t="s">
        <v>802</v>
      </c>
      <c r="E9" s="131" t="s">
        <v>802</v>
      </c>
      <c r="F9" s="131" t="s">
        <v>802</v>
      </c>
      <c r="G9" s="131" t="s">
        <v>802</v>
      </c>
      <c r="H9" s="131"/>
      <c r="I9" s="131"/>
      <c r="K9" s="131"/>
      <c r="L9" s="131"/>
      <c r="N9" s="131"/>
      <c r="O9" s="131"/>
      <c r="P9" s="131"/>
      <c r="Q9" s="131"/>
      <c r="R9" s="131"/>
      <c r="S9" s="131"/>
      <c r="T9" s="131"/>
      <c r="AD9" s="266"/>
      <c r="AE9" s="266"/>
      <c r="AF9" s="266"/>
      <c r="AG9" s="266"/>
      <c r="AH9" s="266"/>
    </row>
    <row r="10" spans="2:34" s="236" customFormat="1" x14ac:dyDescent="0.25">
      <c r="B10" s="319" t="s">
        <v>872</v>
      </c>
      <c r="C10" s="320"/>
      <c r="D10" s="321"/>
      <c r="E10" s="321"/>
      <c r="F10" s="321"/>
      <c r="G10" s="321"/>
      <c r="H10" s="321"/>
      <c r="I10" s="322"/>
      <c r="K10" s="131"/>
      <c r="L10" s="131"/>
      <c r="N10" s="131"/>
      <c r="O10" s="131"/>
      <c r="P10" s="131"/>
      <c r="Q10" s="131"/>
      <c r="R10" s="131"/>
      <c r="S10" s="131"/>
      <c r="T10" s="131"/>
    </row>
    <row r="11" spans="2:34" s="236" customFormat="1" x14ac:dyDescent="0.25">
      <c r="B11" s="238"/>
      <c r="C11" s="131"/>
      <c r="D11" s="131"/>
      <c r="E11" s="131"/>
      <c r="F11" s="131"/>
      <c r="G11" s="131"/>
      <c r="H11" s="131"/>
      <c r="I11" s="131"/>
      <c r="N11" s="131"/>
      <c r="O11" s="131"/>
      <c r="P11" s="131"/>
      <c r="Q11" s="131"/>
      <c r="R11" s="131"/>
      <c r="S11" s="131"/>
      <c r="T11" s="131"/>
      <c r="AD11" s="266"/>
      <c r="AE11" s="266"/>
      <c r="AF11" s="266"/>
      <c r="AG11" s="266"/>
      <c r="AH11" s="266"/>
    </row>
    <row r="12" spans="2:34" s="236" customFormat="1" x14ac:dyDescent="0.25">
      <c r="B12" s="272" t="s">
        <v>904</v>
      </c>
      <c r="C12" s="267"/>
      <c r="D12" s="180"/>
      <c r="E12" s="180"/>
      <c r="F12" s="180"/>
      <c r="G12" s="180"/>
      <c r="H12" s="180"/>
      <c r="I12" s="181"/>
      <c r="N12" s="131"/>
      <c r="O12" s="131"/>
      <c r="P12" s="131"/>
      <c r="Q12" s="131"/>
      <c r="R12" s="131"/>
      <c r="S12" s="131"/>
      <c r="T12" s="131"/>
    </row>
    <row r="13" spans="2:34" s="236" customFormat="1" x14ac:dyDescent="0.25">
      <c r="B13" s="328" t="str">
        <f>'Inputs and eligible population'!C47</f>
        <v>Capivasertib with fulvestrant</v>
      </c>
      <c r="C13" s="329"/>
      <c r="D13" s="268">
        <f>'Inputs and eligible population'!L60</f>
        <v>0</v>
      </c>
      <c r="E13" s="268">
        <f>'Inputs and eligible population'!M60</f>
        <v>337.18223057191182</v>
      </c>
      <c r="F13" s="268">
        <f>'Inputs and eligible population'!N60</f>
        <v>453.91103562579241</v>
      </c>
      <c r="G13" s="268">
        <f>'Inputs and eligible population'!O60</f>
        <v>572.85944804631106</v>
      </c>
      <c r="H13" s="268">
        <f>'Inputs and eligible population'!P60</f>
        <v>578.38284854826611</v>
      </c>
      <c r="I13" s="268">
        <f>'Inputs and eligible population'!Q60</f>
        <v>583.95950461440725</v>
      </c>
      <c r="N13" s="131"/>
      <c r="O13" s="131"/>
      <c r="P13" s="131"/>
      <c r="Q13" s="131"/>
      <c r="R13" s="131"/>
      <c r="S13" s="131"/>
      <c r="T13" s="131"/>
      <c r="V13" s="266"/>
      <c r="W13" s="266"/>
      <c r="X13" s="266"/>
      <c r="Y13" s="266"/>
      <c r="Z13" s="266"/>
      <c r="AA13" s="266"/>
      <c r="AC13" s="266"/>
      <c r="AD13" s="266"/>
      <c r="AE13" s="266"/>
      <c r="AF13" s="266"/>
      <c r="AG13" s="266"/>
      <c r="AH13" s="266"/>
    </row>
    <row r="14" spans="2:34" s="236" customFormat="1" x14ac:dyDescent="0.25">
      <c r="B14" s="328" t="str">
        <f>'Inputs and eligible population'!C48</f>
        <v xml:space="preserve">Alpelisib with fulvestrant </v>
      </c>
      <c r="C14" s="329"/>
      <c r="D14" s="268">
        <f>'Inputs and eligible population'!L61</f>
        <v>244.90563609600002</v>
      </c>
      <c r="E14" s="268">
        <f>'Inputs and eligible population'!M61</f>
        <v>157.35170760022552</v>
      </c>
      <c r="F14" s="268">
        <f>'Inputs and eligible population'!N61</f>
        <v>136.17331068773771</v>
      </c>
      <c r="G14" s="268">
        <f>'Inputs and eligible population'!O61</f>
        <v>114.57188960926221</v>
      </c>
      <c r="H14" s="268">
        <f>'Inputs and eligible population'!P61</f>
        <v>115.67656970965322</v>
      </c>
      <c r="I14" s="268">
        <f>'Inputs and eligible population'!Q61</f>
        <v>116.79190092288145</v>
      </c>
      <c r="N14" s="131"/>
      <c r="O14" s="131"/>
      <c r="P14" s="131"/>
      <c r="Q14" s="131"/>
      <c r="R14" s="131"/>
      <c r="S14" s="131"/>
      <c r="T14" s="131"/>
      <c r="V14" s="266"/>
      <c r="W14" s="266"/>
      <c r="X14" s="266"/>
      <c r="Y14" s="266"/>
      <c r="Z14" s="266"/>
      <c r="AA14" s="266"/>
      <c r="AC14" s="266"/>
      <c r="AD14" s="266"/>
      <c r="AE14" s="266"/>
      <c r="AF14" s="266"/>
      <c r="AG14" s="266"/>
      <c r="AH14" s="266"/>
    </row>
    <row r="15" spans="2:34" s="236" customFormat="1" x14ac:dyDescent="0.25">
      <c r="B15" s="328" t="str">
        <f>'Inputs and eligible population'!C49</f>
        <v xml:space="preserve">Everolimus with exemestane </v>
      </c>
      <c r="C15" s="330"/>
      <c r="D15" s="268">
        <f>'Inputs and eligible population'!L62</f>
        <v>868.30180070400013</v>
      </c>
      <c r="E15" s="268">
        <f>'Inputs and eligible population'!M62</f>
        <v>629.40683040090209</v>
      </c>
      <c r="F15" s="268">
        <f>'Inputs and eligible population'!N62</f>
        <v>544.69324275095084</v>
      </c>
      <c r="G15" s="268">
        <f>'Inputs and eligible population'!O62</f>
        <v>458.28755843704886</v>
      </c>
      <c r="H15" s="268">
        <f>'Inputs and eligible population'!P62</f>
        <v>462.70627883861289</v>
      </c>
      <c r="I15" s="268">
        <f>'Inputs and eligible population'!Q62</f>
        <v>467.16760369152581</v>
      </c>
      <c r="N15" s="131"/>
      <c r="O15" s="131"/>
      <c r="P15" s="131"/>
      <c r="Q15" s="131"/>
      <c r="R15" s="131"/>
      <c r="S15" s="131"/>
      <c r="T15" s="131"/>
      <c r="V15" s="266"/>
      <c r="W15" s="266"/>
      <c r="X15" s="266"/>
      <c r="Y15" s="266"/>
      <c r="Z15" s="266"/>
      <c r="AA15" s="266"/>
      <c r="AC15" s="266"/>
      <c r="AD15" s="266"/>
      <c r="AE15" s="266"/>
      <c r="AF15" s="266"/>
      <c r="AG15" s="266"/>
      <c r="AH15" s="266"/>
    </row>
    <row r="16" spans="2:34" s="236" customFormat="1" x14ac:dyDescent="0.25">
      <c r="B16" s="273"/>
      <c r="C16" s="182"/>
      <c r="D16" s="183">
        <f t="shared" ref="D16:I16" si="0">SUM(D13:D15)</f>
        <v>1113.2074368000001</v>
      </c>
      <c r="E16" s="183">
        <f t="shared" si="0"/>
        <v>1123.9407685730393</v>
      </c>
      <c r="F16" s="183">
        <f t="shared" si="0"/>
        <v>1134.7775890644809</v>
      </c>
      <c r="G16" s="183">
        <f t="shared" si="0"/>
        <v>1145.7188960926221</v>
      </c>
      <c r="H16" s="183">
        <f t="shared" si="0"/>
        <v>1156.7656970965322</v>
      </c>
      <c r="I16" s="183">
        <f t="shared" si="0"/>
        <v>1167.9190092288145</v>
      </c>
      <c r="N16" s="131"/>
      <c r="O16" s="131"/>
      <c r="P16" s="131"/>
      <c r="Q16" s="131"/>
      <c r="R16" s="131"/>
      <c r="S16" s="131"/>
      <c r="T16" s="131"/>
      <c r="V16" s="266"/>
      <c r="W16" s="266"/>
      <c r="X16" s="266"/>
      <c r="Y16" s="266"/>
      <c r="Z16" s="266"/>
      <c r="AA16" s="266"/>
      <c r="AC16" s="266"/>
      <c r="AD16" s="266"/>
      <c r="AE16" s="266"/>
      <c r="AF16" s="266"/>
      <c r="AG16" s="266"/>
      <c r="AH16" s="266"/>
    </row>
    <row r="17" spans="2:34" s="236" customFormat="1" x14ac:dyDescent="0.25">
      <c r="B17" s="274"/>
      <c r="C17" s="131"/>
      <c r="D17" s="131"/>
      <c r="E17" s="131"/>
      <c r="F17" s="131"/>
      <c r="G17" s="131"/>
      <c r="H17" s="131"/>
      <c r="I17" s="131"/>
      <c r="N17" s="131"/>
      <c r="O17" s="131"/>
      <c r="P17" s="131"/>
      <c r="Q17" s="131"/>
      <c r="R17" s="131"/>
      <c r="S17" s="131"/>
      <c r="T17" s="131"/>
      <c r="AD17" s="266"/>
      <c r="AE17" s="266"/>
      <c r="AF17" s="266"/>
      <c r="AG17" s="266"/>
      <c r="AH17" s="266"/>
    </row>
    <row r="18" spans="2:34" s="236" customFormat="1" x14ac:dyDescent="0.25">
      <c r="B18" s="275" t="s">
        <v>905</v>
      </c>
      <c r="C18" s="269" t="s">
        <v>906</v>
      </c>
      <c r="D18" s="677" t="s">
        <v>873</v>
      </c>
      <c r="E18" s="677" t="s">
        <v>873</v>
      </c>
      <c r="F18" s="677" t="s">
        <v>873</v>
      </c>
      <c r="G18" s="677" t="s">
        <v>873</v>
      </c>
      <c r="H18" s="677" t="s">
        <v>873</v>
      </c>
      <c r="I18" s="677" t="s">
        <v>873</v>
      </c>
      <c r="N18" s="131"/>
      <c r="O18" s="131"/>
      <c r="P18" s="131"/>
      <c r="Q18" s="131"/>
      <c r="R18" s="131"/>
      <c r="S18" s="131"/>
      <c r="T18" s="131"/>
      <c r="AD18" s="266"/>
      <c r="AE18" s="266"/>
      <c r="AF18" s="266"/>
      <c r="AG18" s="266"/>
      <c r="AH18" s="266"/>
    </row>
    <row r="19" spans="2:34" s="236" customFormat="1" x14ac:dyDescent="0.25">
      <c r="B19" s="327" t="s">
        <v>754</v>
      </c>
      <c r="C19" s="270">
        <f>'Unit costs'!Q12</f>
        <v>722.96639999999991</v>
      </c>
      <c r="D19" s="270">
        <f t="shared" ref="D19:I21" si="1">D13*$C19/1000</f>
        <v>0</v>
      </c>
      <c r="E19" s="270">
        <f t="shared" si="1"/>
        <v>243.771423380545</v>
      </c>
      <c r="F19" s="270">
        <f t="shared" si="1"/>
        <v>328.16242734665087</v>
      </c>
      <c r="G19" s="270">
        <f t="shared" si="1"/>
        <v>414.1581328600285</v>
      </c>
      <c r="H19" s="270">
        <f t="shared" si="1"/>
        <v>418.1513658366851</v>
      </c>
      <c r="I19" s="270">
        <f t="shared" si="1"/>
        <v>422.18310079686137</v>
      </c>
      <c r="N19" s="131"/>
      <c r="O19" s="131"/>
      <c r="P19" s="131"/>
      <c r="Q19" s="131"/>
      <c r="R19" s="131"/>
      <c r="S19" s="131"/>
      <c r="T19" s="131"/>
      <c r="AD19" s="266"/>
      <c r="AE19" s="266"/>
      <c r="AF19" s="266"/>
      <c r="AG19" s="266"/>
      <c r="AH19" s="266"/>
    </row>
    <row r="20" spans="2:34" s="236" customFormat="1" x14ac:dyDescent="0.25">
      <c r="B20" s="327" t="s">
        <v>1028</v>
      </c>
      <c r="C20" s="270">
        <f>'Unit costs'!Q19</f>
        <v>732.23519999999996</v>
      </c>
      <c r="D20" s="270">
        <f t="shared" si="1"/>
        <v>179.3285274278818</v>
      </c>
      <c r="E20" s="270">
        <f t="shared" si="1"/>
        <v>115.21845908499265</v>
      </c>
      <c r="F20" s="270">
        <f t="shared" si="1"/>
        <v>99.710891386097742</v>
      </c>
      <c r="G20" s="270">
        <f t="shared" si="1"/>
        <v>83.89357050241604</v>
      </c>
      <c r="H20" s="270">
        <f t="shared" si="1"/>
        <v>84.702456156661867</v>
      </c>
      <c r="I20" s="270">
        <f t="shared" si="1"/>
        <v>85.519140930646287</v>
      </c>
      <c r="N20" s="131"/>
      <c r="O20" s="131"/>
      <c r="P20" s="131"/>
      <c r="Q20" s="131"/>
      <c r="R20" s="131"/>
      <c r="S20" s="131"/>
      <c r="T20" s="131"/>
      <c r="AD20" s="266"/>
      <c r="AE20" s="266"/>
      <c r="AF20" s="266"/>
      <c r="AG20" s="266"/>
      <c r="AH20" s="266"/>
    </row>
    <row r="21" spans="2:34" s="236" customFormat="1" x14ac:dyDescent="0.25">
      <c r="B21" s="327" t="s">
        <v>1029</v>
      </c>
      <c r="C21" s="270">
        <f>'Unit costs'!Q26</f>
        <v>37.925999999999995</v>
      </c>
      <c r="D21" s="270">
        <f t="shared" si="1"/>
        <v>32.931214093499904</v>
      </c>
      <c r="E21" s="270">
        <f t="shared" si="1"/>
        <v>23.870883449784611</v>
      </c>
      <c r="F21" s="270">
        <f t="shared" si="1"/>
        <v>20.658035924572559</v>
      </c>
      <c r="G21" s="270">
        <f t="shared" si="1"/>
        <v>17.381013941283513</v>
      </c>
      <c r="H21" s="270">
        <f t="shared" si="1"/>
        <v>17.548598331233229</v>
      </c>
      <c r="I21" s="270">
        <f t="shared" si="1"/>
        <v>17.717798537604807</v>
      </c>
      <c r="N21" s="131"/>
      <c r="O21" s="131"/>
      <c r="P21" s="131"/>
      <c r="Q21" s="131"/>
      <c r="R21" s="131"/>
      <c r="S21" s="131"/>
      <c r="T21" s="131"/>
      <c r="AD21" s="266"/>
      <c r="AE21" s="266"/>
      <c r="AF21" s="266"/>
      <c r="AG21" s="266"/>
      <c r="AH21" s="266"/>
    </row>
    <row r="22" spans="2:34" s="236" customFormat="1" x14ac:dyDescent="0.25">
      <c r="B22" s="273" t="s">
        <v>907</v>
      </c>
      <c r="C22" s="628"/>
      <c r="D22" s="184">
        <f t="shared" ref="D22:I22" si="2">SUM(D19:D21)</f>
        <v>212.2597415213817</v>
      </c>
      <c r="E22" s="184">
        <f t="shared" si="2"/>
        <v>382.8607659153223</v>
      </c>
      <c r="F22" s="184">
        <f t="shared" si="2"/>
        <v>448.53135465732117</v>
      </c>
      <c r="G22" s="184">
        <f t="shared" si="2"/>
        <v>515.43271730372805</v>
      </c>
      <c r="H22" s="185">
        <f t="shared" si="2"/>
        <v>520.40242032458025</v>
      </c>
      <c r="I22" s="184">
        <f t="shared" si="2"/>
        <v>525.42004026511245</v>
      </c>
      <c r="J22" s="335"/>
      <c r="N22" s="131"/>
      <c r="O22" s="131"/>
      <c r="P22" s="131"/>
      <c r="Q22" s="131"/>
      <c r="R22" s="131"/>
      <c r="S22" s="131"/>
      <c r="T22" s="131"/>
      <c r="AD22" s="266"/>
      <c r="AE22" s="266"/>
      <c r="AF22" s="266"/>
      <c r="AG22" s="266"/>
      <c r="AH22" s="266"/>
    </row>
    <row r="23" spans="2:34" s="236" customFormat="1" x14ac:dyDescent="0.25">
      <c r="B23" s="274"/>
      <c r="C23" s="131"/>
      <c r="D23" s="131"/>
      <c r="E23" s="131"/>
      <c r="F23" s="131"/>
      <c r="G23" s="131"/>
      <c r="H23" s="131"/>
      <c r="I23" s="131"/>
      <c r="N23" s="131"/>
      <c r="O23" s="131"/>
      <c r="P23" s="131"/>
      <c r="Q23" s="131"/>
      <c r="R23" s="131"/>
      <c r="S23" s="131"/>
      <c r="T23" s="131"/>
      <c r="AD23" s="266"/>
      <c r="AE23" s="266"/>
      <c r="AF23" s="266"/>
      <c r="AG23" s="266"/>
      <c r="AH23" s="266"/>
    </row>
    <row r="24" spans="2:34" s="236" customFormat="1" x14ac:dyDescent="0.25">
      <c r="B24" s="356"/>
      <c r="C24" s="271"/>
      <c r="D24" s="334" t="s">
        <v>875</v>
      </c>
      <c r="E24" s="184">
        <f>E22-$D$22</f>
        <v>170.60102439394061</v>
      </c>
      <c r="F24" s="184">
        <f t="shared" ref="F24:I24" si="3">F22-$D$22</f>
        <v>236.27161313593948</v>
      </c>
      <c r="G24" s="184">
        <f t="shared" si="3"/>
        <v>303.17297578234638</v>
      </c>
      <c r="H24" s="184">
        <f t="shared" si="3"/>
        <v>308.14267880319858</v>
      </c>
      <c r="I24" s="184">
        <f t="shared" si="3"/>
        <v>313.16029874373078</v>
      </c>
      <c r="N24" s="131"/>
      <c r="O24" s="131"/>
      <c r="P24" s="131"/>
      <c r="Q24" s="131"/>
      <c r="R24" s="131"/>
      <c r="S24" s="131"/>
      <c r="T24" s="131"/>
      <c r="AD24" s="266"/>
      <c r="AE24" s="266"/>
      <c r="AF24" s="266"/>
      <c r="AG24" s="266"/>
      <c r="AH24" s="266"/>
    </row>
    <row r="25" spans="2:34" s="236" customFormat="1" x14ac:dyDescent="0.25">
      <c r="B25" s="356"/>
      <c r="C25" s="271"/>
      <c r="D25" s="277" t="s">
        <v>908</v>
      </c>
      <c r="E25" s="184">
        <f>E24</f>
        <v>170.60102439394061</v>
      </c>
      <c r="F25" s="186">
        <f>F24-E24</f>
        <v>65.67058874199887</v>
      </c>
      <c r="G25" s="186">
        <f t="shared" ref="G25:I25" si="4">G24-F24</f>
        <v>66.901362646406909</v>
      </c>
      <c r="H25" s="186">
        <f t="shared" si="4"/>
        <v>4.9697030208521937</v>
      </c>
      <c r="I25" s="186">
        <f t="shared" si="4"/>
        <v>5.0176199405321995</v>
      </c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AD25" s="266"/>
      <c r="AE25" s="266"/>
      <c r="AF25" s="266"/>
      <c r="AG25" s="266"/>
      <c r="AH25" s="266"/>
    </row>
    <row r="27" spans="2:34" x14ac:dyDescent="0.25">
      <c r="J27" s="236"/>
      <c r="K27" s="236"/>
    </row>
    <row r="28" spans="2:34" x14ac:dyDescent="0.25">
      <c r="J28" s="236"/>
      <c r="K28" s="236"/>
    </row>
    <row r="29" spans="2:34" x14ac:dyDescent="0.25">
      <c r="J29" s="236"/>
      <c r="K29" s="236"/>
    </row>
  </sheetData>
  <sheetProtection algorithmName="SHA-512" hashValue="MYB3qjgY0Oc+MJ1knrsjZZsOPY9uhdu+tUyPlfZsHdypIwjItCPshPdOhLL1jTpAd07YsnO1QEyeqQOSqQ5fGg==" saltValue="hxb/eYxDD9bkBw5gAKeTB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12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01" t="str">
        <f>'Inputs and eligible population'!B1</f>
        <v>Capivasertib with fulvestrant for treating hormone receptor-positive HER2-negative 
advanced breast cancer after endocrine 
treatment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25">
      <c r="B2" s="209" t="s">
        <v>909</v>
      </c>
      <c r="C2" s="125" t="s">
        <v>802</v>
      </c>
      <c r="D2" s="125" t="s">
        <v>802</v>
      </c>
      <c r="E2" s="460"/>
      <c r="F2" s="125" t="s">
        <v>802</v>
      </c>
      <c r="G2" s="125" t="s">
        <v>802</v>
      </c>
      <c r="H2" s="125" t="s">
        <v>802</v>
      </c>
      <c r="I2" s="125" t="s">
        <v>802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5" customHeight="1" x14ac:dyDescent="0.25">
      <c r="B3" s="128" t="s">
        <v>802</v>
      </c>
      <c r="C3" s="131" t="s">
        <v>802</v>
      </c>
      <c r="D3" s="131" t="s">
        <v>802</v>
      </c>
      <c r="F3" s="131" t="s">
        <v>802</v>
      </c>
      <c r="G3" s="131" t="s">
        <v>802</v>
      </c>
      <c r="H3" s="131" t="s">
        <v>802</v>
      </c>
      <c r="I3" s="131" t="s">
        <v>802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45" customHeight="1" x14ac:dyDescent="0.25">
      <c r="B4" t="s">
        <v>910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5" customHeight="1" x14ac:dyDescent="0.2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5" x14ac:dyDescent="0.25">
      <c r="B6" s="252" t="s">
        <v>869</v>
      </c>
      <c r="C6" s="204"/>
      <c r="D6" s="817" t="s">
        <v>903</v>
      </c>
      <c r="E6" s="250" t="s">
        <v>715</v>
      </c>
      <c r="F6" s="250" t="s">
        <v>716</v>
      </c>
      <c r="G6" s="163" t="s">
        <v>866</v>
      </c>
      <c r="H6" s="163" t="s">
        <v>867</v>
      </c>
      <c r="I6" s="250" t="s">
        <v>868</v>
      </c>
      <c r="L6" s="817" t="s">
        <v>903</v>
      </c>
      <c r="M6" s="250" t="s">
        <v>715</v>
      </c>
      <c r="N6" s="250" t="s">
        <v>716</v>
      </c>
      <c r="O6" s="163" t="s">
        <v>866</v>
      </c>
      <c r="P6" s="163" t="s">
        <v>867</v>
      </c>
      <c r="Q6" s="250" t="s">
        <v>868</v>
      </c>
      <c r="R6" s="131"/>
      <c r="S6" s="131"/>
      <c r="T6" s="131"/>
      <c r="U6" s="131"/>
      <c r="V6" s="131"/>
      <c r="W6" s="131"/>
      <c r="X6" s="131"/>
      <c r="Y6" s="131"/>
      <c r="Z6" s="131"/>
      <c r="AJ6" s="279"/>
      <c r="AK6" s="279"/>
      <c r="AL6" s="279"/>
      <c r="AM6" s="279"/>
      <c r="AN6" s="279"/>
    </row>
    <row r="7" spans="1:40" x14ac:dyDescent="0.25">
      <c r="B7" s="219" t="s">
        <v>869</v>
      </c>
      <c r="C7" s="166"/>
      <c r="D7" s="357">
        <f>'Inputs and eligible population'!F41</f>
        <v>1113.2074368000001</v>
      </c>
      <c r="E7" s="357">
        <f>'Inputs and eligible population'!G41</f>
        <v>1123.9407685730393</v>
      </c>
      <c r="F7" s="357">
        <f>'Inputs and eligible population'!H41</f>
        <v>1134.7775890644809</v>
      </c>
      <c r="G7" s="357">
        <f>'Inputs and eligible population'!I41</f>
        <v>1145.7188960926221</v>
      </c>
      <c r="H7" s="357">
        <f>'Inputs and eligible population'!J41</f>
        <v>1156.7656970965322</v>
      </c>
      <c r="I7" s="357">
        <f>'Inputs and eligible population'!K41</f>
        <v>1167.9190092288145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79"/>
      <c r="AK7" s="279"/>
      <c r="AL7" s="279"/>
      <c r="AM7" s="279"/>
      <c r="AN7" s="279"/>
    </row>
    <row r="8" spans="1:40" x14ac:dyDescent="0.25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79"/>
      <c r="AK8" s="279"/>
      <c r="AL8" s="279"/>
      <c r="AM8" s="279"/>
      <c r="AN8" s="279"/>
    </row>
    <row r="9" spans="1:40" x14ac:dyDescent="0.25">
      <c r="B9" s="272" t="s">
        <v>911</v>
      </c>
      <c r="C9" s="405"/>
      <c r="D9" s="405"/>
      <c r="E9" s="406"/>
      <c r="F9" s="405"/>
      <c r="G9" s="407"/>
      <c r="H9" s="408"/>
      <c r="I9" s="532"/>
      <c r="L9" s="677" t="s">
        <v>873</v>
      </c>
      <c r="M9" s="677" t="s">
        <v>873</v>
      </c>
      <c r="N9" s="677" t="s">
        <v>873</v>
      </c>
      <c r="O9" s="677" t="s">
        <v>873</v>
      </c>
      <c r="P9" s="677" t="s">
        <v>873</v>
      </c>
      <c r="Q9" s="677" t="s">
        <v>873</v>
      </c>
      <c r="R9" s="131"/>
      <c r="S9" s="131"/>
      <c r="T9" s="131"/>
      <c r="U9" s="131"/>
      <c r="V9" s="131"/>
      <c r="W9" s="131"/>
      <c r="X9" s="131"/>
      <c r="Y9" s="131"/>
      <c r="Z9" s="131"/>
      <c r="AJ9" s="279"/>
      <c r="AK9" s="279"/>
      <c r="AL9" s="279"/>
      <c r="AM9" s="279"/>
      <c r="AN9" s="279"/>
    </row>
    <row r="10" spans="1:40" x14ac:dyDescent="0.25">
      <c r="A10" s="281"/>
      <c r="B10" s="525" t="str">
        <f>'Capacity (national prices)'!B10</f>
        <v>First attendances - number of appointments</v>
      </c>
      <c r="C10" s="362"/>
      <c r="D10" s="393">
        <f>'Capacity (national prices)'!D10</f>
        <v>0</v>
      </c>
      <c r="E10" s="393">
        <f>'Capacity (national prices)'!E10</f>
        <v>0</v>
      </c>
      <c r="F10" s="393">
        <f>'Capacity (national prices)'!F10</f>
        <v>0</v>
      </c>
      <c r="G10" s="393">
        <f>'Capacity (national prices)'!G10</f>
        <v>0</v>
      </c>
      <c r="H10" s="393">
        <f>'Capacity (national prices)'!H10</f>
        <v>0</v>
      </c>
      <c r="I10" s="393">
        <f>'Capacity (national prices)'!I10</f>
        <v>0</v>
      </c>
      <c r="L10" s="246"/>
      <c r="M10" s="246"/>
      <c r="N10" s="246"/>
      <c r="O10" s="246"/>
      <c r="P10" s="246"/>
      <c r="Q10" s="246"/>
      <c r="R10" s="131"/>
      <c r="S10" s="131"/>
      <c r="T10" s="131"/>
      <c r="U10" s="131"/>
      <c r="V10" s="131"/>
      <c r="W10" s="131"/>
      <c r="X10" s="131"/>
      <c r="Y10" s="131"/>
      <c r="Z10" s="131"/>
      <c r="AJ10" s="279"/>
      <c r="AK10" s="279"/>
      <c r="AL10" s="279"/>
      <c r="AM10" s="279"/>
      <c r="AN10" s="279"/>
    </row>
    <row r="11" spans="1:40" x14ac:dyDescent="0.25">
      <c r="A11" s="281"/>
      <c r="B11" s="525" t="str">
        <f>'Capacity (national prices)'!B11</f>
        <v>Follow up attendances - number of appointments</v>
      </c>
      <c r="C11" s="362"/>
      <c r="D11" s="393">
        <f>'Capacity (national prices)'!D11</f>
        <v>3339.6223104000005</v>
      </c>
      <c r="E11" s="393">
        <f>'Capacity (national prices)'!E11</f>
        <v>3709.0045362910305</v>
      </c>
      <c r="F11" s="393">
        <f>'Capacity (national prices)'!F11</f>
        <v>3858.243802819235</v>
      </c>
      <c r="G11" s="393">
        <f>'Capacity (national prices)'!G11</f>
        <v>4010.0161363241778</v>
      </c>
      <c r="H11" s="393">
        <f>'Capacity (national prices)'!H11</f>
        <v>4048.6799398378625</v>
      </c>
      <c r="I11" s="393">
        <f>'Capacity (national prices)'!I11</f>
        <v>4087.7165323008508</v>
      </c>
      <c r="L11" s="246"/>
      <c r="M11" s="246"/>
      <c r="N11" s="246"/>
      <c r="O11" s="246"/>
      <c r="P11" s="246"/>
      <c r="Q11" s="246"/>
      <c r="R11" s="131"/>
      <c r="S11" s="131"/>
      <c r="T11" s="131"/>
      <c r="U11" s="131"/>
      <c r="V11" s="131"/>
      <c r="W11" s="131"/>
      <c r="X11" s="131"/>
      <c r="Y11" s="131"/>
      <c r="Z11" s="131"/>
      <c r="AJ11" s="279"/>
      <c r="AK11" s="279"/>
      <c r="AL11" s="279"/>
      <c r="AM11" s="279"/>
      <c r="AN11" s="279"/>
    </row>
    <row r="12" spans="1:40" x14ac:dyDescent="0.25">
      <c r="A12" s="281"/>
      <c r="B12" s="525" t="str">
        <f>B24</f>
        <v>First attendances - hours and cost</v>
      </c>
      <c r="C12" s="362"/>
      <c r="D12" s="393">
        <f>D29</f>
        <v>0</v>
      </c>
      <c r="E12" s="393">
        <f t="shared" ref="E12:I12" si="0">E29</f>
        <v>0</v>
      </c>
      <c r="F12" s="393">
        <f t="shared" si="0"/>
        <v>0</v>
      </c>
      <c r="G12" s="393">
        <f t="shared" si="0"/>
        <v>0</v>
      </c>
      <c r="H12" s="393">
        <f t="shared" si="0"/>
        <v>0</v>
      </c>
      <c r="I12" s="393">
        <f t="shared" si="0"/>
        <v>0</v>
      </c>
      <c r="L12" s="284">
        <f>L29</f>
        <v>0</v>
      </c>
      <c r="M12" s="284">
        <f t="shared" ref="M12:Q12" si="1">M29</f>
        <v>0</v>
      </c>
      <c r="N12" s="284">
        <f t="shared" si="1"/>
        <v>0</v>
      </c>
      <c r="O12" s="284">
        <f t="shared" si="1"/>
        <v>0</v>
      </c>
      <c r="P12" s="284">
        <f t="shared" si="1"/>
        <v>0</v>
      </c>
      <c r="Q12" s="284">
        <f t="shared" si="1"/>
        <v>0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79"/>
      <c r="AK12" s="279"/>
      <c r="AL12" s="279"/>
      <c r="AM12" s="279"/>
      <c r="AN12" s="279"/>
    </row>
    <row r="13" spans="1:40" x14ac:dyDescent="0.25">
      <c r="A13" s="281"/>
      <c r="B13" s="525" t="str">
        <f>B32</f>
        <v>Follow up attendances hours and cost</v>
      </c>
      <c r="C13" s="362"/>
      <c r="D13" s="393">
        <f>D37</f>
        <v>1113.2074368000003</v>
      </c>
      <c r="E13" s="393">
        <f t="shared" ref="E13:I13" si="2">E37</f>
        <v>1236.3348454303432</v>
      </c>
      <c r="F13" s="393">
        <f t="shared" si="2"/>
        <v>1286.0812676064118</v>
      </c>
      <c r="G13" s="393">
        <f t="shared" si="2"/>
        <v>1336.6720454413926</v>
      </c>
      <c r="H13" s="393">
        <f t="shared" si="2"/>
        <v>1349.5599799459542</v>
      </c>
      <c r="I13" s="393">
        <f t="shared" si="2"/>
        <v>1362.5721774336171</v>
      </c>
      <c r="L13" s="284">
        <f>L37</f>
        <v>136.37904308236804</v>
      </c>
      <c r="M13" s="284">
        <f t="shared" ref="M13:Q13" si="3">M37</f>
        <v>151.46338191367136</v>
      </c>
      <c r="N13" s="284">
        <f t="shared" si="3"/>
        <v>157.55781609446151</v>
      </c>
      <c r="O13" s="284">
        <f t="shared" si="3"/>
        <v>163.755692287025</v>
      </c>
      <c r="P13" s="284">
        <f t="shared" si="3"/>
        <v>165.33459314317889</v>
      </c>
      <c r="Q13" s="284">
        <f t="shared" si="3"/>
        <v>166.92871745739242</v>
      </c>
      <c r="R13" s="131"/>
      <c r="S13" s="131"/>
      <c r="T13" s="131"/>
      <c r="U13" s="131"/>
      <c r="V13" s="131"/>
      <c r="W13" s="131"/>
      <c r="X13" s="131"/>
      <c r="Y13" s="131"/>
      <c r="Z13" s="131"/>
      <c r="AJ13" s="279"/>
      <c r="AK13" s="279"/>
      <c r="AL13" s="279"/>
      <c r="AM13" s="279"/>
      <c r="AN13" s="279"/>
    </row>
    <row r="14" spans="1:40" x14ac:dyDescent="0.25">
      <c r="A14" s="288"/>
      <c r="B14" s="411" t="str">
        <f>B47</f>
        <v>Number of administrations</v>
      </c>
      <c r="C14" s="388"/>
      <c r="D14" s="387">
        <f>D51</f>
        <v>7405.0558695936015</v>
      </c>
      <c r="E14" s="387">
        <f t="shared" ref="E14:I14" si="4">E51</f>
        <v>7838.3629200283767</v>
      </c>
      <c r="F14" s="387">
        <f t="shared" si="4"/>
        <v>8047.8426616452989</v>
      </c>
      <c r="G14" s="387">
        <f t="shared" si="4"/>
        <v>8260.6332408278049</v>
      </c>
      <c r="H14" s="387">
        <f t="shared" si="4"/>
        <v>8340.2806760659969</v>
      </c>
      <c r="I14" s="387">
        <f t="shared" si="4"/>
        <v>8420.696056539753</v>
      </c>
      <c r="L14" s="202"/>
      <c r="M14" s="202"/>
      <c r="N14" s="202"/>
      <c r="O14" s="202"/>
      <c r="P14" s="386"/>
      <c r="Q14" s="386"/>
      <c r="R14" s="131"/>
      <c r="S14" s="131"/>
      <c r="T14" s="131"/>
      <c r="U14" s="131"/>
      <c r="V14" s="131"/>
      <c r="W14" s="131"/>
      <c r="X14" s="131"/>
      <c r="Y14" s="131"/>
      <c r="Z14" s="131"/>
      <c r="AJ14" s="279"/>
      <c r="AK14" s="279"/>
      <c r="AL14" s="279"/>
      <c r="AM14" s="279"/>
      <c r="AN14" s="279"/>
    </row>
    <row r="15" spans="1:40" x14ac:dyDescent="0.25">
      <c r="A15" s="280"/>
      <c r="B15" s="412" t="str">
        <f>B63</f>
        <v>Administrations - duration of administrations (hours)</v>
      </c>
      <c r="C15" s="416"/>
      <c r="D15" s="389">
        <f>D68</f>
        <v>128.98363501056002</v>
      </c>
      <c r="E15" s="389">
        <f t="shared" ref="E15:I15" si="5">E68</f>
        <v>258.20665923351294</v>
      </c>
      <c r="F15" s="389">
        <f t="shared" si="5"/>
        <v>307.75168215428727</v>
      </c>
      <c r="G15" s="389">
        <f t="shared" si="5"/>
        <v>358.22810817829316</v>
      </c>
      <c r="H15" s="389">
        <f t="shared" si="5"/>
        <v>361.68207462551572</v>
      </c>
      <c r="I15" s="389">
        <f t="shared" si="5"/>
        <v>365.16934355220934</v>
      </c>
      <c r="L15" s="284">
        <f>L68</f>
        <v>5.5256589238523919</v>
      </c>
      <c r="M15" s="284">
        <f t="shared" ref="M15:Q15" si="6">M68</f>
        <v>11.061573281563696</v>
      </c>
      <c r="N15" s="284">
        <f t="shared" si="6"/>
        <v>13.184082063489667</v>
      </c>
      <c r="O15" s="284">
        <f t="shared" si="6"/>
        <v>15.34649215435808</v>
      </c>
      <c r="P15" s="284">
        <f t="shared" si="6"/>
        <v>15.494460076957093</v>
      </c>
      <c r="Q15" s="284">
        <f t="shared" si="6"/>
        <v>15.643854677776648</v>
      </c>
      <c r="R15" s="131"/>
      <c r="S15" s="131"/>
      <c r="T15" s="131"/>
      <c r="U15" s="131"/>
      <c r="V15" s="131"/>
      <c r="W15" s="131"/>
      <c r="X15" s="131"/>
      <c r="Y15" s="131"/>
      <c r="Z15" s="131"/>
      <c r="AJ15" s="279"/>
      <c r="AK15" s="279"/>
      <c r="AL15" s="279"/>
      <c r="AM15" s="279"/>
      <c r="AN15" s="279"/>
    </row>
    <row r="16" spans="1:40" x14ac:dyDescent="0.25">
      <c r="A16" s="280"/>
      <c r="B16" s="412" t="str">
        <f>B71</f>
        <v>Preparation time before administration (hours)</v>
      </c>
      <c r="C16" s="416"/>
      <c r="D16" s="389">
        <f>D76</f>
        <v>32.245908752640005</v>
      </c>
      <c r="E16" s="389">
        <f t="shared" ref="E16:I16" si="7">E76</f>
        <v>64.551664808378234</v>
      </c>
      <c r="F16" s="389">
        <f t="shared" si="7"/>
        <v>76.937920538571817</v>
      </c>
      <c r="G16" s="389">
        <f t="shared" si="7"/>
        <v>89.557027044573289</v>
      </c>
      <c r="H16" s="389">
        <f t="shared" si="7"/>
        <v>90.420518656378931</v>
      </c>
      <c r="I16" s="389">
        <f t="shared" si="7"/>
        <v>91.292335888052335</v>
      </c>
      <c r="L16" s="284">
        <f>L76</f>
        <v>1.381414730963098</v>
      </c>
      <c r="M16" s="284">
        <f t="shared" ref="M16:Q16" si="8">M76</f>
        <v>2.765393320390924</v>
      </c>
      <c r="N16" s="284">
        <f t="shared" si="8"/>
        <v>3.2960205158724167</v>
      </c>
      <c r="O16" s="284">
        <f t="shared" si="8"/>
        <v>3.8366230385895199</v>
      </c>
      <c r="P16" s="284">
        <f t="shared" si="8"/>
        <v>3.8736150192392733</v>
      </c>
      <c r="Q16" s="284">
        <f t="shared" si="8"/>
        <v>3.9109636694441621</v>
      </c>
      <c r="R16" s="131"/>
      <c r="S16" s="131"/>
      <c r="T16" s="131"/>
      <c r="U16" s="131"/>
      <c r="V16" s="131"/>
      <c r="W16" s="131"/>
      <c r="X16" s="131"/>
      <c r="Y16" s="131"/>
      <c r="Z16" s="131"/>
      <c r="AJ16" s="279"/>
      <c r="AK16" s="279"/>
      <c r="AL16" s="279"/>
      <c r="AM16" s="279"/>
      <c r="AN16" s="279"/>
    </row>
    <row r="17" spans="1:40" x14ac:dyDescent="0.25">
      <c r="A17" s="280"/>
      <c r="B17" s="412" t="str">
        <f>B79</f>
        <v>Post administration nursing time (hours)</v>
      </c>
      <c r="C17" s="416"/>
      <c r="D17" s="389">
        <f>D84</f>
        <v>0</v>
      </c>
      <c r="E17" s="390">
        <f t="shared" ref="E17:I17" si="9">E84</f>
        <v>0</v>
      </c>
      <c r="F17" s="389">
        <f t="shared" si="9"/>
        <v>0</v>
      </c>
      <c r="G17" s="389">
        <f t="shared" si="9"/>
        <v>0</v>
      </c>
      <c r="H17" s="389">
        <f t="shared" si="9"/>
        <v>0</v>
      </c>
      <c r="I17" s="389">
        <f t="shared" si="9"/>
        <v>0</v>
      </c>
      <c r="L17" s="284">
        <f>L84</f>
        <v>0</v>
      </c>
      <c r="M17" s="284">
        <f t="shared" ref="M17:Q17" si="10">M84</f>
        <v>0</v>
      </c>
      <c r="N17" s="284">
        <f t="shared" si="10"/>
        <v>0</v>
      </c>
      <c r="O17" s="284">
        <f t="shared" si="10"/>
        <v>0</v>
      </c>
      <c r="P17" s="284">
        <f t="shared" si="10"/>
        <v>0</v>
      </c>
      <c r="Q17" s="284">
        <f t="shared" si="10"/>
        <v>0</v>
      </c>
      <c r="R17" s="131"/>
      <c r="S17" s="131"/>
      <c r="T17" s="131"/>
      <c r="U17" s="131"/>
      <c r="V17" s="131"/>
      <c r="W17" s="131"/>
      <c r="X17" s="131"/>
      <c r="Y17" s="131"/>
      <c r="Z17" s="131"/>
      <c r="AJ17" s="279"/>
      <c r="AK17" s="279"/>
      <c r="AL17" s="279"/>
      <c r="AM17" s="279"/>
      <c r="AN17" s="279"/>
    </row>
    <row r="18" spans="1:40" x14ac:dyDescent="0.25">
      <c r="A18" s="282"/>
      <c r="B18" s="413" t="str">
        <f>B88</f>
        <v>Pharmacy support (hours)</v>
      </c>
      <c r="C18" s="417"/>
      <c r="D18" s="391">
        <f>D93</f>
        <v>778.3175328960001</v>
      </c>
      <c r="E18" s="391">
        <f t="shared" ref="E18:I18" si="11">E93</f>
        <v>975.9552340442558</v>
      </c>
      <c r="F18" s="391">
        <f t="shared" si="11"/>
        <v>1055.3431578299674</v>
      </c>
      <c r="G18" s="391">
        <f t="shared" si="11"/>
        <v>1136.1712386251836</v>
      </c>
      <c r="H18" s="391">
        <f t="shared" si="11"/>
        <v>1147.1259829540611</v>
      </c>
      <c r="I18" s="391">
        <f t="shared" si="11"/>
        <v>1158.1863508185743</v>
      </c>
      <c r="L18" s="284">
        <f>L93</f>
        <v>36.977865987888961</v>
      </c>
      <c r="M18" s="284">
        <f t="shared" ref="M18:Q18" si="12">M93</f>
        <v>46.367633169442598</v>
      </c>
      <c r="N18" s="284">
        <f t="shared" si="12"/>
        <v>50.139353428501742</v>
      </c>
      <c r="O18" s="284">
        <f t="shared" si="12"/>
        <v>53.979495547082472</v>
      </c>
      <c r="P18" s="284">
        <f t="shared" si="12"/>
        <v>54.499955450147446</v>
      </c>
      <c r="Q18" s="284">
        <f t="shared" si="12"/>
        <v>55.025433527390469</v>
      </c>
      <c r="R18" s="131"/>
      <c r="S18" s="131"/>
      <c r="T18" s="131"/>
      <c r="U18" s="131"/>
      <c r="V18" s="131"/>
      <c r="W18" s="131"/>
      <c r="X18" s="131"/>
      <c r="Y18" s="131"/>
      <c r="Z18" s="131"/>
      <c r="AJ18" s="279"/>
      <c r="AK18" s="279"/>
      <c r="AL18" s="279"/>
      <c r="AM18" s="279"/>
      <c r="AN18" s="279"/>
    </row>
    <row r="19" spans="1:40" x14ac:dyDescent="0.25">
      <c r="A19" s="283"/>
      <c r="B19" s="415" t="str">
        <f>B97</f>
        <v>Adverse events, various (cases)</v>
      </c>
      <c r="C19" s="398"/>
      <c r="D19" s="394">
        <f>D105</f>
        <v>414.20222308454402</v>
      </c>
      <c r="E19" s="394">
        <f t="shared" ref="E19:I19" si="13">E105</f>
        <v>396.70613367553995</v>
      </c>
      <c r="F19" s="394">
        <f t="shared" si="13"/>
        <v>396.80902734406777</v>
      </c>
      <c r="G19" s="394">
        <f t="shared" si="13"/>
        <v>396.87702560648432</v>
      </c>
      <c r="H19" s="394">
        <f t="shared" si="13"/>
        <v>400.70363747423875</v>
      </c>
      <c r="I19" s="394">
        <f t="shared" si="13"/>
        <v>404.56714479686133</v>
      </c>
      <c r="J19" s="131"/>
      <c r="K19" s="131"/>
      <c r="L19" s="284">
        <f>L105</f>
        <v>307.51121437797821</v>
      </c>
      <c r="M19" s="284">
        <f>M105</f>
        <v>246.11733700966181</v>
      </c>
      <c r="N19" s="284">
        <f t="shared" ref="N19:Q19" si="14">N105</f>
        <v>229.24184736412892</v>
      </c>
      <c r="O19" s="284">
        <f t="shared" si="14"/>
        <v>212.01805711139363</v>
      </c>
      <c r="P19" s="284">
        <f t="shared" si="14"/>
        <v>214.06229439693792</v>
      </c>
      <c r="Q19" s="284">
        <f t="shared" si="14"/>
        <v>216.1262418248001</v>
      </c>
      <c r="R19" s="131"/>
      <c r="S19" s="131"/>
      <c r="T19" s="131"/>
      <c r="U19" s="131"/>
      <c r="V19" s="131"/>
      <c r="W19" s="131"/>
      <c r="X19" s="131"/>
      <c r="Y19" s="131"/>
      <c r="Z19" s="131"/>
    </row>
    <row r="20" spans="1:40" x14ac:dyDescent="0.25">
      <c r="B20" s="241"/>
      <c r="D20" s="279"/>
      <c r="F20" s="131"/>
      <c r="G20" s="131"/>
      <c r="H20" s="131"/>
      <c r="I20" s="131"/>
      <c r="J20" s="131"/>
      <c r="K20" s="131"/>
      <c r="L20" s="285">
        <f t="shared" ref="L20:Q20" si="15">SUM(L12:L19)</f>
        <v>487.77519710305069</v>
      </c>
      <c r="M20" s="285">
        <f t="shared" si="15"/>
        <v>457.7753186947304</v>
      </c>
      <c r="N20" s="285">
        <f t="shared" si="15"/>
        <v>453.41911946645428</v>
      </c>
      <c r="O20" s="285">
        <f t="shared" si="15"/>
        <v>448.93636013844872</v>
      </c>
      <c r="P20" s="285">
        <f t="shared" si="15"/>
        <v>453.26491808646063</v>
      </c>
      <c r="Q20" s="285">
        <f t="shared" si="15"/>
        <v>457.63521115680385</v>
      </c>
      <c r="R20" s="131"/>
      <c r="S20" s="131"/>
      <c r="T20" s="131"/>
      <c r="U20" s="131"/>
      <c r="V20" s="131"/>
      <c r="W20" s="131"/>
      <c r="X20" s="131"/>
      <c r="Y20" s="131"/>
      <c r="Z20" s="131"/>
    </row>
    <row r="21" spans="1:40" x14ac:dyDescent="0.25"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P21" s="131"/>
      <c r="Q21" s="131"/>
      <c r="R21" s="131"/>
      <c r="S21" s="131"/>
      <c r="V21" s="131"/>
      <c r="W21" s="131"/>
      <c r="X21" s="131"/>
      <c r="Y21" s="131"/>
      <c r="Z21" s="131"/>
      <c r="AJ21" s="279"/>
      <c r="AK21" s="279"/>
      <c r="AL21" s="279"/>
      <c r="AM21" s="279"/>
      <c r="AN21" s="279"/>
    </row>
    <row r="22" spans="1:40" x14ac:dyDescent="0.25">
      <c r="B22" s="349" t="s">
        <v>912</v>
      </c>
      <c r="C22" s="350"/>
      <c r="D22" s="350"/>
      <c r="E22" s="351"/>
      <c r="F22" s="350"/>
      <c r="G22" s="352"/>
      <c r="H22" s="353"/>
      <c r="I22" s="353"/>
      <c r="J22" s="353"/>
      <c r="K22" s="353"/>
      <c r="L22" s="353"/>
      <c r="M22" s="353"/>
      <c r="N22" s="353"/>
      <c r="O22" s="353"/>
      <c r="P22" s="353"/>
      <c r="Q22" s="354"/>
      <c r="R22" s="131"/>
      <c r="S22" s="131"/>
      <c r="T22" s="131"/>
      <c r="U22" s="131"/>
      <c r="V22" s="131"/>
      <c r="W22" s="131"/>
      <c r="X22" s="131"/>
      <c r="Y22" s="131"/>
      <c r="Z22" s="131"/>
      <c r="AJ22" s="279"/>
      <c r="AK22" s="279"/>
      <c r="AL22" s="279"/>
      <c r="AM22" s="279"/>
      <c r="AN22" s="279"/>
    </row>
    <row r="23" spans="1:40" x14ac:dyDescent="0.25">
      <c r="A23" s="281"/>
      <c r="B23" s="518" t="s">
        <v>766</v>
      </c>
      <c r="C23" s="511"/>
      <c r="D23" s="512"/>
      <c r="E23" s="513"/>
      <c r="F23" s="281"/>
      <c r="G23" s="281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131"/>
      <c r="S23" s="131"/>
      <c r="T23" s="131"/>
      <c r="U23" s="131"/>
      <c r="V23" s="131"/>
      <c r="W23" s="131"/>
      <c r="X23" s="131"/>
      <c r="Y23" s="131"/>
      <c r="Z23" s="131"/>
      <c r="AJ23" s="279"/>
      <c r="AK23" s="279"/>
      <c r="AL23" s="279"/>
      <c r="AM23" s="279"/>
      <c r="AN23" s="279"/>
    </row>
    <row r="24" spans="1:40" x14ac:dyDescent="0.25">
      <c r="A24" s="509"/>
      <c r="B24" s="514" t="s">
        <v>913</v>
      </c>
      <c r="C24" s="371"/>
      <c r="D24" s="371"/>
      <c r="E24" s="371"/>
      <c r="F24" s="371"/>
      <c r="G24" s="371"/>
      <c r="H24" s="371"/>
      <c r="I24" s="213"/>
      <c r="J24" s="214"/>
      <c r="K24" s="214"/>
      <c r="L24" s="214"/>
      <c r="M24" s="214"/>
      <c r="N24" s="214"/>
      <c r="O24" s="214"/>
      <c r="P24" s="214"/>
      <c r="Q24" s="214"/>
      <c r="R24" s="131"/>
      <c r="S24" s="131"/>
      <c r="T24" s="131"/>
      <c r="U24" s="131"/>
      <c r="V24" s="131"/>
      <c r="W24" s="131"/>
      <c r="X24" s="131"/>
      <c r="Y24" s="131"/>
      <c r="Z24" s="131"/>
      <c r="AJ24" s="279"/>
      <c r="AK24" s="279"/>
      <c r="AL24" s="279"/>
      <c r="AM24" s="279"/>
      <c r="AN24" s="279"/>
    </row>
    <row r="25" spans="1:40" ht="45" x14ac:dyDescent="0.25">
      <c r="A25" s="509"/>
      <c r="B25" s="307" t="s">
        <v>826</v>
      </c>
      <c r="C25" s="164" t="s">
        <v>914</v>
      </c>
      <c r="D25" s="817" t="s">
        <v>903</v>
      </c>
      <c r="E25" s="250" t="s">
        <v>715</v>
      </c>
      <c r="F25" s="250" t="s">
        <v>716</v>
      </c>
      <c r="G25" s="163" t="s">
        <v>866</v>
      </c>
      <c r="H25" s="163" t="s">
        <v>867</v>
      </c>
      <c r="I25" s="250" t="s">
        <v>868</v>
      </c>
      <c r="J25" s="517"/>
      <c r="K25" s="508" t="s">
        <v>915</v>
      </c>
      <c r="L25" s="817" t="s">
        <v>903</v>
      </c>
      <c r="M25" s="492" t="s">
        <v>715</v>
      </c>
      <c r="N25" s="492" t="s">
        <v>716</v>
      </c>
      <c r="O25" s="392" t="s">
        <v>866</v>
      </c>
      <c r="P25" s="392" t="s">
        <v>867</v>
      </c>
      <c r="Q25" s="492" t="s">
        <v>868</v>
      </c>
      <c r="R25" s="131"/>
      <c r="S25" s="131"/>
      <c r="T25" s="131"/>
      <c r="U25" s="131"/>
      <c r="V25" s="131"/>
      <c r="W25" s="131"/>
      <c r="X25" s="131"/>
      <c r="Y25" s="131"/>
      <c r="Z25" s="131"/>
      <c r="AJ25" s="279"/>
      <c r="AK25" s="279"/>
      <c r="AL25" s="279"/>
      <c r="AM25" s="279"/>
      <c r="AN25" s="279"/>
    </row>
    <row r="26" spans="1:40" x14ac:dyDescent="0.25">
      <c r="A26" s="509"/>
      <c r="B26" s="328" t="s">
        <v>754</v>
      </c>
      <c r="C26" s="147">
        <f>'Inputs and eligible population'!F73</f>
        <v>0</v>
      </c>
      <c r="D26" s="126">
        <f>'Financial impact (cash)'!D13*$C$26*'Inputs and eligible population'!$F$74/60</f>
        <v>0</v>
      </c>
      <c r="E26" s="126">
        <f>'Financial impact (cash)'!E13*$C$26*'Inputs and eligible population'!$F$74/60</f>
        <v>0</v>
      </c>
      <c r="F26" s="126">
        <f>'Financial impact (cash)'!F13*$C$26*'Inputs and eligible population'!$F$74/60</f>
        <v>0</v>
      </c>
      <c r="G26" s="126">
        <f>'Financial impact (cash)'!G13*$C$26*'Inputs and eligible population'!$F$74/60</f>
        <v>0</v>
      </c>
      <c r="H26" s="126">
        <f>'Financial impact (cash)'!H13*$C$26*'Inputs and eligible population'!$F$74/60</f>
        <v>0</v>
      </c>
      <c r="I26" s="126">
        <f>'Financial impact (cash)'!I13*$C$26*'Inputs and eligible population'!$F$74/60</f>
        <v>0</v>
      </c>
      <c r="J26" s="517"/>
      <c r="K26" s="524">
        <f>'Inputs and eligible population'!K74</f>
        <v>122.51</v>
      </c>
      <c r="L26" s="526">
        <f>$K26/1000*D26</f>
        <v>0</v>
      </c>
      <c r="M26" s="526">
        <f t="shared" ref="M26:Q28" si="16">$K26/1000*E26</f>
        <v>0</v>
      </c>
      <c r="N26" s="526">
        <f t="shared" si="16"/>
        <v>0</v>
      </c>
      <c r="O26" s="526">
        <f t="shared" si="16"/>
        <v>0</v>
      </c>
      <c r="P26" s="526">
        <f t="shared" si="16"/>
        <v>0</v>
      </c>
      <c r="Q26" s="526">
        <f t="shared" si="16"/>
        <v>0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79"/>
      <c r="AK26" s="279"/>
      <c r="AL26" s="279"/>
      <c r="AM26" s="279"/>
      <c r="AN26" s="279"/>
    </row>
    <row r="27" spans="1:40" x14ac:dyDescent="0.25">
      <c r="A27" s="509"/>
      <c r="B27" s="328" t="s">
        <v>1028</v>
      </c>
      <c r="C27" s="147">
        <f>'Inputs and eligible population'!G73</f>
        <v>0</v>
      </c>
      <c r="D27" s="126">
        <f>'Financial impact (cash)'!D14*$C$27*'Inputs and eligible population'!$G$74/60</f>
        <v>0</v>
      </c>
      <c r="E27" s="126">
        <f>'Financial impact (cash)'!E14*$C$27*'Inputs and eligible population'!$G$74/60</f>
        <v>0</v>
      </c>
      <c r="F27" s="126">
        <f>'Financial impact (cash)'!F14*$C$27*'Inputs and eligible population'!$G$74/60</f>
        <v>0</v>
      </c>
      <c r="G27" s="126">
        <f>'Financial impact (cash)'!G14*$C$27*'Inputs and eligible population'!$G$74/60</f>
        <v>0</v>
      </c>
      <c r="H27" s="126">
        <f>'Financial impact (cash)'!H14*$C$27*'Inputs and eligible population'!$G$74/60</f>
        <v>0</v>
      </c>
      <c r="I27" s="126">
        <f>'Financial impact (cash)'!I14*$C$27*'Inputs and eligible population'!$G$74/60</f>
        <v>0</v>
      </c>
      <c r="J27" s="517"/>
      <c r="K27" s="524">
        <f>'Inputs and eligible population'!K74</f>
        <v>122.51</v>
      </c>
      <c r="L27" s="526">
        <f t="shared" ref="L27:L28" si="17">$K27/1000*D27</f>
        <v>0</v>
      </c>
      <c r="M27" s="526">
        <f t="shared" si="16"/>
        <v>0</v>
      </c>
      <c r="N27" s="526">
        <f t="shared" si="16"/>
        <v>0</v>
      </c>
      <c r="O27" s="526">
        <f t="shared" si="16"/>
        <v>0</v>
      </c>
      <c r="P27" s="526">
        <f t="shared" si="16"/>
        <v>0</v>
      </c>
      <c r="Q27" s="526">
        <f t="shared" si="16"/>
        <v>0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79"/>
      <c r="AK27" s="279"/>
      <c r="AL27" s="279"/>
      <c r="AM27" s="279"/>
      <c r="AN27" s="279"/>
    </row>
    <row r="28" spans="1:40" x14ac:dyDescent="0.25">
      <c r="A28" s="509"/>
      <c r="B28" s="328" t="s">
        <v>1029</v>
      </c>
      <c r="C28" s="147">
        <f>'Inputs and eligible population'!H73</f>
        <v>0</v>
      </c>
      <c r="D28" s="126">
        <f>'Financial impact (cash)'!D15*$C$28*'Inputs and eligible population'!$H$74/60</f>
        <v>0</v>
      </c>
      <c r="E28" s="126">
        <f>'Financial impact (cash)'!E15*$C$28*'Inputs and eligible population'!$H$74/60</f>
        <v>0</v>
      </c>
      <c r="F28" s="126">
        <f>'Financial impact (cash)'!F15*$C$28*'Inputs and eligible population'!$H$74/60</f>
        <v>0</v>
      </c>
      <c r="G28" s="126">
        <f>'Financial impact (cash)'!G15*$C$28*'Inputs and eligible population'!$H$74/60</f>
        <v>0</v>
      </c>
      <c r="H28" s="126">
        <f>'Financial impact (cash)'!H15*$C$28*'Inputs and eligible population'!$H$74/60</f>
        <v>0</v>
      </c>
      <c r="I28" s="126">
        <f>'Financial impact (cash)'!I15*$C$28*'Inputs and eligible population'!$H$74/60</f>
        <v>0</v>
      </c>
      <c r="J28" s="517"/>
      <c r="K28" s="524">
        <f>'Inputs and eligible population'!K74</f>
        <v>122.51</v>
      </c>
      <c r="L28" s="526">
        <f t="shared" si="17"/>
        <v>0</v>
      </c>
      <c r="M28" s="526">
        <f t="shared" si="16"/>
        <v>0</v>
      </c>
      <c r="N28" s="526">
        <f t="shared" si="16"/>
        <v>0</v>
      </c>
      <c r="O28" s="526">
        <f t="shared" si="16"/>
        <v>0</v>
      </c>
      <c r="P28" s="526">
        <f t="shared" si="16"/>
        <v>0</v>
      </c>
      <c r="Q28" s="526">
        <f t="shared" si="16"/>
        <v>0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79"/>
      <c r="AK28" s="279"/>
      <c r="AL28" s="279"/>
      <c r="AM28" s="279"/>
      <c r="AN28" s="279"/>
    </row>
    <row r="29" spans="1:40" x14ac:dyDescent="0.25">
      <c r="A29" s="509"/>
      <c r="B29" s="483"/>
      <c r="C29" s="276"/>
      <c r="D29" s="183">
        <f>SUM(D26:D28)</f>
        <v>0</v>
      </c>
      <c r="E29" s="183">
        <f t="shared" ref="E29:I29" si="18">SUM(E26:E28)</f>
        <v>0</v>
      </c>
      <c r="F29" s="183">
        <f t="shared" si="18"/>
        <v>0</v>
      </c>
      <c r="G29" s="183">
        <f t="shared" si="18"/>
        <v>0</v>
      </c>
      <c r="H29" s="183">
        <f t="shared" si="18"/>
        <v>0</v>
      </c>
      <c r="I29" s="183">
        <f t="shared" si="18"/>
        <v>0</v>
      </c>
      <c r="J29" s="517"/>
      <c r="K29" s="214"/>
      <c r="L29" s="285">
        <f>SUM(L26:L28)</f>
        <v>0</v>
      </c>
      <c r="M29" s="285">
        <f t="shared" ref="M29:Q29" si="19">SUM(M26:M28)</f>
        <v>0</v>
      </c>
      <c r="N29" s="285">
        <f t="shared" si="19"/>
        <v>0</v>
      </c>
      <c r="O29" s="285">
        <f t="shared" si="19"/>
        <v>0</v>
      </c>
      <c r="P29" s="285">
        <f t="shared" si="19"/>
        <v>0</v>
      </c>
      <c r="Q29" s="285">
        <f t="shared" si="19"/>
        <v>0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79"/>
      <c r="AK29" s="279"/>
      <c r="AL29" s="279"/>
      <c r="AM29" s="279"/>
      <c r="AN29" s="279"/>
    </row>
    <row r="30" spans="1:40" x14ac:dyDescent="0.25">
      <c r="A30" s="509"/>
      <c r="B30" s="251"/>
      <c r="C30" s="251"/>
      <c r="D30" s="278" t="s">
        <v>916</v>
      </c>
      <c r="E30" s="183">
        <f>E29-$D$29</f>
        <v>0</v>
      </c>
      <c r="F30" s="183">
        <f>F29-$D$29</f>
        <v>0</v>
      </c>
      <c r="G30" s="183">
        <f>G29-$D$29</f>
        <v>0</v>
      </c>
      <c r="H30" s="183">
        <f>H29-$D$29</f>
        <v>0</v>
      </c>
      <c r="I30" s="183">
        <f>I29-$D$29</f>
        <v>0</v>
      </c>
      <c r="J30" s="517"/>
      <c r="K30" s="214"/>
      <c r="L30" s="214"/>
      <c r="M30" s="285">
        <f>M29-$L29</f>
        <v>0</v>
      </c>
      <c r="N30" s="285">
        <f t="shared" ref="N30:Q30" si="20">N29-$L29</f>
        <v>0</v>
      </c>
      <c r="O30" s="285">
        <f t="shared" si="20"/>
        <v>0</v>
      </c>
      <c r="P30" s="285">
        <f t="shared" si="20"/>
        <v>0</v>
      </c>
      <c r="Q30" s="285">
        <f t="shared" si="20"/>
        <v>0</v>
      </c>
      <c r="R30" s="131"/>
      <c r="S30" s="131"/>
      <c r="T30" s="131"/>
      <c r="U30" s="131"/>
      <c r="V30" s="131"/>
      <c r="W30" s="131"/>
      <c r="X30" s="131"/>
      <c r="Y30" s="131"/>
      <c r="Z30" s="131"/>
      <c r="AJ30" s="279"/>
      <c r="AK30" s="279"/>
      <c r="AL30" s="279"/>
      <c r="AM30" s="279"/>
      <c r="AN30" s="279"/>
    </row>
    <row r="31" spans="1:40" x14ac:dyDescent="0.25">
      <c r="A31" s="281"/>
      <c r="B31" s="510"/>
      <c r="C31" s="511"/>
      <c r="D31" s="512"/>
      <c r="E31" s="513"/>
      <c r="F31" s="281"/>
      <c r="G31" s="281"/>
      <c r="H31" s="281"/>
      <c r="I31" s="302"/>
      <c r="J31" s="214"/>
      <c r="K31" s="214"/>
      <c r="L31" s="214"/>
      <c r="M31" s="214"/>
      <c r="N31" s="214"/>
      <c r="O31" s="214"/>
      <c r="P31" s="214"/>
      <c r="Q31" s="214"/>
      <c r="R31" s="131"/>
      <c r="S31" s="131"/>
      <c r="T31" s="131"/>
      <c r="U31" s="131"/>
      <c r="V31" s="131"/>
      <c r="W31" s="131"/>
      <c r="X31" s="131"/>
      <c r="Y31" s="131"/>
      <c r="Z31" s="131"/>
      <c r="AJ31" s="279"/>
      <c r="AK31" s="279"/>
      <c r="AL31" s="279"/>
      <c r="AM31" s="279"/>
      <c r="AN31" s="279"/>
    </row>
    <row r="32" spans="1:40" x14ac:dyDescent="0.25">
      <c r="A32" s="281"/>
      <c r="B32" s="370" t="s">
        <v>917</v>
      </c>
      <c r="C32" s="371"/>
      <c r="D32" s="371"/>
      <c r="E32" s="371"/>
      <c r="F32" s="371"/>
      <c r="G32" s="371"/>
      <c r="H32" s="371"/>
      <c r="I32" s="213"/>
      <c r="J32" s="214"/>
      <c r="K32" s="214"/>
      <c r="L32" s="214"/>
      <c r="M32" s="214"/>
      <c r="N32" s="214"/>
      <c r="O32" s="214"/>
      <c r="P32" s="214"/>
      <c r="Q32" s="214"/>
      <c r="R32" s="131"/>
      <c r="S32" s="131"/>
      <c r="T32" s="131"/>
      <c r="U32" s="131"/>
      <c r="V32" s="131"/>
      <c r="W32" s="131"/>
      <c r="X32" s="131"/>
      <c r="Y32" s="131"/>
      <c r="Z32" s="131"/>
      <c r="AJ32" s="279"/>
      <c r="AK32" s="279"/>
      <c r="AL32" s="279"/>
      <c r="AM32" s="279"/>
      <c r="AN32" s="279"/>
    </row>
    <row r="33" spans="1:40" ht="45" x14ac:dyDescent="0.25">
      <c r="A33" s="281"/>
      <c r="B33" s="275" t="s">
        <v>826</v>
      </c>
      <c r="C33" s="164" t="s">
        <v>914</v>
      </c>
      <c r="D33" s="817" t="s">
        <v>903</v>
      </c>
      <c r="E33" s="250" t="s">
        <v>715</v>
      </c>
      <c r="F33" s="250" t="s">
        <v>716</v>
      </c>
      <c r="G33" s="163" t="s">
        <v>866</v>
      </c>
      <c r="H33" s="163" t="s">
        <v>867</v>
      </c>
      <c r="I33" s="250" t="s">
        <v>868</v>
      </c>
      <c r="J33" s="214"/>
      <c r="K33" s="508" t="s">
        <v>915</v>
      </c>
      <c r="L33" s="817" t="s">
        <v>903</v>
      </c>
      <c r="M33" s="492" t="s">
        <v>715</v>
      </c>
      <c r="N33" s="492" t="s">
        <v>716</v>
      </c>
      <c r="O33" s="392" t="s">
        <v>866</v>
      </c>
      <c r="P33" s="392" t="s">
        <v>867</v>
      </c>
      <c r="Q33" s="492" t="s">
        <v>868</v>
      </c>
      <c r="R33" s="131"/>
      <c r="S33" s="131"/>
      <c r="T33" s="131"/>
      <c r="U33" s="131"/>
      <c r="V33" s="131"/>
      <c r="W33" s="131"/>
      <c r="X33" s="131"/>
      <c r="Y33" s="131"/>
      <c r="Z33" s="131"/>
      <c r="AJ33" s="279"/>
      <c r="AK33" s="279"/>
      <c r="AL33" s="279"/>
      <c r="AM33" s="279"/>
      <c r="AN33" s="279"/>
    </row>
    <row r="34" spans="1:40" x14ac:dyDescent="0.25">
      <c r="A34" s="281"/>
      <c r="B34" s="328" t="s">
        <v>754</v>
      </c>
      <c r="C34" s="147">
        <f>'Inputs and eligible population'!F75</f>
        <v>4</v>
      </c>
      <c r="D34" s="126">
        <f>'Financial impact (cash)'!D13*$C$34*'Inputs and eligible population'!$F$76/60</f>
        <v>0</v>
      </c>
      <c r="E34" s="126">
        <f>'Financial impact (cash)'!E13*$C$34*'Inputs and eligible population'!$F$76/60</f>
        <v>449.57630742921572</v>
      </c>
      <c r="F34" s="126">
        <f>'Financial impact (cash)'!F13*$C$34*'Inputs and eligible population'!$F$76/60</f>
        <v>605.21471416772317</v>
      </c>
      <c r="G34" s="126">
        <f>'Financial impact (cash)'!G13*$C$34*'Inputs and eligible population'!$F$76/60</f>
        <v>763.81259739508141</v>
      </c>
      <c r="H34" s="126">
        <f>'Financial impact (cash)'!H13*$C$34*'Inputs and eligible population'!$F$76/60</f>
        <v>771.17713139768819</v>
      </c>
      <c r="I34" s="126">
        <f>'Financial impact (cash)'!I13*$C$34*'Inputs and eligible population'!$F$76/60</f>
        <v>778.61267281920971</v>
      </c>
      <c r="J34" s="214"/>
      <c r="K34" s="524">
        <f>'Inputs and eligible population'!K76</f>
        <v>122.51</v>
      </c>
      <c r="L34" s="526">
        <f>$K34/1000*D34</f>
        <v>0</v>
      </c>
      <c r="M34" s="526">
        <f t="shared" ref="M34:M36" si="21">$K34/1000*E34</f>
        <v>55.077593423153218</v>
      </c>
      <c r="N34" s="526">
        <f t="shared" ref="N34:N36" si="22">$K34/1000*F34</f>
        <v>74.144854632687768</v>
      </c>
      <c r="O34" s="526">
        <f t="shared" ref="O34:O36" si="23">$K34/1000*G34</f>
        <v>93.574681306871426</v>
      </c>
      <c r="P34" s="526">
        <f t="shared" ref="P34:P36" si="24">$K34/1000*H34</f>
        <v>94.476910367530792</v>
      </c>
      <c r="Q34" s="526">
        <f t="shared" ref="Q34:Q36" si="25">$K34/1000*I34</f>
        <v>95.387838547081387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79"/>
      <c r="AK34" s="279"/>
      <c r="AL34" s="279"/>
      <c r="AM34" s="279"/>
      <c r="AN34" s="279"/>
    </row>
    <row r="35" spans="1:40" x14ac:dyDescent="0.25">
      <c r="A35" s="281"/>
      <c r="B35" s="328" t="s">
        <v>1028</v>
      </c>
      <c r="C35" s="147">
        <f>'Inputs and eligible population'!G75</f>
        <v>3</v>
      </c>
      <c r="D35" s="126">
        <f>'Financial impact (cash)'!D14*$C$35*'Inputs and eligible population'!$G$76/60</f>
        <v>244.90563609599999</v>
      </c>
      <c r="E35" s="126">
        <f>'Financial impact (cash)'!E14*$C$35*'Inputs and eligible population'!$G$76/60</f>
        <v>157.35170760022552</v>
      </c>
      <c r="F35" s="126">
        <f>'Financial impact (cash)'!F14*$C$35*'Inputs and eligible population'!$G$76/60</f>
        <v>136.17331068773771</v>
      </c>
      <c r="G35" s="126">
        <f>'Financial impact (cash)'!G14*$C$35*'Inputs and eligible population'!$G$76/60</f>
        <v>114.57188960926221</v>
      </c>
      <c r="H35" s="126">
        <f>'Financial impact (cash)'!H14*$C$35*'Inputs and eligible population'!$G$76/60</f>
        <v>115.67656970965322</v>
      </c>
      <c r="I35" s="126">
        <f>'Financial impact (cash)'!I14*$C$35*'Inputs and eligible population'!$G$76/60</f>
        <v>116.79190092288145</v>
      </c>
      <c r="J35" s="214"/>
      <c r="K35" s="524">
        <f>'Inputs and eligible population'!K76</f>
        <v>122.51</v>
      </c>
      <c r="L35" s="526">
        <f t="shared" ref="L35:L36" si="26">$K35/1000*D35</f>
        <v>30.003389478120962</v>
      </c>
      <c r="M35" s="526">
        <f t="shared" si="21"/>
        <v>19.277157698103629</v>
      </c>
      <c r="N35" s="526">
        <f t="shared" si="22"/>
        <v>16.682592292354748</v>
      </c>
      <c r="O35" s="526">
        <f t="shared" si="23"/>
        <v>14.036202196030715</v>
      </c>
      <c r="P35" s="526">
        <f t="shared" si="24"/>
        <v>14.171536555129617</v>
      </c>
      <c r="Q35" s="526">
        <f t="shared" si="25"/>
        <v>14.308175782062207</v>
      </c>
      <c r="R35" s="131"/>
      <c r="S35" s="131"/>
      <c r="T35" s="131"/>
      <c r="U35" s="131"/>
      <c r="V35" s="131"/>
      <c r="W35" s="131"/>
      <c r="X35" s="131"/>
      <c r="Y35" s="131"/>
      <c r="Z35" s="131"/>
      <c r="AJ35" s="279"/>
      <c r="AK35" s="279"/>
      <c r="AL35" s="279"/>
      <c r="AM35" s="279"/>
      <c r="AN35" s="279"/>
    </row>
    <row r="36" spans="1:40" x14ac:dyDescent="0.25">
      <c r="A36" s="281"/>
      <c r="B36" s="328" t="s">
        <v>1029</v>
      </c>
      <c r="C36" s="147">
        <f>'Inputs and eligible population'!H75</f>
        <v>3</v>
      </c>
      <c r="D36" s="126">
        <f>'Financial impact (cash)'!D15*$C$36*'Inputs and eligible population'!$H$76/60</f>
        <v>868.30180070400024</v>
      </c>
      <c r="E36" s="126">
        <f>'Financial impact (cash)'!E15*$C$36*'Inputs and eligible population'!$H$76/60</f>
        <v>629.40683040090209</v>
      </c>
      <c r="F36" s="126">
        <f>'Financial impact (cash)'!F15*$C$36*'Inputs and eligible population'!$H$76/60</f>
        <v>544.69324275095084</v>
      </c>
      <c r="G36" s="126">
        <f>'Financial impact (cash)'!G15*$C$36*'Inputs and eligible population'!$H$76/60</f>
        <v>458.28755843704886</v>
      </c>
      <c r="H36" s="126">
        <f>'Financial impact (cash)'!H15*$C$36*'Inputs and eligible population'!$H$76/60</f>
        <v>462.70627883861289</v>
      </c>
      <c r="I36" s="126">
        <f>'Financial impact (cash)'!I15*$C$36*'Inputs and eligible population'!$H$76/60</f>
        <v>467.16760369152581</v>
      </c>
      <c r="J36" s="214"/>
      <c r="K36" s="524">
        <f>'Inputs and eligible population'!K76</f>
        <v>122.51</v>
      </c>
      <c r="L36" s="526">
        <f t="shared" si="26"/>
        <v>106.37565360424708</v>
      </c>
      <c r="M36" s="526">
        <f t="shared" si="21"/>
        <v>77.108630792414516</v>
      </c>
      <c r="N36" s="526">
        <f t="shared" si="22"/>
        <v>66.730369169418992</v>
      </c>
      <c r="O36" s="526">
        <f t="shared" si="23"/>
        <v>56.144808784122858</v>
      </c>
      <c r="P36" s="526">
        <f t="shared" si="24"/>
        <v>56.686146220518467</v>
      </c>
      <c r="Q36" s="526">
        <f t="shared" si="25"/>
        <v>57.232703128248829</v>
      </c>
      <c r="R36" s="131"/>
      <c r="S36" s="131"/>
      <c r="T36" s="131"/>
      <c r="U36" s="131"/>
      <c r="V36" s="131"/>
      <c r="W36" s="131"/>
      <c r="X36" s="131"/>
      <c r="Y36" s="131"/>
      <c r="Z36" s="131"/>
      <c r="AJ36" s="279"/>
      <c r="AK36" s="279"/>
      <c r="AL36" s="279"/>
      <c r="AM36" s="279"/>
      <c r="AN36" s="279"/>
    </row>
    <row r="37" spans="1:40" x14ac:dyDescent="0.25">
      <c r="A37" s="509"/>
      <c r="B37" s="483"/>
      <c r="C37" s="276"/>
      <c r="D37" s="183">
        <f>SUM(D34:D36)</f>
        <v>1113.2074368000003</v>
      </c>
      <c r="E37" s="183">
        <f t="shared" ref="E37" si="27">SUM(E34:E36)</f>
        <v>1236.3348454303432</v>
      </c>
      <c r="F37" s="183">
        <f t="shared" ref="F37" si="28">SUM(F34:F36)</f>
        <v>1286.0812676064118</v>
      </c>
      <c r="G37" s="183">
        <f t="shared" ref="G37" si="29">SUM(G34:G36)</f>
        <v>1336.6720454413926</v>
      </c>
      <c r="H37" s="183">
        <f t="shared" ref="H37" si="30">SUM(H34:H36)</f>
        <v>1349.5599799459542</v>
      </c>
      <c r="I37" s="183">
        <f t="shared" ref="I37" si="31">SUM(I34:I36)</f>
        <v>1362.5721774336171</v>
      </c>
      <c r="J37" s="517"/>
      <c r="K37" s="214"/>
      <c r="L37" s="285">
        <f>SUM(L34:L36)</f>
        <v>136.37904308236804</v>
      </c>
      <c r="M37" s="285">
        <f t="shared" ref="M37" si="32">SUM(M34:M36)</f>
        <v>151.46338191367136</v>
      </c>
      <c r="N37" s="285">
        <f t="shared" ref="N37" si="33">SUM(N34:N36)</f>
        <v>157.55781609446151</v>
      </c>
      <c r="O37" s="285">
        <f t="shared" ref="O37" si="34">SUM(O34:O36)</f>
        <v>163.755692287025</v>
      </c>
      <c r="P37" s="285">
        <f t="shared" ref="P37" si="35">SUM(P34:P36)</f>
        <v>165.33459314317889</v>
      </c>
      <c r="Q37" s="285">
        <f t="shared" ref="Q37" si="36">SUM(Q34:Q36)</f>
        <v>166.92871745739242</v>
      </c>
      <c r="R37" s="131"/>
      <c r="S37" s="131"/>
      <c r="T37" s="131"/>
      <c r="U37" s="131"/>
      <c r="V37" s="131"/>
      <c r="W37" s="131"/>
      <c r="X37" s="131"/>
      <c r="Y37" s="131"/>
      <c r="Z37" s="131"/>
      <c r="AJ37" s="279"/>
      <c r="AK37" s="279"/>
      <c r="AL37" s="279"/>
      <c r="AM37" s="279"/>
      <c r="AN37" s="279"/>
    </row>
    <row r="38" spans="1:40" x14ac:dyDescent="0.25">
      <c r="A38" s="509"/>
      <c r="B38" s="251"/>
      <c r="C38" s="251"/>
      <c r="D38" s="278" t="s">
        <v>916</v>
      </c>
      <c r="E38" s="183">
        <f>E37-$D$37</f>
        <v>123.12740863034287</v>
      </c>
      <c r="F38" s="183">
        <f t="shared" ref="F38:I38" si="37">F37-$D$37</f>
        <v>172.87383080641143</v>
      </c>
      <c r="G38" s="183">
        <f t="shared" si="37"/>
        <v>223.46460864139226</v>
      </c>
      <c r="H38" s="183">
        <f t="shared" si="37"/>
        <v>236.35254314595386</v>
      </c>
      <c r="I38" s="183">
        <f t="shared" si="37"/>
        <v>249.36474063361675</v>
      </c>
      <c r="J38" s="517"/>
      <c r="K38" s="214"/>
      <c r="L38" s="214"/>
      <c r="M38" s="285">
        <f>M37-$L37</f>
        <v>15.084338831303313</v>
      </c>
      <c r="N38" s="285">
        <f t="shared" ref="N38:Q38" si="38">N37-$L37</f>
        <v>21.178773012093473</v>
      </c>
      <c r="O38" s="285">
        <f t="shared" si="38"/>
        <v>27.376649204656957</v>
      </c>
      <c r="P38" s="285">
        <f t="shared" si="38"/>
        <v>28.95555006081085</v>
      </c>
      <c r="Q38" s="285">
        <f t="shared" si="38"/>
        <v>30.549674375024381</v>
      </c>
      <c r="R38" s="131"/>
      <c r="S38" s="131"/>
      <c r="T38" s="131"/>
      <c r="U38" s="131"/>
      <c r="V38" s="131"/>
      <c r="W38" s="131"/>
      <c r="X38" s="131"/>
      <c r="Y38" s="131"/>
      <c r="Z38" s="131"/>
      <c r="AJ38" s="279"/>
      <c r="AK38" s="279"/>
      <c r="AL38" s="279"/>
      <c r="AM38" s="279"/>
      <c r="AN38" s="279"/>
    </row>
    <row r="39" spans="1:40" x14ac:dyDescent="0.25">
      <c r="A39" s="281"/>
      <c r="B39" s="510"/>
      <c r="C39" s="511"/>
      <c r="D39" s="512"/>
      <c r="E39" s="513"/>
      <c r="F39" s="281"/>
      <c r="G39" s="281"/>
      <c r="H39" s="281"/>
      <c r="I39" s="281"/>
      <c r="J39" s="214"/>
      <c r="K39" s="214"/>
      <c r="L39" s="214"/>
      <c r="M39" s="214"/>
      <c r="N39" s="214"/>
      <c r="O39" s="214"/>
      <c r="P39" s="214"/>
      <c r="Q39" s="214"/>
      <c r="R39" s="131"/>
      <c r="S39" s="131"/>
      <c r="T39" s="131"/>
      <c r="U39" s="131"/>
      <c r="V39" s="131"/>
      <c r="W39" s="131"/>
      <c r="X39" s="131"/>
      <c r="Y39" s="131"/>
      <c r="Z39" s="131"/>
      <c r="AJ39" s="279"/>
      <c r="AK39" s="279"/>
      <c r="AL39" s="279"/>
      <c r="AM39" s="279"/>
      <c r="AN39" s="279"/>
    </row>
    <row r="40" spans="1:40" x14ac:dyDescent="0.25">
      <c r="A40" s="288"/>
      <c r="B40" s="309" t="s">
        <v>918</v>
      </c>
      <c r="C40" s="289"/>
      <c r="D40" s="289"/>
      <c r="E40" s="290"/>
      <c r="F40" s="291"/>
      <c r="G40" s="292"/>
      <c r="H40" s="292"/>
      <c r="I40" s="399"/>
      <c r="J40" s="400"/>
      <c r="K40" s="288"/>
      <c r="L40" s="288"/>
      <c r="M40" s="288"/>
      <c r="N40" s="288"/>
      <c r="O40" s="288"/>
      <c r="P40" s="288"/>
      <c r="Q40" s="210"/>
      <c r="R40" s="131"/>
      <c r="S40" s="131"/>
      <c r="V40" s="131"/>
    </row>
    <row r="41" spans="1:40" x14ac:dyDescent="0.25">
      <c r="A41" s="296"/>
      <c r="B41" s="363" t="s">
        <v>919</v>
      </c>
      <c r="C41" s="364"/>
      <c r="D41" s="364"/>
      <c r="E41" s="364"/>
      <c r="F41" s="364"/>
      <c r="G41" s="364"/>
      <c r="H41" s="364"/>
      <c r="I41" s="364"/>
      <c r="J41" s="395"/>
      <c r="K41" s="210"/>
      <c r="L41" s="210"/>
      <c r="M41" s="210"/>
      <c r="N41" s="210"/>
      <c r="O41" s="210"/>
      <c r="P41" s="210"/>
      <c r="Q41" s="210"/>
      <c r="R41" s="131"/>
      <c r="S41" s="131"/>
      <c r="T41" s="131"/>
      <c r="U41" s="131"/>
      <c r="V41" s="131"/>
      <c r="W41" s="131"/>
      <c r="X41" s="131"/>
      <c r="Y41" s="131"/>
      <c r="Z41" s="131"/>
      <c r="AJ41" s="279"/>
      <c r="AK41" s="279"/>
      <c r="AL41" s="279"/>
      <c r="AM41" s="279"/>
      <c r="AN41" s="279"/>
    </row>
    <row r="42" spans="1:40" ht="45" x14ac:dyDescent="0.25">
      <c r="A42" s="296"/>
      <c r="B42" s="307" t="s">
        <v>826</v>
      </c>
      <c r="C42" s="485"/>
      <c r="D42" s="817" t="s">
        <v>903</v>
      </c>
      <c r="E42" s="250" t="s">
        <v>715</v>
      </c>
      <c r="F42" s="250" t="s">
        <v>716</v>
      </c>
      <c r="G42" s="163" t="s">
        <v>866</v>
      </c>
      <c r="H42" s="163" t="s">
        <v>867</v>
      </c>
      <c r="I42" s="250" t="s">
        <v>868</v>
      </c>
      <c r="J42" s="395"/>
      <c r="K42" s="210"/>
      <c r="L42" s="210"/>
      <c r="M42" s="210"/>
      <c r="N42" s="210"/>
      <c r="O42" s="210"/>
      <c r="P42" s="210"/>
      <c r="Q42" s="210"/>
      <c r="R42" s="131"/>
      <c r="S42" s="131"/>
      <c r="T42" s="131"/>
      <c r="U42" s="131"/>
      <c r="V42" s="131"/>
      <c r="W42" s="131"/>
      <c r="X42" s="131"/>
      <c r="Y42" s="131"/>
      <c r="Z42" s="131"/>
      <c r="AJ42" s="279"/>
      <c r="AK42" s="279"/>
      <c r="AL42" s="279"/>
      <c r="AM42" s="279"/>
      <c r="AN42" s="279"/>
    </row>
    <row r="43" spans="1:40" x14ac:dyDescent="0.25">
      <c r="A43" s="296"/>
      <c r="B43" s="484" t="s">
        <v>1054</v>
      </c>
      <c r="C43" s="469"/>
      <c r="D43" s="126">
        <f>D49</f>
        <v>1934.7545251584004</v>
      </c>
      <c r="E43" s="126">
        <f t="shared" ref="E43:I43" si="39">E49</f>
        <v>3873.0998885026938</v>
      </c>
      <c r="F43" s="126">
        <f t="shared" si="39"/>
        <v>4616.2752323143086</v>
      </c>
      <c r="G43" s="126">
        <f t="shared" si="39"/>
        <v>5373.4216226743974</v>
      </c>
      <c r="H43" s="126">
        <f t="shared" si="39"/>
        <v>5425.2311193827363</v>
      </c>
      <c r="I43" s="126">
        <f t="shared" si="39"/>
        <v>5477.5401532831402</v>
      </c>
      <c r="J43" s="395"/>
      <c r="K43" s="210"/>
      <c r="L43" s="210"/>
      <c r="M43" s="210"/>
      <c r="N43" s="210"/>
      <c r="O43" s="210"/>
      <c r="P43" s="210"/>
      <c r="Q43" s="210"/>
      <c r="R43" s="131"/>
      <c r="S43" s="131"/>
      <c r="T43" s="131"/>
      <c r="U43" s="131"/>
      <c r="V43" s="131"/>
      <c r="W43" s="131"/>
      <c r="X43" s="131"/>
      <c r="Y43" s="131"/>
      <c r="Z43" s="131"/>
      <c r="AJ43" s="279"/>
      <c r="AK43" s="279"/>
      <c r="AL43" s="279"/>
      <c r="AM43" s="279"/>
      <c r="AN43" s="279"/>
    </row>
    <row r="44" spans="1:40" x14ac:dyDescent="0.25">
      <c r="A44" s="296"/>
      <c r="B44" s="483"/>
      <c r="C44" s="311"/>
      <c r="D44" s="183">
        <f t="shared" ref="D44" si="40">SUM(D43:D43)</f>
        <v>1934.7545251584004</v>
      </c>
      <c r="E44" s="183">
        <f>SUM(E43:E43)</f>
        <v>3873.0998885026938</v>
      </c>
      <c r="F44" s="183">
        <f>SUM(F43:F43)</f>
        <v>4616.2752323143086</v>
      </c>
      <c r="G44" s="183">
        <f>SUM(G43:G43)</f>
        <v>5373.4216226743974</v>
      </c>
      <c r="H44" s="183">
        <f>SUM(H43:H43)</f>
        <v>5425.2311193827363</v>
      </c>
      <c r="I44" s="183">
        <f>SUM(I43:I43)</f>
        <v>5477.5401532831402</v>
      </c>
      <c r="J44" s="395"/>
      <c r="K44" s="210"/>
      <c r="L44" s="210"/>
      <c r="M44" s="210"/>
      <c r="N44" s="210"/>
      <c r="O44" s="210"/>
      <c r="P44" s="210"/>
      <c r="Q44" s="210"/>
      <c r="R44" s="131"/>
      <c r="S44" s="131"/>
      <c r="T44" s="131"/>
      <c r="U44" s="131"/>
      <c r="V44" s="131"/>
      <c r="W44" s="131"/>
      <c r="X44" s="131"/>
      <c r="Y44" s="131"/>
      <c r="Z44" s="131"/>
      <c r="AJ44" s="279"/>
      <c r="AK44" s="279"/>
      <c r="AL44" s="279"/>
      <c r="AM44" s="279"/>
      <c r="AN44" s="279"/>
    </row>
    <row r="45" spans="1:40" x14ac:dyDescent="0.25">
      <c r="A45" s="296"/>
      <c r="B45" s="251"/>
      <c r="C45" s="251"/>
      <c r="D45" s="278" t="s">
        <v>920</v>
      </c>
      <c r="E45" s="183">
        <f>E44-$D$44</f>
        <v>1938.3453633442934</v>
      </c>
      <c r="F45" s="183">
        <f>F44-$D$44</f>
        <v>2681.520707155908</v>
      </c>
      <c r="G45" s="183">
        <f>G44-$D$44</f>
        <v>3438.6670975159968</v>
      </c>
      <c r="H45" s="183">
        <f>H44-$D$44</f>
        <v>3490.4765942243357</v>
      </c>
      <c r="I45" s="183">
        <f>I44-$D$44</f>
        <v>3542.7856281247396</v>
      </c>
      <c r="J45" s="395"/>
      <c r="K45" s="210"/>
      <c r="L45" s="210"/>
      <c r="M45" s="210"/>
      <c r="N45" s="210"/>
      <c r="O45" s="210"/>
      <c r="P45" s="210"/>
      <c r="Q45" s="210"/>
      <c r="R45" s="131"/>
      <c r="S45" s="131"/>
      <c r="T45" s="131"/>
      <c r="U45" s="131"/>
      <c r="V45" s="131"/>
      <c r="W45" s="131"/>
      <c r="X45" s="131"/>
      <c r="Y45" s="131"/>
      <c r="Z45" s="131"/>
      <c r="AJ45" s="279"/>
      <c r="AK45" s="279"/>
      <c r="AL45" s="279"/>
      <c r="AM45" s="279"/>
      <c r="AN45" s="279"/>
    </row>
    <row r="46" spans="1:40" x14ac:dyDescent="0.25">
      <c r="A46" s="288"/>
      <c r="B46" s="310"/>
      <c r="C46" s="294"/>
      <c r="D46" s="293"/>
      <c r="E46" s="294"/>
      <c r="F46" s="295"/>
      <c r="G46" s="288"/>
      <c r="H46" s="288"/>
      <c r="I46" s="292"/>
      <c r="J46" s="210"/>
      <c r="K46" s="210"/>
      <c r="L46" s="210"/>
      <c r="M46" s="210"/>
      <c r="N46" s="210"/>
      <c r="O46" s="210"/>
      <c r="P46" s="210"/>
      <c r="Q46" s="210"/>
      <c r="R46" s="131"/>
      <c r="S46" s="131"/>
      <c r="T46" s="131"/>
      <c r="U46" s="131"/>
      <c r="V46" s="131"/>
      <c r="W46" s="131"/>
      <c r="X46" s="131"/>
      <c r="Y46" s="131"/>
      <c r="Z46" s="131"/>
      <c r="AJ46" s="279"/>
      <c r="AK46" s="279"/>
      <c r="AL46" s="279"/>
      <c r="AM46" s="279"/>
      <c r="AN46" s="279"/>
    </row>
    <row r="47" spans="1:40" x14ac:dyDescent="0.25">
      <c r="A47" s="296"/>
      <c r="B47" s="363" t="s">
        <v>921</v>
      </c>
      <c r="C47" s="364"/>
      <c r="D47" s="364"/>
      <c r="E47" s="364"/>
      <c r="F47" s="364"/>
      <c r="G47" s="364"/>
      <c r="H47" s="364"/>
      <c r="I47" s="364"/>
      <c r="J47" s="395"/>
      <c r="K47" s="210"/>
      <c r="L47" s="210"/>
      <c r="M47" s="210"/>
      <c r="N47" s="210"/>
      <c r="O47" s="210"/>
      <c r="P47" s="210"/>
      <c r="Q47" s="210"/>
      <c r="R47" s="131"/>
      <c r="S47" s="131"/>
      <c r="T47" s="131"/>
      <c r="U47" s="131"/>
      <c r="V47" s="131"/>
      <c r="W47" s="131"/>
      <c r="X47" s="131"/>
      <c r="Y47" s="131"/>
      <c r="Z47" s="131"/>
      <c r="AJ47" s="279"/>
      <c r="AK47" s="279"/>
      <c r="AL47" s="279"/>
      <c r="AM47" s="279"/>
      <c r="AN47" s="279"/>
    </row>
    <row r="48" spans="1:40" ht="45" x14ac:dyDescent="0.25">
      <c r="A48" s="296"/>
      <c r="B48" s="307" t="s">
        <v>826</v>
      </c>
      <c r="C48" s="485"/>
      <c r="D48" s="817" t="s">
        <v>903</v>
      </c>
      <c r="E48" s="250" t="s">
        <v>715</v>
      </c>
      <c r="F48" s="250" t="s">
        <v>716</v>
      </c>
      <c r="G48" s="163" t="s">
        <v>866</v>
      </c>
      <c r="H48" s="163" t="s">
        <v>867</v>
      </c>
      <c r="I48" s="250" t="s">
        <v>868</v>
      </c>
      <c r="J48" s="395"/>
      <c r="K48" s="210"/>
      <c r="L48" s="210"/>
      <c r="M48" s="210"/>
      <c r="N48" s="210"/>
      <c r="O48" s="210"/>
      <c r="P48" s="210"/>
      <c r="Q48" s="210"/>
      <c r="R48" s="131"/>
      <c r="S48" s="131"/>
      <c r="T48" s="131"/>
      <c r="U48" s="131"/>
      <c r="V48" s="131"/>
      <c r="W48" s="131"/>
      <c r="X48" s="131"/>
      <c r="Y48" s="131"/>
      <c r="Z48" s="131"/>
      <c r="AJ48" s="279"/>
      <c r="AK48" s="279"/>
      <c r="AL48" s="279"/>
      <c r="AM48" s="279"/>
      <c r="AN48" s="279"/>
    </row>
    <row r="49" spans="1:40" x14ac:dyDescent="0.25">
      <c r="A49" s="296"/>
      <c r="B49" s="484" t="s">
        <v>1031</v>
      </c>
      <c r="C49" s="469"/>
      <c r="D49" s="126">
        <f>D56+D57</f>
        <v>1934.7545251584004</v>
      </c>
      <c r="E49" s="126">
        <f t="shared" ref="E49:I49" si="41">E56+E57</f>
        <v>3873.0998885026938</v>
      </c>
      <c r="F49" s="126">
        <f t="shared" si="41"/>
        <v>4616.2752323143086</v>
      </c>
      <c r="G49" s="126">
        <f t="shared" si="41"/>
        <v>5373.4216226743974</v>
      </c>
      <c r="H49" s="126">
        <f t="shared" si="41"/>
        <v>5425.2311193827363</v>
      </c>
      <c r="I49" s="126">
        <f t="shared" si="41"/>
        <v>5477.5401532831402</v>
      </c>
      <c r="J49" s="395"/>
      <c r="K49" s="210"/>
      <c r="L49" s="210"/>
      <c r="M49" s="210"/>
      <c r="N49" s="210"/>
      <c r="O49" s="210"/>
      <c r="P49" s="210"/>
      <c r="Q49" s="210"/>
      <c r="R49" s="131"/>
      <c r="S49" s="131"/>
      <c r="T49" s="131"/>
      <c r="U49" s="131"/>
      <c r="V49" s="131"/>
      <c r="W49" s="131"/>
      <c r="X49" s="131"/>
      <c r="Y49" s="131"/>
      <c r="Z49" s="131"/>
      <c r="AJ49" s="279"/>
      <c r="AK49" s="279"/>
      <c r="AL49" s="279"/>
      <c r="AM49" s="279"/>
      <c r="AN49" s="279"/>
    </row>
    <row r="50" spans="1:40" x14ac:dyDescent="0.25">
      <c r="A50" s="296"/>
      <c r="B50" s="484" t="s">
        <v>1032</v>
      </c>
      <c r="C50" s="469"/>
      <c r="D50" s="126">
        <f>D58</f>
        <v>5470.3013444352009</v>
      </c>
      <c r="E50" s="126">
        <f t="shared" ref="E50:I50" si="42">E58</f>
        <v>3965.2630315256829</v>
      </c>
      <c r="F50" s="126">
        <f t="shared" si="42"/>
        <v>3431.5674293309903</v>
      </c>
      <c r="G50" s="126">
        <f t="shared" si="42"/>
        <v>2887.2116181534079</v>
      </c>
      <c r="H50" s="126">
        <f t="shared" si="42"/>
        <v>2915.049556683261</v>
      </c>
      <c r="I50" s="126">
        <f t="shared" si="42"/>
        <v>2943.1559032566124</v>
      </c>
      <c r="J50" s="395"/>
      <c r="K50" s="210"/>
      <c r="L50" s="210"/>
      <c r="M50" s="210"/>
      <c r="N50" s="210"/>
      <c r="O50" s="210"/>
      <c r="P50" s="210"/>
      <c r="Q50" s="210"/>
      <c r="R50" s="131"/>
      <c r="S50" s="131"/>
      <c r="T50" s="131"/>
      <c r="U50" s="131"/>
      <c r="V50" s="131"/>
      <c r="W50" s="131"/>
      <c r="X50" s="131"/>
      <c r="Y50" s="131"/>
      <c r="Z50" s="131"/>
      <c r="AJ50" s="279"/>
      <c r="AK50" s="279"/>
      <c r="AL50" s="279"/>
      <c r="AM50" s="279"/>
      <c r="AN50" s="279"/>
    </row>
    <row r="51" spans="1:40" x14ac:dyDescent="0.25">
      <c r="A51" s="296"/>
      <c r="B51" s="483"/>
      <c r="C51" s="311"/>
      <c r="D51" s="183">
        <f>SUM(D49:D50)</f>
        <v>7405.0558695936015</v>
      </c>
      <c r="E51" s="183">
        <f t="shared" ref="E51:I51" si="43">SUM(E49:E50)</f>
        <v>7838.3629200283767</v>
      </c>
      <c r="F51" s="183">
        <f t="shared" si="43"/>
        <v>8047.8426616452989</v>
      </c>
      <c r="G51" s="183">
        <f t="shared" si="43"/>
        <v>8260.6332408278049</v>
      </c>
      <c r="H51" s="183">
        <f t="shared" si="43"/>
        <v>8340.2806760659969</v>
      </c>
      <c r="I51" s="183">
        <f t="shared" si="43"/>
        <v>8420.696056539753</v>
      </c>
      <c r="J51" s="395"/>
      <c r="K51" s="210"/>
      <c r="L51" s="210"/>
      <c r="M51" s="210"/>
      <c r="N51" s="210"/>
      <c r="O51" s="210"/>
      <c r="P51" s="210"/>
      <c r="Q51" s="210"/>
      <c r="R51" s="131"/>
      <c r="S51" s="131"/>
      <c r="T51" s="131"/>
      <c r="U51" s="131"/>
      <c r="V51" s="131"/>
      <c r="W51" s="131"/>
      <c r="X51" s="131"/>
      <c r="Y51" s="131"/>
      <c r="Z51" s="131"/>
      <c r="AJ51" s="279"/>
      <c r="AK51" s="279"/>
      <c r="AL51" s="279"/>
      <c r="AM51" s="279"/>
      <c r="AN51" s="279"/>
    </row>
    <row r="52" spans="1:40" x14ac:dyDescent="0.25">
      <c r="A52" s="296"/>
      <c r="B52" s="251"/>
      <c r="C52" s="251"/>
      <c r="D52" s="278" t="s">
        <v>922</v>
      </c>
      <c r="E52" s="183">
        <f>E51-D51</f>
        <v>433.30705043477519</v>
      </c>
      <c r="F52" s="183">
        <f>F51-$D$51</f>
        <v>642.78679205169738</v>
      </c>
      <c r="G52" s="183">
        <f t="shared" ref="G52:I52" si="44">G51-$D$51</f>
        <v>855.57737123420338</v>
      </c>
      <c r="H52" s="183">
        <f t="shared" si="44"/>
        <v>935.22480647239536</v>
      </c>
      <c r="I52" s="183">
        <f t="shared" si="44"/>
        <v>1015.6401869461515</v>
      </c>
      <c r="J52" s="395"/>
      <c r="K52" s="210"/>
      <c r="L52" s="210"/>
      <c r="M52" s="210"/>
      <c r="N52" s="210"/>
      <c r="O52" s="210"/>
      <c r="P52" s="210"/>
      <c r="Q52" s="210"/>
      <c r="R52" s="131"/>
      <c r="S52" s="131"/>
      <c r="T52" s="131"/>
      <c r="U52" s="131"/>
      <c r="V52" s="131"/>
      <c r="W52" s="131"/>
      <c r="X52" s="131"/>
      <c r="Y52" s="131"/>
      <c r="Z52" s="131"/>
      <c r="AJ52" s="279"/>
      <c r="AK52" s="279"/>
      <c r="AL52" s="279"/>
      <c r="AM52" s="279"/>
      <c r="AN52" s="279"/>
    </row>
    <row r="53" spans="1:40" x14ac:dyDescent="0.25">
      <c r="A53" s="288"/>
      <c r="B53" s="310"/>
      <c r="C53" s="294"/>
      <c r="D53" s="293"/>
      <c r="E53" s="294"/>
      <c r="F53" s="295"/>
      <c r="G53" s="288"/>
      <c r="H53" s="288"/>
      <c r="I53" s="292"/>
      <c r="J53" s="210"/>
      <c r="K53" s="210"/>
      <c r="L53" s="210"/>
      <c r="M53" s="210"/>
      <c r="N53" s="210"/>
      <c r="O53" s="210"/>
      <c r="P53" s="210"/>
      <c r="Q53" s="210"/>
      <c r="R53" s="131"/>
      <c r="S53" s="131"/>
      <c r="T53" s="131"/>
      <c r="U53" s="131"/>
      <c r="V53" s="131"/>
      <c r="W53" s="131"/>
      <c r="X53" s="131"/>
      <c r="Y53" s="131"/>
      <c r="Z53" s="131"/>
      <c r="AJ53" s="279"/>
      <c r="AK53" s="279"/>
      <c r="AL53" s="279"/>
      <c r="AM53" s="279"/>
      <c r="AN53" s="279"/>
    </row>
    <row r="54" spans="1:40" x14ac:dyDescent="0.25">
      <c r="A54" s="296"/>
      <c r="B54" s="363" t="s">
        <v>923</v>
      </c>
      <c r="C54" s="364"/>
      <c r="D54" s="364"/>
      <c r="E54" s="364"/>
      <c r="F54" s="364"/>
      <c r="G54" s="364"/>
      <c r="H54" s="364"/>
      <c r="I54" s="364"/>
      <c r="J54" s="395"/>
      <c r="K54" s="210"/>
      <c r="L54" s="210"/>
      <c r="M54" s="210"/>
      <c r="N54" s="210"/>
      <c r="O54" s="210"/>
      <c r="P54" s="210"/>
      <c r="Q54" s="210"/>
      <c r="R54" s="131"/>
      <c r="S54" s="131"/>
      <c r="T54" s="131"/>
      <c r="U54" s="131"/>
      <c r="V54" s="131"/>
      <c r="W54" s="131"/>
      <c r="X54" s="131"/>
      <c r="Y54" s="131"/>
      <c r="Z54" s="131"/>
      <c r="AJ54" s="279"/>
      <c r="AK54" s="279"/>
      <c r="AL54" s="279"/>
      <c r="AM54" s="279"/>
      <c r="AN54" s="279"/>
    </row>
    <row r="55" spans="1:40" ht="45" x14ac:dyDescent="0.25">
      <c r="A55" s="296"/>
      <c r="B55" s="307" t="s">
        <v>826</v>
      </c>
      <c r="C55" s="164" t="s">
        <v>817</v>
      </c>
      <c r="D55" s="817" t="s">
        <v>903</v>
      </c>
      <c r="E55" s="250" t="s">
        <v>715</v>
      </c>
      <c r="F55" s="250" t="s">
        <v>716</v>
      </c>
      <c r="G55" s="163" t="s">
        <v>866</v>
      </c>
      <c r="H55" s="163" t="s">
        <v>867</v>
      </c>
      <c r="I55" s="250" t="s">
        <v>868</v>
      </c>
      <c r="J55" s="395"/>
      <c r="K55" s="210"/>
      <c r="L55" s="210"/>
      <c r="M55" s="210"/>
      <c r="N55" s="210"/>
      <c r="O55" s="210"/>
      <c r="P55" s="210"/>
      <c r="Q55" s="210"/>
      <c r="V55" s="131"/>
      <c r="AJ55" s="279"/>
      <c r="AK55" s="279"/>
      <c r="AL55" s="279"/>
      <c r="AM55" s="279"/>
      <c r="AN55" s="279"/>
    </row>
    <row r="56" spans="1:40" x14ac:dyDescent="0.25">
      <c r="A56" s="296"/>
      <c r="B56" s="328" t="s">
        <v>754</v>
      </c>
      <c r="C56" s="287">
        <f>'Inputs and eligible population'!F47</f>
        <v>7.8</v>
      </c>
      <c r="D56" s="126">
        <f>'Inputs and eligible population'!L60*'Capacity (local prices)'!$C56</f>
        <v>0</v>
      </c>
      <c r="E56" s="126">
        <f>'Inputs and eligible population'!M60*'Capacity (local prices)'!$C56</f>
        <v>2630.0213984609122</v>
      </c>
      <c r="F56" s="126">
        <f>'Inputs and eligible population'!N60*'Capacity (local prices)'!$C56</f>
        <v>3540.5060778811808</v>
      </c>
      <c r="G56" s="126">
        <f>'Inputs and eligible population'!O60*'Capacity (local prices)'!$C56</f>
        <v>4468.3036947612263</v>
      </c>
      <c r="H56" s="126">
        <f>'Inputs and eligible population'!P60*'Capacity (local prices)'!$C56</f>
        <v>4511.3862186764754</v>
      </c>
      <c r="I56" s="126">
        <f>'Inputs and eligible population'!Q60*'Capacity (local prices)'!$C56</f>
        <v>4554.8841359923763</v>
      </c>
      <c r="J56" s="395"/>
      <c r="K56" s="210"/>
      <c r="L56" s="210"/>
      <c r="M56" s="210"/>
      <c r="N56" s="210"/>
      <c r="O56" s="210"/>
      <c r="P56" s="210"/>
      <c r="Q56" s="210"/>
      <c r="V56" s="131"/>
      <c r="AJ56" s="279"/>
      <c r="AK56" s="279"/>
      <c r="AL56" s="279"/>
      <c r="AM56" s="279"/>
      <c r="AN56" s="279"/>
    </row>
    <row r="57" spans="1:40" x14ac:dyDescent="0.25">
      <c r="A57" s="296"/>
      <c r="B57" s="328" t="s">
        <v>1028</v>
      </c>
      <c r="C57" s="287">
        <f>'Inputs and eligible population'!F48</f>
        <v>7.9</v>
      </c>
      <c r="D57" s="126">
        <f>'Inputs and eligible population'!L61*'Capacity (local prices)'!$C57</f>
        <v>1934.7545251584004</v>
      </c>
      <c r="E57" s="126">
        <f>'Inputs and eligible population'!M61*'Capacity (local prices)'!$C57</f>
        <v>1243.0784900417816</v>
      </c>
      <c r="F57" s="126">
        <f>'Inputs and eligible population'!N61*'Capacity (local prices)'!$C57</f>
        <v>1075.7691544331281</v>
      </c>
      <c r="G57" s="126">
        <f>'Inputs and eligible population'!O61*'Capacity (local prices)'!$C57</f>
        <v>905.11792791317157</v>
      </c>
      <c r="H57" s="126">
        <f>'Inputs and eligible population'!P61*'Capacity (local prices)'!$C57</f>
        <v>913.84490070626055</v>
      </c>
      <c r="I57" s="126">
        <f>'Inputs and eligible population'!Q61*'Capacity (local prices)'!$C57</f>
        <v>922.65601729076354</v>
      </c>
      <c r="J57" s="395"/>
      <c r="K57" s="210"/>
      <c r="L57" s="210"/>
      <c r="M57" s="210"/>
      <c r="N57" s="210"/>
      <c r="O57" s="210"/>
      <c r="P57" s="210"/>
      <c r="Q57" s="210"/>
      <c r="V57" s="131"/>
      <c r="AJ57" s="279"/>
      <c r="AK57" s="279"/>
      <c r="AL57" s="279"/>
      <c r="AM57" s="279"/>
      <c r="AN57" s="279"/>
    </row>
    <row r="58" spans="1:40" x14ac:dyDescent="0.25">
      <c r="A58" s="296"/>
      <c r="B58" s="328" t="s">
        <v>1029</v>
      </c>
      <c r="C58" s="287">
        <f>'Inputs and eligible population'!F49</f>
        <v>6.3</v>
      </c>
      <c r="D58" s="126">
        <f>'Inputs and eligible population'!L62*'Capacity (local prices)'!$C58</f>
        <v>5470.3013444352009</v>
      </c>
      <c r="E58" s="126">
        <f>'Inputs and eligible population'!M62*'Capacity (local prices)'!$C58</f>
        <v>3965.2630315256829</v>
      </c>
      <c r="F58" s="126">
        <f>'Inputs and eligible population'!N62*'Capacity (local prices)'!$C58</f>
        <v>3431.5674293309903</v>
      </c>
      <c r="G58" s="126">
        <f>'Inputs and eligible population'!O62*'Capacity (local prices)'!$C58</f>
        <v>2887.2116181534079</v>
      </c>
      <c r="H58" s="126">
        <f>'Inputs and eligible population'!P62*'Capacity (local prices)'!$C58</f>
        <v>2915.049556683261</v>
      </c>
      <c r="I58" s="126">
        <f>'Inputs and eligible population'!Q62*'Capacity (local prices)'!$C58</f>
        <v>2943.1559032566124</v>
      </c>
      <c r="J58" s="288"/>
      <c r="K58" s="288"/>
      <c r="L58" s="288"/>
      <c r="M58" s="288"/>
      <c r="N58" s="288"/>
      <c r="O58" s="288"/>
      <c r="P58" s="288"/>
      <c r="Q58" s="288"/>
      <c r="V58" s="131"/>
      <c r="AJ58" s="279"/>
      <c r="AK58" s="279"/>
      <c r="AL58" s="279"/>
      <c r="AM58" s="279"/>
      <c r="AN58" s="279"/>
    </row>
    <row r="59" spans="1:40" x14ac:dyDescent="0.25">
      <c r="A59" s="296"/>
      <c r="B59" s="311"/>
      <c r="C59" s="311"/>
      <c r="D59" s="183">
        <f t="shared" ref="D59:I59" si="45">SUM(D56:D58)</f>
        <v>7405.0558695936015</v>
      </c>
      <c r="E59" s="183">
        <f t="shared" si="45"/>
        <v>7838.3629200283767</v>
      </c>
      <c r="F59" s="183">
        <f t="shared" si="45"/>
        <v>8047.8426616452989</v>
      </c>
      <c r="G59" s="183">
        <f t="shared" si="45"/>
        <v>8260.6332408278049</v>
      </c>
      <c r="H59" s="183">
        <f t="shared" si="45"/>
        <v>8340.2806760659969</v>
      </c>
      <c r="I59" s="183">
        <f t="shared" si="45"/>
        <v>8420.696056539753</v>
      </c>
      <c r="J59" s="288"/>
      <c r="K59" s="288"/>
      <c r="L59" s="288"/>
      <c r="M59" s="288"/>
      <c r="N59" s="288"/>
      <c r="O59" s="288"/>
      <c r="P59" s="288"/>
      <c r="Q59" s="288"/>
      <c r="V59" s="131"/>
      <c r="AJ59" s="279"/>
      <c r="AK59" s="279"/>
      <c r="AL59" s="279"/>
      <c r="AM59" s="279"/>
      <c r="AN59" s="279"/>
    </row>
    <row r="60" spans="1:40" x14ac:dyDescent="0.25">
      <c r="A60" s="296"/>
      <c r="B60" s="251"/>
      <c r="C60" s="251"/>
      <c r="D60" s="278" t="s">
        <v>924</v>
      </c>
      <c r="E60" s="183">
        <f>E59-$D$59</f>
        <v>433.30705043477519</v>
      </c>
      <c r="F60" s="183">
        <f>F59-$D$59</f>
        <v>642.78679205169738</v>
      </c>
      <c r="G60" s="183">
        <f>G59-$D$59</f>
        <v>855.57737123420338</v>
      </c>
      <c r="H60" s="183">
        <f>H59-$D$59</f>
        <v>935.22480647239536</v>
      </c>
      <c r="I60" s="183">
        <f>I59-$D$59</f>
        <v>1015.6401869461515</v>
      </c>
      <c r="J60" s="288"/>
      <c r="K60" s="288"/>
      <c r="L60" s="288"/>
      <c r="M60" s="288"/>
      <c r="N60" s="288"/>
      <c r="O60" s="288"/>
      <c r="P60" s="288"/>
      <c r="Q60" s="288"/>
      <c r="S60" s="131"/>
      <c r="T60" s="131"/>
      <c r="U60" s="131"/>
      <c r="V60" s="131"/>
      <c r="W60" s="131"/>
      <c r="X60" s="131"/>
      <c r="Y60" s="131"/>
      <c r="Z60" s="131"/>
      <c r="AJ60" s="279"/>
      <c r="AK60" s="279"/>
      <c r="AL60" s="279"/>
      <c r="AM60" s="279"/>
      <c r="AN60" s="279"/>
    </row>
    <row r="61" spans="1:40" x14ac:dyDescent="0.25">
      <c r="A61" s="288"/>
      <c r="B61" s="310"/>
      <c r="C61" s="294"/>
      <c r="D61" s="294"/>
      <c r="E61" s="295"/>
      <c r="F61" s="288"/>
      <c r="G61" s="288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S61" s="131"/>
      <c r="T61" s="131"/>
      <c r="U61" s="131"/>
      <c r="V61" s="131"/>
      <c r="W61" s="131"/>
      <c r="X61" s="131"/>
      <c r="Y61" s="131"/>
      <c r="Z61" s="131"/>
      <c r="AJ61" s="279"/>
      <c r="AK61" s="279"/>
      <c r="AL61" s="279"/>
      <c r="AM61" s="279"/>
      <c r="AN61" s="279"/>
    </row>
    <row r="62" spans="1:40" x14ac:dyDescent="0.25">
      <c r="A62" s="280"/>
      <c r="B62" s="312" t="s">
        <v>925</v>
      </c>
      <c r="C62" s="297"/>
      <c r="D62" s="297"/>
      <c r="E62" s="298"/>
      <c r="F62" s="299"/>
      <c r="G62" s="300"/>
      <c r="H62" s="300"/>
      <c r="I62" s="300"/>
      <c r="J62" s="401"/>
      <c r="K62" s="280"/>
      <c r="L62" s="280"/>
      <c r="M62" s="280"/>
      <c r="N62" s="280"/>
      <c r="O62" s="280"/>
      <c r="P62" s="280"/>
      <c r="Q62" s="212"/>
      <c r="V62" s="131"/>
    </row>
    <row r="63" spans="1:40" x14ac:dyDescent="0.25">
      <c r="A63" s="280"/>
      <c r="B63" s="365" t="s">
        <v>926</v>
      </c>
      <c r="C63" s="366"/>
      <c r="D63" s="366"/>
      <c r="E63" s="366"/>
      <c r="F63" s="366"/>
      <c r="G63" s="366"/>
      <c r="H63" s="366"/>
      <c r="I63" s="211"/>
      <c r="J63" s="397"/>
      <c r="K63" s="212"/>
      <c r="L63" s="396"/>
      <c r="M63" s="396"/>
      <c r="N63" s="396"/>
      <c r="O63" s="396"/>
      <c r="P63" s="396"/>
      <c r="Q63" s="396"/>
      <c r="V63" s="131"/>
    </row>
    <row r="64" spans="1:40" ht="74.45" customHeight="1" x14ac:dyDescent="0.25">
      <c r="A64" s="280"/>
      <c r="B64" s="275" t="s">
        <v>826</v>
      </c>
      <c r="C64" s="164" t="s">
        <v>927</v>
      </c>
      <c r="D64" s="817" t="s">
        <v>903</v>
      </c>
      <c r="E64" s="250" t="s">
        <v>715</v>
      </c>
      <c r="F64" s="250" t="s">
        <v>716</v>
      </c>
      <c r="G64" s="163" t="s">
        <v>866</v>
      </c>
      <c r="H64" s="163" t="s">
        <v>867</v>
      </c>
      <c r="I64" s="250" t="s">
        <v>868</v>
      </c>
      <c r="J64" s="280"/>
      <c r="K64" s="508" t="s">
        <v>915</v>
      </c>
      <c r="L64" s="817" t="s">
        <v>903</v>
      </c>
      <c r="M64" s="492" t="s">
        <v>715</v>
      </c>
      <c r="N64" s="492" t="s">
        <v>716</v>
      </c>
      <c r="O64" s="392" t="s">
        <v>866</v>
      </c>
      <c r="P64" s="392" t="s">
        <v>867</v>
      </c>
      <c r="Q64" s="492" t="s">
        <v>868</v>
      </c>
      <c r="V64" s="131"/>
    </row>
    <row r="65" spans="1:40" x14ac:dyDescent="0.25">
      <c r="A65" s="280"/>
      <c r="B65" s="328" t="s">
        <v>754</v>
      </c>
      <c r="C65" s="147">
        <f>'Inputs and eligible population'!F77</f>
        <v>4</v>
      </c>
      <c r="D65" s="126">
        <f t="shared" ref="D65:I65" si="46">(D56*$C$65)/60</f>
        <v>0</v>
      </c>
      <c r="E65" s="126">
        <f t="shared" si="46"/>
        <v>175.33475989739415</v>
      </c>
      <c r="F65" s="126">
        <f t="shared" si="46"/>
        <v>236.03373852541205</v>
      </c>
      <c r="G65" s="126">
        <f t="shared" si="46"/>
        <v>297.88691298408173</v>
      </c>
      <c r="H65" s="126">
        <f t="shared" si="46"/>
        <v>300.75908124509834</v>
      </c>
      <c r="I65" s="126">
        <f t="shared" si="46"/>
        <v>303.65894239949176</v>
      </c>
      <c r="J65" s="280"/>
      <c r="K65" s="527">
        <f>'Inputs and eligible population'!K77</f>
        <v>42.84</v>
      </c>
      <c r="L65" s="284">
        <f>(D65*$K65)/1000</f>
        <v>0</v>
      </c>
      <c r="M65" s="284">
        <f t="shared" ref="M65:Q67" si="47">(E65*$K65)/1000</f>
        <v>7.5113411140043667</v>
      </c>
      <c r="N65" s="284">
        <f t="shared" si="47"/>
        <v>10.111685358428653</v>
      </c>
      <c r="O65" s="284">
        <f t="shared" si="47"/>
        <v>12.761475352238062</v>
      </c>
      <c r="P65" s="284">
        <f t="shared" si="47"/>
        <v>12.884519040540013</v>
      </c>
      <c r="Q65" s="284">
        <f t="shared" si="47"/>
        <v>13.008749092394227</v>
      </c>
      <c r="S65" s="131"/>
      <c r="T65" s="131"/>
      <c r="U65" s="131"/>
      <c r="V65" s="131"/>
      <c r="W65" s="131"/>
      <c r="X65" s="131"/>
      <c r="Y65" s="131"/>
      <c r="Z65" s="131"/>
      <c r="AJ65" s="279"/>
      <c r="AK65" s="279"/>
      <c r="AL65" s="279"/>
      <c r="AM65" s="279"/>
      <c r="AN65" s="279"/>
    </row>
    <row r="66" spans="1:40" x14ac:dyDescent="0.25">
      <c r="A66" s="280"/>
      <c r="B66" s="328" t="s">
        <v>1028</v>
      </c>
      <c r="C66" s="147">
        <f>'Inputs and eligible population'!G77</f>
        <v>4</v>
      </c>
      <c r="D66" s="126">
        <f t="shared" ref="D66:I66" si="48">(D57*$C$66)/60</f>
        <v>128.98363501056002</v>
      </c>
      <c r="E66" s="126">
        <f t="shared" si="48"/>
        <v>82.871899336118773</v>
      </c>
      <c r="F66" s="126">
        <f t="shared" si="48"/>
        <v>71.717943628875204</v>
      </c>
      <c r="G66" s="126">
        <f t="shared" si="48"/>
        <v>60.341195194211437</v>
      </c>
      <c r="H66" s="126">
        <f t="shared" si="48"/>
        <v>60.922993380417367</v>
      </c>
      <c r="I66" s="126">
        <f t="shared" si="48"/>
        <v>61.51040115271757</v>
      </c>
      <c r="J66" s="280"/>
      <c r="K66" s="527">
        <f>'Inputs and eligible population'!K77</f>
        <v>42.84</v>
      </c>
      <c r="L66" s="284">
        <f t="shared" ref="L66:L67" si="49">(D66*$K66)/1000</f>
        <v>5.5256589238523919</v>
      </c>
      <c r="M66" s="284">
        <f t="shared" si="47"/>
        <v>3.5502321675593285</v>
      </c>
      <c r="N66" s="284">
        <f t="shared" si="47"/>
        <v>3.0723967050610139</v>
      </c>
      <c r="O66" s="284">
        <f t="shared" si="47"/>
        <v>2.5850168021200184</v>
      </c>
      <c r="P66" s="284">
        <f t="shared" si="47"/>
        <v>2.6099410364170805</v>
      </c>
      <c r="Q66" s="284">
        <f t="shared" si="47"/>
        <v>2.635105585382421</v>
      </c>
      <c r="S66" s="131"/>
      <c r="T66" s="131"/>
      <c r="U66" s="131"/>
      <c r="V66" s="131"/>
      <c r="W66" s="131"/>
      <c r="X66" s="131"/>
      <c r="Y66" s="131"/>
      <c r="Z66" s="131"/>
      <c r="AJ66" s="279"/>
      <c r="AK66" s="279"/>
      <c r="AL66" s="279"/>
      <c r="AM66" s="279"/>
      <c r="AN66" s="279"/>
    </row>
    <row r="67" spans="1:40" x14ac:dyDescent="0.25">
      <c r="A67" s="280"/>
      <c r="B67" s="328" t="s">
        <v>1029</v>
      </c>
      <c r="C67" s="147">
        <f>'Inputs and eligible population'!H77</f>
        <v>0</v>
      </c>
      <c r="D67" s="126">
        <f t="shared" ref="D67:I67" si="50">(D58*$C$67)/60</f>
        <v>0</v>
      </c>
      <c r="E67" s="126">
        <f t="shared" si="50"/>
        <v>0</v>
      </c>
      <c r="F67" s="126">
        <f t="shared" si="50"/>
        <v>0</v>
      </c>
      <c r="G67" s="126">
        <f t="shared" si="50"/>
        <v>0</v>
      </c>
      <c r="H67" s="126">
        <f t="shared" si="50"/>
        <v>0</v>
      </c>
      <c r="I67" s="126">
        <f t="shared" si="50"/>
        <v>0</v>
      </c>
      <c r="J67" s="280"/>
      <c r="K67" s="527">
        <f>'Inputs and eligible population'!K77</f>
        <v>42.84</v>
      </c>
      <c r="L67" s="284">
        <f t="shared" si="49"/>
        <v>0</v>
      </c>
      <c r="M67" s="284">
        <f t="shared" si="47"/>
        <v>0</v>
      </c>
      <c r="N67" s="284">
        <f t="shared" si="47"/>
        <v>0</v>
      </c>
      <c r="O67" s="284">
        <f t="shared" si="47"/>
        <v>0</v>
      </c>
      <c r="P67" s="284">
        <f t="shared" si="47"/>
        <v>0</v>
      </c>
      <c r="Q67" s="284">
        <f t="shared" si="47"/>
        <v>0</v>
      </c>
      <c r="S67" s="131"/>
      <c r="T67" s="131"/>
      <c r="U67" s="131"/>
      <c r="V67" s="131"/>
      <c r="W67" s="131"/>
      <c r="X67" s="131"/>
      <c r="Y67" s="131"/>
      <c r="Z67" s="131"/>
      <c r="AJ67" s="279"/>
      <c r="AK67" s="279"/>
      <c r="AL67" s="279"/>
      <c r="AM67" s="279"/>
      <c r="AN67" s="279"/>
    </row>
    <row r="68" spans="1:40" x14ac:dyDescent="0.25">
      <c r="A68" s="280"/>
      <c r="B68" s="276" t="s">
        <v>928</v>
      </c>
      <c r="C68" s="311"/>
      <c r="D68" s="183">
        <f>SUM(D65:D67)</f>
        <v>128.98363501056002</v>
      </c>
      <c r="E68" s="183">
        <f t="shared" ref="E68:I68" si="51">SUM(E65:E67)</f>
        <v>258.20665923351294</v>
      </c>
      <c r="F68" s="183">
        <f t="shared" si="51"/>
        <v>307.75168215428727</v>
      </c>
      <c r="G68" s="183">
        <f t="shared" si="51"/>
        <v>358.22810817829316</v>
      </c>
      <c r="H68" s="183">
        <f t="shared" si="51"/>
        <v>361.68207462551572</v>
      </c>
      <c r="I68" s="183">
        <f t="shared" si="51"/>
        <v>365.16934355220934</v>
      </c>
      <c r="J68" s="280"/>
      <c r="K68" s="280"/>
      <c r="L68" s="285">
        <f>SUM(L65:L67)</f>
        <v>5.5256589238523919</v>
      </c>
      <c r="M68" s="285">
        <f t="shared" ref="M68:Q68" si="52">SUM(M65:M67)</f>
        <v>11.061573281563696</v>
      </c>
      <c r="N68" s="285">
        <f t="shared" si="52"/>
        <v>13.184082063489667</v>
      </c>
      <c r="O68" s="285">
        <f t="shared" si="52"/>
        <v>15.34649215435808</v>
      </c>
      <c r="P68" s="285">
        <f t="shared" si="52"/>
        <v>15.494460076957093</v>
      </c>
      <c r="Q68" s="285">
        <f t="shared" si="52"/>
        <v>15.643854677776648</v>
      </c>
      <c r="S68" s="131"/>
      <c r="T68" s="131"/>
      <c r="U68" s="131"/>
      <c r="V68" s="131"/>
      <c r="W68" s="131"/>
      <c r="X68" s="131"/>
      <c r="Y68" s="131"/>
      <c r="Z68" s="131"/>
      <c r="AJ68" s="279"/>
      <c r="AK68" s="279"/>
      <c r="AL68" s="279"/>
      <c r="AM68" s="279"/>
      <c r="AN68" s="279"/>
    </row>
    <row r="69" spans="1:40" x14ac:dyDescent="0.25">
      <c r="A69" s="280"/>
      <c r="B69" s="301"/>
      <c r="C69" s="251"/>
      <c r="D69" s="278" t="s">
        <v>929</v>
      </c>
      <c r="E69" s="183">
        <f>E68-$D$68</f>
        <v>129.22302422295292</v>
      </c>
      <c r="F69" s="183">
        <f>F68-$D$68</f>
        <v>178.76804714372724</v>
      </c>
      <c r="G69" s="183">
        <f>G68-$D$68</f>
        <v>229.24447316773313</v>
      </c>
      <c r="H69" s="183">
        <f>H68-$D$68</f>
        <v>232.6984396149557</v>
      </c>
      <c r="I69" s="183">
        <f>I68-$D$68</f>
        <v>236.18570854164932</v>
      </c>
      <c r="J69" s="280"/>
      <c r="K69" s="280"/>
      <c r="L69" s="493"/>
      <c r="M69" s="285">
        <f>M68-$L$68</f>
        <v>5.5359143577113041</v>
      </c>
      <c r="N69" s="285">
        <f t="shared" ref="N69:Q69" si="53">N68-$L$68</f>
        <v>7.6584231396372751</v>
      </c>
      <c r="O69" s="285">
        <f t="shared" si="53"/>
        <v>9.8208332305056878</v>
      </c>
      <c r="P69" s="285">
        <f t="shared" si="53"/>
        <v>9.9688011531047014</v>
      </c>
      <c r="Q69" s="285">
        <f t="shared" si="53"/>
        <v>10.118195753924256</v>
      </c>
      <c r="S69" s="131"/>
      <c r="T69" s="131"/>
      <c r="U69" s="131"/>
      <c r="V69" s="131"/>
      <c r="W69" s="131"/>
      <c r="X69" s="131"/>
      <c r="Y69" s="131"/>
      <c r="Z69" s="131"/>
      <c r="AJ69" s="279"/>
      <c r="AK69" s="279"/>
      <c r="AL69" s="279"/>
      <c r="AM69" s="279"/>
      <c r="AN69" s="279"/>
    </row>
    <row r="70" spans="1:40" x14ac:dyDescent="0.25">
      <c r="A70" s="280"/>
      <c r="B70" s="313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S70" s="131"/>
      <c r="T70" s="131"/>
      <c r="U70" s="131"/>
      <c r="V70" s="131"/>
      <c r="W70" s="131"/>
      <c r="X70" s="131"/>
      <c r="Y70" s="131"/>
      <c r="Z70" s="131"/>
      <c r="AJ70" s="279"/>
      <c r="AK70" s="279"/>
      <c r="AL70" s="279"/>
      <c r="AM70" s="279"/>
      <c r="AN70" s="279"/>
    </row>
    <row r="71" spans="1:40" x14ac:dyDescent="0.25">
      <c r="A71" s="280"/>
      <c r="B71" s="367" t="s">
        <v>930</v>
      </c>
      <c r="C71" s="366"/>
      <c r="D71" s="366"/>
      <c r="E71" s="366"/>
      <c r="F71" s="366"/>
      <c r="G71" s="366"/>
      <c r="H71" s="366"/>
      <c r="I71" s="211"/>
      <c r="J71" s="397"/>
      <c r="K71" s="212"/>
      <c r="L71" s="396"/>
      <c r="M71" s="396"/>
      <c r="N71" s="396"/>
      <c r="O71" s="396"/>
      <c r="P71" s="396"/>
      <c r="Q71" s="396"/>
      <c r="S71" s="131"/>
      <c r="T71" s="131"/>
      <c r="U71" s="131"/>
      <c r="V71" s="131"/>
      <c r="W71" s="131"/>
      <c r="X71" s="131"/>
      <c r="Y71" s="131"/>
      <c r="Z71" s="131"/>
      <c r="AJ71" s="279"/>
      <c r="AK71" s="279"/>
      <c r="AL71" s="279"/>
      <c r="AM71" s="279"/>
      <c r="AN71" s="279"/>
    </row>
    <row r="72" spans="1:40" ht="75" x14ac:dyDescent="0.25">
      <c r="A72" s="280"/>
      <c r="B72" s="275" t="s">
        <v>826</v>
      </c>
      <c r="C72" s="164" t="s">
        <v>777</v>
      </c>
      <c r="D72" s="817" t="s">
        <v>903</v>
      </c>
      <c r="E72" s="250" t="s">
        <v>715</v>
      </c>
      <c r="F72" s="250" t="s">
        <v>716</v>
      </c>
      <c r="G72" s="163" t="s">
        <v>866</v>
      </c>
      <c r="H72" s="163" t="s">
        <v>867</v>
      </c>
      <c r="I72" s="250" t="s">
        <v>868</v>
      </c>
      <c r="J72" s="280"/>
      <c r="K72" s="508" t="s">
        <v>915</v>
      </c>
      <c r="L72" s="817" t="s">
        <v>903</v>
      </c>
      <c r="M72" s="250" t="s">
        <v>715</v>
      </c>
      <c r="N72" s="250" t="s">
        <v>716</v>
      </c>
      <c r="O72" s="163" t="s">
        <v>866</v>
      </c>
      <c r="P72" s="163" t="s">
        <v>867</v>
      </c>
      <c r="Q72" s="250" t="s">
        <v>868</v>
      </c>
      <c r="S72" s="131"/>
      <c r="T72" s="131"/>
      <c r="U72" s="131"/>
      <c r="V72" s="131"/>
      <c r="W72" s="131"/>
      <c r="X72" s="131"/>
      <c r="Y72" s="131"/>
      <c r="Z72" s="131"/>
      <c r="AJ72" s="279"/>
      <c r="AK72" s="279"/>
      <c r="AL72" s="279"/>
      <c r="AM72" s="279"/>
      <c r="AN72" s="279"/>
    </row>
    <row r="73" spans="1:40" x14ac:dyDescent="0.25">
      <c r="A73" s="280"/>
      <c r="B73" s="328" t="s">
        <v>754</v>
      </c>
      <c r="C73" s="147">
        <f>'Inputs and eligible population'!F78</f>
        <v>1</v>
      </c>
      <c r="D73" s="126">
        <f>($C56*$C73*'Financial impact (cash)'!D13)/60</f>
        <v>0</v>
      </c>
      <c r="E73" s="126">
        <f>($C56*$C73*'Financial impact (cash)'!E13)/60</f>
        <v>43.833689974348538</v>
      </c>
      <c r="F73" s="126">
        <f>($C56*$C73*'Financial impact (cash)'!F13)/60</f>
        <v>59.008434631353012</v>
      </c>
      <c r="G73" s="126">
        <f>($C56*$C73*'Financial impact (cash)'!G13)/60</f>
        <v>74.471728246020433</v>
      </c>
      <c r="H73" s="126">
        <f>($C56*$C73*'Financial impact (cash)'!H13)/60</f>
        <v>75.189770311274586</v>
      </c>
      <c r="I73" s="126">
        <f>($C56*$C73*'Financial impact (cash)'!I13)/60</f>
        <v>75.914735599872941</v>
      </c>
      <c r="J73" s="280"/>
      <c r="K73" s="527">
        <f>'Inputs and eligible population'!K78</f>
        <v>42.84</v>
      </c>
      <c r="L73" s="284">
        <f>(D73*$K73)/1000</f>
        <v>0</v>
      </c>
      <c r="M73" s="284">
        <f t="shared" ref="M73:Q75" si="54">(E73*$K73)/1000</f>
        <v>1.8778352785010917</v>
      </c>
      <c r="N73" s="284">
        <f t="shared" si="54"/>
        <v>2.5279213396071634</v>
      </c>
      <c r="O73" s="284">
        <f t="shared" si="54"/>
        <v>3.1903688380595154</v>
      </c>
      <c r="P73" s="284">
        <f t="shared" si="54"/>
        <v>3.2211297601350033</v>
      </c>
      <c r="Q73" s="284">
        <f t="shared" si="54"/>
        <v>3.2521872730985568</v>
      </c>
      <c r="S73" s="131"/>
      <c r="T73" s="131"/>
      <c r="U73" s="131"/>
      <c r="V73" s="131"/>
      <c r="W73" s="131"/>
      <c r="X73" s="131"/>
      <c r="Y73" s="131"/>
      <c r="Z73" s="131"/>
      <c r="AJ73" s="279"/>
      <c r="AK73" s="279"/>
      <c r="AL73" s="279"/>
      <c r="AM73" s="279"/>
      <c r="AN73" s="279"/>
    </row>
    <row r="74" spans="1:40" x14ac:dyDescent="0.25">
      <c r="A74" s="280"/>
      <c r="B74" s="328" t="s">
        <v>1028</v>
      </c>
      <c r="C74" s="147">
        <f>'Inputs and eligible population'!G78</f>
        <v>1</v>
      </c>
      <c r="D74" s="126">
        <f>($C57*$C74*'Financial impact (cash)'!D14)/60</f>
        <v>32.245908752640005</v>
      </c>
      <c r="E74" s="126">
        <f>($C57*$C74*'Financial impact (cash)'!E14)/60</f>
        <v>20.717974834029693</v>
      </c>
      <c r="F74" s="126">
        <f>($C57*$C74*'Financial impact (cash)'!F14)/60</f>
        <v>17.929485907218801</v>
      </c>
      <c r="G74" s="126">
        <f>($C57*$C74*'Financial impact (cash)'!G14)/60</f>
        <v>15.085298798552859</v>
      </c>
      <c r="H74" s="126">
        <f>($C57*$C74*'Financial impact (cash)'!H14)/60</f>
        <v>15.230748345104342</v>
      </c>
      <c r="I74" s="126">
        <f>($C57*$C74*'Financial impact (cash)'!I14)/60</f>
        <v>15.377600288179393</v>
      </c>
      <c r="J74" s="280"/>
      <c r="K74" s="527">
        <f>'Inputs and eligible population'!K78</f>
        <v>42.84</v>
      </c>
      <c r="L74" s="284">
        <f t="shared" ref="L74:L75" si="55">(D74*$K74)/1000</f>
        <v>1.381414730963098</v>
      </c>
      <c r="M74" s="284">
        <f t="shared" si="54"/>
        <v>0.88755804188983212</v>
      </c>
      <c r="N74" s="284">
        <f t="shared" si="54"/>
        <v>0.76809917626525348</v>
      </c>
      <c r="O74" s="284">
        <f t="shared" si="54"/>
        <v>0.6462542005300046</v>
      </c>
      <c r="P74" s="284">
        <f t="shared" si="54"/>
        <v>0.65248525910427013</v>
      </c>
      <c r="Q74" s="284">
        <f t="shared" si="54"/>
        <v>0.65877639634560525</v>
      </c>
      <c r="S74" s="131"/>
      <c r="T74" s="131"/>
      <c r="U74" s="131"/>
      <c r="V74" s="131"/>
      <c r="W74" s="131"/>
      <c r="X74" s="131"/>
      <c r="Y74" s="131"/>
      <c r="Z74" s="131"/>
      <c r="AJ74" s="279"/>
      <c r="AK74" s="279"/>
      <c r="AL74" s="279"/>
      <c r="AM74" s="279"/>
      <c r="AN74" s="279"/>
    </row>
    <row r="75" spans="1:40" x14ac:dyDescent="0.25">
      <c r="A75" s="280"/>
      <c r="B75" s="328" t="s">
        <v>1029</v>
      </c>
      <c r="C75" s="147">
        <f>'Inputs and eligible population'!H78</f>
        <v>0</v>
      </c>
      <c r="D75" s="126">
        <f>($C58*$C75*'Financial impact (cash)'!D15)/60</f>
        <v>0</v>
      </c>
      <c r="E75" s="126">
        <f>($C58*$C75*'Financial impact (cash)'!E15)/60</f>
        <v>0</v>
      </c>
      <c r="F75" s="126">
        <f>($C58*$C75*'Financial impact (cash)'!F15)/60</f>
        <v>0</v>
      </c>
      <c r="G75" s="126">
        <f>($C58*$C75*'Financial impact (cash)'!G15)/60</f>
        <v>0</v>
      </c>
      <c r="H75" s="126">
        <f>($C58*$C75*'Financial impact (cash)'!H15)/60</f>
        <v>0</v>
      </c>
      <c r="I75" s="126">
        <f>($C58*$C75*'Financial impact (cash)'!I15)/60</f>
        <v>0</v>
      </c>
      <c r="J75" s="280"/>
      <c r="K75" s="527">
        <f>'Inputs and eligible population'!K78</f>
        <v>42.84</v>
      </c>
      <c r="L75" s="284">
        <f t="shared" si="55"/>
        <v>0</v>
      </c>
      <c r="M75" s="284">
        <f t="shared" si="54"/>
        <v>0</v>
      </c>
      <c r="N75" s="284">
        <f t="shared" si="54"/>
        <v>0</v>
      </c>
      <c r="O75" s="284">
        <f t="shared" si="54"/>
        <v>0</v>
      </c>
      <c r="P75" s="284">
        <f t="shared" si="54"/>
        <v>0</v>
      </c>
      <c r="Q75" s="284">
        <f t="shared" si="54"/>
        <v>0</v>
      </c>
      <c r="S75" s="131"/>
      <c r="T75" s="131"/>
      <c r="U75" s="131"/>
      <c r="V75" s="131"/>
      <c r="W75" s="131"/>
      <c r="X75" s="131"/>
      <c r="Y75" s="131"/>
      <c r="Z75" s="131"/>
      <c r="AJ75" s="279"/>
      <c r="AK75" s="279"/>
      <c r="AL75" s="279"/>
      <c r="AM75" s="279"/>
      <c r="AN75" s="279"/>
    </row>
    <row r="76" spans="1:40" x14ac:dyDescent="0.25">
      <c r="A76" s="280"/>
      <c r="B76" s="276"/>
      <c r="C76" s="276"/>
      <c r="D76" s="183">
        <f t="shared" ref="D76:I76" si="56">SUM(D73:D75)</f>
        <v>32.245908752640005</v>
      </c>
      <c r="E76" s="183">
        <f t="shared" si="56"/>
        <v>64.551664808378234</v>
      </c>
      <c r="F76" s="183">
        <f t="shared" si="56"/>
        <v>76.937920538571817</v>
      </c>
      <c r="G76" s="183">
        <f t="shared" si="56"/>
        <v>89.557027044573289</v>
      </c>
      <c r="H76" s="183">
        <f t="shared" si="56"/>
        <v>90.420518656378931</v>
      </c>
      <c r="I76" s="183">
        <f t="shared" si="56"/>
        <v>91.292335888052335</v>
      </c>
      <c r="J76" s="280"/>
      <c r="K76" s="280"/>
      <c r="L76" s="285">
        <f>SUM(L73:L75)</f>
        <v>1.381414730963098</v>
      </c>
      <c r="M76" s="285">
        <f t="shared" ref="M76:Q76" si="57">SUM(M73:M75)</f>
        <v>2.765393320390924</v>
      </c>
      <c r="N76" s="285">
        <f t="shared" si="57"/>
        <v>3.2960205158724167</v>
      </c>
      <c r="O76" s="285">
        <f t="shared" si="57"/>
        <v>3.8366230385895199</v>
      </c>
      <c r="P76" s="285">
        <f t="shared" si="57"/>
        <v>3.8736150192392733</v>
      </c>
      <c r="Q76" s="285">
        <f t="shared" si="57"/>
        <v>3.9109636694441621</v>
      </c>
      <c r="S76" s="131"/>
      <c r="T76" s="131"/>
      <c r="U76" s="131"/>
      <c r="V76" s="131"/>
      <c r="W76" s="131"/>
      <c r="X76" s="131"/>
      <c r="Y76" s="131"/>
      <c r="Z76" s="131"/>
      <c r="AJ76" s="279"/>
      <c r="AK76" s="279"/>
      <c r="AL76" s="279"/>
      <c r="AM76" s="279"/>
      <c r="AN76" s="279"/>
    </row>
    <row r="77" spans="1:40" x14ac:dyDescent="0.25">
      <c r="A77" s="280"/>
      <c r="B77" s="276"/>
      <c r="C77" s="276"/>
      <c r="D77" s="278" t="s">
        <v>931</v>
      </c>
      <c r="E77" s="183">
        <f>E76-$D$76</f>
        <v>32.305756055738229</v>
      </c>
      <c r="F77" s="183">
        <f>F76-$D$76</f>
        <v>44.692011785931811</v>
      </c>
      <c r="G77" s="183">
        <f>G76-$D$76</f>
        <v>57.311118291933283</v>
      </c>
      <c r="H77" s="183">
        <f>H76-$D$76</f>
        <v>58.174609903738926</v>
      </c>
      <c r="I77" s="183">
        <f>I76-$D$76</f>
        <v>59.04642713541233</v>
      </c>
      <c r="J77" s="280"/>
      <c r="K77" s="280"/>
      <c r="L77" s="493"/>
      <c r="M77" s="285">
        <f>M76-$L$76</f>
        <v>1.383978589427826</v>
      </c>
      <c r="N77" s="285">
        <f t="shared" ref="N77:Q77" si="58">N76-$L$76</f>
        <v>1.9146057849093188</v>
      </c>
      <c r="O77" s="285">
        <f t="shared" si="58"/>
        <v>2.4552083076264219</v>
      </c>
      <c r="P77" s="285">
        <f t="shared" si="58"/>
        <v>2.4922002882761753</v>
      </c>
      <c r="Q77" s="285">
        <f t="shared" si="58"/>
        <v>2.5295489384810641</v>
      </c>
      <c r="S77" s="131"/>
      <c r="T77" s="131"/>
      <c r="U77" s="131"/>
      <c r="V77" s="131"/>
      <c r="W77" s="131"/>
      <c r="X77" s="131"/>
      <c r="Y77" s="131"/>
      <c r="Z77" s="131"/>
      <c r="AJ77" s="279"/>
      <c r="AK77" s="279"/>
      <c r="AL77" s="279"/>
      <c r="AM77" s="279"/>
      <c r="AN77" s="279"/>
    </row>
    <row r="78" spans="1:40" x14ac:dyDescent="0.25">
      <c r="A78" s="280"/>
      <c r="B78" s="313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S78" s="131"/>
      <c r="T78" s="131"/>
      <c r="U78" s="131"/>
      <c r="V78" s="131"/>
      <c r="W78" s="131"/>
      <c r="X78" s="131"/>
      <c r="Y78" s="131"/>
      <c r="Z78" s="131"/>
      <c r="AJ78" s="279"/>
      <c r="AK78" s="279"/>
      <c r="AL78" s="279"/>
      <c r="AM78" s="279"/>
      <c r="AN78" s="279"/>
    </row>
    <row r="79" spans="1:40" x14ac:dyDescent="0.25">
      <c r="A79" s="280"/>
      <c r="B79" s="367" t="s">
        <v>895</v>
      </c>
      <c r="C79" s="366"/>
      <c r="D79" s="366"/>
      <c r="E79" s="366"/>
      <c r="F79" s="366"/>
      <c r="G79" s="366"/>
      <c r="H79" s="366"/>
      <c r="I79" s="211"/>
      <c r="J79" s="397"/>
      <c r="K79" s="212"/>
      <c r="L79" s="396"/>
      <c r="M79" s="396"/>
      <c r="N79" s="396"/>
      <c r="O79" s="396"/>
      <c r="P79" s="396"/>
      <c r="Q79" s="396"/>
      <c r="V79" s="131"/>
      <c r="AJ79" s="279"/>
      <c r="AK79" s="279"/>
      <c r="AL79" s="279"/>
      <c r="AM79" s="279"/>
      <c r="AN79" s="279"/>
    </row>
    <row r="80" spans="1:40" ht="60" x14ac:dyDescent="0.25">
      <c r="A80" s="280"/>
      <c r="B80" s="275" t="s">
        <v>826</v>
      </c>
      <c r="C80" s="164" t="s">
        <v>778</v>
      </c>
      <c r="D80" s="817" t="s">
        <v>903</v>
      </c>
      <c r="E80" s="250" t="s">
        <v>715</v>
      </c>
      <c r="F80" s="250" t="s">
        <v>716</v>
      </c>
      <c r="G80" s="163" t="s">
        <v>866</v>
      </c>
      <c r="H80" s="163" t="s">
        <v>867</v>
      </c>
      <c r="I80" s="250" t="s">
        <v>868</v>
      </c>
      <c r="J80" s="280"/>
      <c r="K80" s="508" t="s">
        <v>915</v>
      </c>
      <c r="L80" s="817" t="s">
        <v>903</v>
      </c>
      <c r="M80" s="250" t="s">
        <v>715</v>
      </c>
      <c r="N80" s="250" t="s">
        <v>716</v>
      </c>
      <c r="O80" s="163" t="s">
        <v>866</v>
      </c>
      <c r="P80" s="163" t="s">
        <v>867</v>
      </c>
      <c r="Q80" s="250" t="s">
        <v>868</v>
      </c>
      <c r="V80" s="131"/>
      <c r="AJ80" s="279"/>
      <c r="AK80" s="279"/>
      <c r="AL80" s="279"/>
      <c r="AM80" s="279"/>
      <c r="AN80" s="279"/>
    </row>
    <row r="81" spans="1:40" x14ac:dyDescent="0.25">
      <c r="A81" s="280"/>
      <c r="B81" s="328" t="s">
        <v>754</v>
      </c>
      <c r="C81" s="147">
        <f>'Inputs and eligible population'!F79</f>
        <v>0</v>
      </c>
      <c r="D81" s="126">
        <f>($C56*$C81*'Financial impact (cash)'!D13)/60</f>
        <v>0</v>
      </c>
      <c r="E81" s="126">
        <f>($C56*$C81*'Financial impact (cash)'!E13)/60</f>
        <v>0</v>
      </c>
      <c r="F81" s="126">
        <f>($C56*$C81*'Financial impact (cash)'!F13)/60</f>
        <v>0</v>
      </c>
      <c r="G81" s="126">
        <f>($C56*$C81*'Financial impact (cash)'!G13)/60</f>
        <v>0</v>
      </c>
      <c r="H81" s="126">
        <f>($C56*$C81*'Financial impact (cash)'!H13)/60</f>
        <v>0</v>
      </c>
      <c r="I81" s="126">
        <f>($C56*$C81*'Financial impact (cash)'!I13)/60</f>
        <v>0</v>
      </c>
      <c r="J81" s="280"/>
      <c r="K81" s="527">
        <f>'Inputs and eligible population'!K79</f>
        <v>42.84</v>
      </c>
      <c r="L81" s="284">
        <f>(D81*$K81)/1000</f>
        <v>0</v>
      </c>
      <c r="M81" s="284">
        <f t="shared" ref="M81:Q83" si="59">(E81*$K81)/1000</f>
        <v>0</v>
      </c>
      <c r="N81" s="284">
        <f t="shared" si="59"/>
        <v>0</v>
      </c>
      <c r="O81" s="284">
        <f t="shared" si="59"/>
        <v>0</v>
      </c>
      <c r="P81" s="284">
        <f t="shared" si="59"/>
        <v>0</v>
      </c>
      <c r="Q81" s="284">
        <f t="shared" si="59"/>
        <v>0</v>
      </c>
      <c r="V81" s="131"/>
      <c r="AJ81" s="279"/>
      <c r="AK81" s="279"/>
      <c r="AL81" s="279"/>
      <c r="AM81" s="279"/>
      <c r="AN81" s="279"/>
    </row>
    <row r="82" spans="1:40" x14ac:dyDescent="0.25">
      <c r="A82" s="280"/>
      <c r="B82" s="328" t="s">
        <v>1028</v>
      </c>
      <c r="C82" s="147">
        <f>'Inputs and eligible population'!G79</f>
        <v>0</v>
      </c>
      <c r="D82" s="126">
        <f>($C57*$C82*'Financial impact (cash)'!D14)/60</f>
        <v>0</v>
      </c>
      <c r="E82" s="126">
        <f>($C57*$C82*'Financial impact (cash)'!E14)/60</f>
        <v>0</v>
      </c>
      <c r="F82" s="126">
        <f>($C57*$C82*'Financial impact (cash)'!F14)/60</f>
        <v>0</v>
      </c>
      <c r="G82" s="126">
        <f>($C57*$C82*'Financial impact (cash)'!G14)/60</f>
        <v>0</v>
      </c>
      <c r="H82" s="126">
        <f>($C57*$C82*'Financial impact (cash)'!H14)/60</f>
        <v>0</v>
      </c>
      <c r="I82" s="126">
        <f>($C57*$C82*'Financial impact (cash)'!I14)/60</f>
        <v>0</v>
      </c>
      <c r="J82" s="280"/>
      <c r="K82" s="527">
        <f>'Inputs and eligible population'!K79</f>
        <v>42.84</v>
      </c>
      <c r="L82" s="284">
        <f t="shared" ref="L82:L83" si="60">(D82*$K82)/1000</f>
        <v>0</v>
      </c>
      <c r="M82" s="284">
        <f t="shared" si="59"/>
        <v>0</v>
      </c>
      <c r="N82" s="284">
        <f t="shared" si="59"/>
        <v>0</v>
      </c>
      <c r="O82" s="284">
        <f t="shared" si="59"/>
        <v>0</v>
      </c>
      <c r="P82" s="284">
        <f t="shared" si="59"/>
        <v>0</v>
      </c>
      <c r="Q82" s="284">
        <f t="shared" si="59"/>
        <v>0</v>
      </c>
      <c r="V82" s="131"/>
      <c r="AJ82" s="279"/>
      <c r="AK82" s="279"/>
      <c r="AL82" s="279"/>
      <c r="AM82" s="279"/>
      <c r="AN82" s="279"/>
    </row>
    <row r="83" spans="1:40" x14ac:dyDescent="0.25">
      <c r="A83" s="280"/>
      <c r="B83" s="328" t="s">
        <v>1029</v>
      </c>
      <c r="C83" s="147">
        <f>'Inputs and eligible population'!H79</f>
        <v>0</v>
      </c>
      <c r="D83" s="126">
        <f>($C58*$C83*'Financial impact (cash)'!D15)/60</f>
        <v>0</v>
      </c>
      <c r="E83" s="126">
        <f>($C58*$C83*'Financial impact (cash)'!E15)/60</f>
        <v>0</v>
      </c>
      <c r="F83" s="126">
        <f>($C58*$C83*'Financial impact (cash)'!F15)/60</f>
        <v>0</v>
      </c>
      <c r="G83" s="126">
        <f>($C58*$C83*'Financial impact (cash)'!G15)/60</f>
        <v>0</v>
      </c>
      <c r="H83" s="126">
        <f>($C58*$C83*'Financial impact (cash)'!H15)/60</f>
        <v>0</v>
      </c>
      <c r="I83" s="126">
        <f>($C58*$C83*'Financial impact (cash)'!I15)/60</f>
        <v>0</v>
      </c>
      <c r="J83" s="280"/>
      <c r="K83" s="527">
        <f>'Inputs and eligible population'!K79</f>
        <v>42.84</v>
      </c>
      <c r="L83" s="284">
        <f t="shared" si="60"/>
        <v>0</v>
      </c>
      <c r="M83" s="284">
        <f t="shared" si="59"/>
        <v>0</v>
      </c>
      <c r="N83" s="284">
        <f t="shared" si="59"/>
        <v>0</v>
      </c>
      <c r="O83" s="284">
        <f t="shared" si="59"/>
        <v>0</v>
      </c>
      <c r="P83" s="284">
        <f t="shared" si="59"/>
        <v>0</v>
      </c>
      <c r="Q83" s="284">
        <f t="shared" si="59"/>
        <v>0</v>
      </c>
      <c r="V83" s="131"/>
      <c r="AJ83" s="279"/>
      <c r="AK83" s="279"/>
      <c r="AL83" s="279"/>
      <c r="AM83" s="279"/>
      <c r="AN83" s="279"/>
    </row>
    <row r="84" spans="1:40" x14ac:dyDescent="0.25">
      <c r="A84" s="280"/>
      <c r="B84" s="276"/>
      <c r="C84" s="276"/>
      <c r="D84" s="183">
        <f t="shared" ref="D84:I84" si="61">SUM(D81:D83)</f>
        <v>0</v>
      </c>
      <c r="E84" s="183">
        <f t="shared" si="61"/>
        <v>0</v>
      </c>
      <c r="F84" s="183">
        <f t="shared" si="61"/>
        <v>0</v>
      </c>
      <c r="G84" s="183">
        <f t="shared" si="61"/>
        <v>0</v>
      </c>
      <c r="H84" s="183">
        <f t="shared" si="61"/>
        <v>0</v>
      </c>
      <c r="I84" s="183">
        <f t="shared" si="61"/>
        <v>0</v>
      </c>
      <c r="J84" s="280"/>
      <c r="K84" s="280"/>
      <c r="L84" s="285">
        <f>SUM(L81:L83)</f>
        <v>0</v>
      </c>
      <c r="M84" s="285">
        <f t="shared" ref="M84" si="62">SUM(M81:M83)</f>
        <v>0</v>
      </c>
      <c r="N84" s="285">
        <f t="shared" ref="N84" si="63">SUM(N81:N83)</f>
        <v>0</v>
      </c>
      <c r="O84" s="285">
        <f t="shared" ref="O84" si="64">SUM(O81:O83)</f>
        <v>0</v>
      </c>
      <c r="P84" s="285">
        <f t="shared" ref="P84" si="65">SUM(P81:P83)</f>
        <v>0</v>
      </c>
      <c r="Q84" s="285">
        <f t="shared" ref="Q84" si="66">SUM(Q81:Q83)</f>
        <v>0</v>
      </c>
      <c r="R84" s="131"/>
      <c r="S84" s="131"/>
      <c r="T84" s="131"/>
      <c r="U84" s="131"/>
      <c r="V84" s="131"/>
      <c r="W84" s="131"/>
      <c r="X84" s="131"/>
      <c r="Y84" s="131"/>
      <c r="Z84" s="131"/>
      <c r="AJ84" s="279"/>
      <c r="AK84" s="279"/>
      <c r="AL84" s="279"/>
      <c r="AM84" s="279"/>
      <c r="AN84" s="279"/>
    </row>
    <row r="85" spans="1:40" x14ac:dyDescent="0.25">
      <c r="A85" s="280"/>
      <c r="B85" s="301"/>
      <c r="C85" s="276"/>
      <c r="D85" s="278" t="s">
        <v>932</v>
      </c>
      <c r="E85" s="183">
        <f>E84-$D$84</f>
        <v>0</v>
      </c>
      <c r="F85" s="183">
        <f>F84-$D$84</f>
        <v>0</v>
      </c>
      <c r="G85" s="183">
        <f>G84-$D$84</f>
        <v>0</v>
      </c>
      <c r="H85" s="183">
        <f>H84-$D$84</f>
        <v>0</v>
      </c>
      <c r="I85" s="183">
        <f>I84-$D$84</f>
        <v>0</v>
      </c>
      <c r="J85" s="280"/>
      <c r="K85" s="280"/>
      <c r="L85" s="493"/>
      <c r="M85" s="285">
        <f>M84-$L$84</f>
        <v>0</v>
      </c>
      <c r="N85" s="285">
        <f t="shared" ref="N85:Q85" si="67">N84-$L$84</f>
        <v>0</v>
      </c>
      <c r="O85" s="285">
        <f t="shared" si="67"/>
        <v>0</v>
      </c>
      <c r="P85" s="285">
        <f t="shared" si="67"/>
        <v>0</v>
      </c>
      <c r="Q85" s="285">
        <f t="shared" si="67"/>
        <v>0</v>
      </c>
      <c r="R85" s="131"/>
      <c r="S85" s="131"/>
      <c r="T85" s="131"/>
      <c r="U85" s="131"/>
      <c r="V85" s="131"/>
      <c r="W85" s="131"/>
      <c r="X85" s="131"/>
      <c r="Y85" s="131"/>
      <c r="Z85" s="131"/>
      <c r="AJ85" s="279"/>
      <c r="AK85" s="279"/>
      <c r="AL85" s="279"/>
      <c r="AM85" s="279"/>
      <c r="AN85" s="279"/>
    </row>
    <row r="86" spans="1:40" x14ac:dyDescent="0.25">
      <c r="A86" s="280"/>
      <c r="B86" s="313"/>
      <c r="C86" s="212"/>
      <c r="D86" s="212"/>
      <c r="E86" s="212"/>
      <c r="F86" s="212"/>
      <c r="G86" s="212"/>
      <c r="H86" s="212"/>
      <c r="I86" s="212"/>
      <c r="J86" s="280"/>
      <c r="K86" s="280"/>
      <c r="L86" s="212"/>
      <c r="M86" s="212"/>
      <c r="N86" s="212"/>
      <c r="O86" s="212"/>
      <c r="P86" s="212"/>
      <c r="Q86" s="212"/>
      <c r="R86" s="131"/>
      <c r="S86" s="131"/>
      <c r="T86" s="131"/>
      <c r="U86" s="131"/>
      <c r="V86" s="131"/>
      <c r="W86" s="131"/>
      <c r="X86" s="131"/>
      <c r="Y86" s="131"/>
      <c r="Z86" s="131"/>
      <c r="AJ86" s="279"/>
      <c r="AK86" s="279"/>
      <c r="AL86" s="279"/>
      <c r="AM86" s="279"/>
      <c r="AN86" s="279"/>
    </row>
    <row r="87" spans="1:40" x14ac:dyDescent="0.25">
      <c r="A87" s="684"/>
      <c r="B87" s="691" t="s">
        <v>933</v>
      </c>
      <c r="C87" s="685"/>
      <c r="D87" s="686"/>
      <c r="E87" s="685"/>
      <c r="F87" s="687"/>
      <c r="G87" s="688"/>
      <c r="H87" s="688"/>
      <c r="I87" s="689"/>
      <c r="J87" s="684"/>
      <c r="K87" s="684"/>
      <c r="L87" s="684"/>
      <c r="M87" s="684"/>
      <c r="N87" s="684"/>
      <c r="O87" s="684"/>
      <c r="P87" s="684"/>
      <c r="Q87" s="684"/>
      <c r="R87" s="131"/>
      <c r="S87" s="131"/>
      <c r="T87" s="131"/>
      <c r="U87" s="131"/>
      <c r="V87" s="131"/>
      <c r="W87" s="131"/>
      <c r="X87" s="131"/>
      <c r="Y87" s="131"/>
      <c r="Z87" s="131"/>
      <c r="AJ87" s="279"/>
      <c r="AK87" s="279"/>
      <c r="AL87" s="279"/>
      <c r="AM87" s="279"/>
      <c r="AN87" s="279"/>
    </row>
    <row r="88" spans="1:40" x14ac:dyDescent="0.25">
      <c r="A88" s="282"/>
      <c r="B88" s="368" t="s">
        <v>934</v>
      </c>
      <c r="C88" s="369"/>
      <c r="D88" s="369"/>
      <c r="E88" s="369"/>
      <c r="F88" s="369"/>
      <c r="G88" s="369"/>
      <c r="H88" s="369"/>
      <c r="I88" s="215"/>
      <c r="J88" s="282"/>
      <c r="K88" s="282"/>
      <c r="L88" s="282"/>
      <c r="M88" s="282"/>
      <c r="N88" s="282"/>
      <c r="O88" s="282"/>
      <c r="P88" s="282"/>
      <c r="Q88" s="282"/>
      <c r="V88" s="131"/>
    </row>
    <row r="89" spans="1:40" ht="45" x14ac:dyDescent="0.25">
      <c r="A89" s="282"/>
      <c r="B89" s="272" t="s">
        <v>826</v>
      </c>
      <c r="C89" s="164" t="s">
        <v>935</v>
      </c>
      <c r="D89" s="817" t="s">
        <v>903</v>
      </c>
      <c r="E89" s="250" t="s">
        <v>715</v>
      </c>
      <c r="F89" s="250" t="s">
        <v>716</v>
      </c>
      <c r="G89" s="163" t="s">
        <v>866</v>
      </c>
      <c r="H89" s="163" t="s">
        <v>867</v>
      </c>
      <c r="I89" s="250" t="s">
        <v>868</v>
      </c>
      <c r="J89" s="282"/>
      <c r="K89" s="508" t="s">
        <v>915</v>
      </c>
      <c r="L89" s="817" t="s">
        <v>903</v>
      </c>
      <c r="M89" s="250" t="s">
        <v>715</v>
      </c>
      <c r="N89" s="250" t="s">
        <v>716</v>
      </c>
      <c r="O89" s="163" t="s">
        <v>866</v>
      </c>
      <c r="P89" s="163" t="s">
        <v>867</v>
      </c>
      <c r="Q89" s="250" t="s">
        <v>868</v>
      </c>
      <c r="V89" s="131"/>
    </row>
    <row r="90" spans="1:40" x14ac:dyDescent="0.25">
      <c r="A90" s="282"/>
      <c r="B90" s="328" t="s">
        <v>754</v>
      </c>
      <c r="C90" s="147">
        <f>'Inputs and eligible population'!F80</f>
        <v>10</v>
      </c>
      <c r="D90" s="126">
        <f>($C90*'Financial impact (cash)'!D13*'Inputs and eligible population'!$F47)/60</f>
        <v>0</v>
      </c>
      <c r="E90" s="126">
        <f>($C90*'Financial impact (cash)'!E13*'Inputs and eligible population'!$F47)/60</f>
        <v>438.33689974348533</v>
      </c>
      <c r="F90" s="126">
        <f>($C90*'Financial impact (cash)'!F13*'Inputs and eligible population'!$F47)/60</f>
        <v>590.08434631353009</v>
      </c>
      <c r="G90" s="126">
        <f>($C90*'Financial impact (cash)'!G13*'Inputs and eligible population'!$F47)/60</f>
        <v>744.71728246020439</v>
      </c>
      <c r="H90" s="126">
        <f>($C90*'Financial impact (cash)'!H13*'Inputs and eligible population'!$F47)/60</f>
        <v>751.89770311274594</v>
      </c>
      <c r="I90" s="126">
        <f>($C90*'Financial impact (cash)'!I13*'Inputs and eligible population'!$F47)/60</f>
        <v>759.14735599872938</v>
      </c>
      <c r="J90" s="282"/>
      <c r="K90" s="527">
        <f>'Inputs and eligible population'!K80</f>
        <v>47.51</v>
      </c>
      <c r="L90" s="284">
        <f>(D90*$K90)/1000</f>
        <v>0</v>
      </c>
      <c r="M90" s="284">
        <f t="shared" ref="M90:Q92" si="68">(E90*$K90)/1000</f>
        <v>20.825386106812989</v>
      </c>
      <c r="N90" s="284">
        <f t="shared" si="68"/>
        <v>28.034907293355811</v>
      </c>
      <c r="O90" s="284">
        <f t="shared" si="68"/>
        <v>35.381518089684306</v>
      </c>
      <c r="P90" s="284">
        <f t="shared" si="68"/>
        <v>35.72265987488656</v>
      </c>
      <c r="Q90" s="284">
        <f t="shared" si="68"/>
        <v>36.067090883499631</v>
      </c>
      <c r="V90" s="131"/>
    </row>
    <row r="91" spans="1:40" x14ac:dyDescent="0.25">
      <c r="A91" s="282"/>
      <c r="B91" s="328" t="s">
        <v>1028</v>
      </c>
      <c r="C91" s="147">
        <f>'Inputs and eligible population'!G80</f>
        <v>10</v>
      </c>
      <c r="D91" s="126">
        <f>($C91*'Financial impact (cash)'!D14*'Inputs and eligible population'!$F48)/60</f>
        <v>322.45908752640008</v>
      </c>
      <c r="E91" s="126">
        <f>($C91*'Financial impact (cash)'!E14*'Inputs and eligible population'!$F48)/60</f>
        <v>207.17974834029695</v>
      </c>
      <c r="F91" s="126">
        <f>($C91*'Financial impact (cash)'!F14*'Inputs and eligible population'!$F48)/60</f>
        <v>179.29485907218802</v>
      </c>
      <c r="G91" s="126">
        <f>($C91*'Financial impact (cash)'!G14*'Inputs and eligible population'!$F48)/60</f>
        <v>150.85298798552859</v>
      </c>
      <c r="H91" s="126">
        <f>($C91*'Financial impact (cash)'!H14*'Inputs and eligible population'!$F48)/60</f>
        <v>152.30748345104342</v>
      </c>
      <c r="I91" s="126">
        <f>($C91*'Financial impact (cash)'!I14*'Inputs and eligible population'!$F48)/60</f>
        <v>153.77600288179391</v>
      </c>
      <c r="J91" s="282"/>
      <c r="K91" s="527">
        <f>'Inputs and eligible population'!K80</f>
        <v>47.51</v>
      </c>
      <c r="L91" s="284">
        <f t="shared" ref="L91:L92" si="69">(D91*$K91)/1000</f>
        <v>15.320031248379268</v>
      </c>
      <c r="M91" s="284">
        <f t="shared" si="68"/>
        <v>9.8431098436475075</v>
      </c>
      <c r="N91" s="284">
        <f t="shared" si="68"/>
        <v>8.5182987545196518</v>
      </c>
      <c r="O91" s="284">
        <f t="shared" si="68"/>
        <v>7.1670254591924634</v>
      </c>
      <c r="P91" s="284">
        <f t="shared" si="68"/>
        <v>7.2361285387590728</v>
      </c>
      <c r="Q91" s="284">
        <f t="shared" si="68"/>
        <v>7.3058978969140291</v>
      </c>
      <c r="V91" s="131"/>
    </row>
    <row r="92" spans="1:40" x14ac:dyDescent="0.25">
      <c r="A92" s="282"/>
      <c r="B92" s="328" t="s">
        <v>1029</v>
      </c>
      <c r="C92" s="147">
        <f>'Inputs and eligible population'!H80</f>
        <v>5</v>
      </c>
      <c r="D92" s="126">
        <f>($C92*'Financial impact (cash)'!D15*'Inputs and eligible population'!$F49)/60</f>
        <v>455.85844536960008</v>
      </c>
      <c r="E92" s="126">
        <f>($C92*'Financial impact (cash)'!E15*'Inputs and eligible population'!$F49)/60</f>
        <v>330.43858596047357</v>
      </c>
      <c r="F92" s="126">
        <f>($C92*'Financial impact (cash)'!F15*'Inputs and eligible population'!$F49)/60</f>
        <v>285.96395244424917</v>
      </c>
      <c r="G92" s="126">
        <f>($C92*'Financial impact (cash)'!G15*'Inputs and eligible population'!$F49)/60</f>
        <v>240.60096817945066</v>
      </c>
      <c r="H92" s="126">
        <f>($C92*'Financial impact (cash)'!H15*'Inputs and eligible population'!$F49)/60</f>
        <v>242.92079639027176</v>
      </c>
      <c r="I92" s="126">
        <f>($C92*'Financial impact (cash)'!I15*'Inputs and eligible population'!$F49)/60</f>
        <v>245.26299193805104</v>
      </c>
      <c r="J92" s="282"/>
      <c r="K92" s="527">
        <f>'Inputs and eligible population'!K80</f>
        <v>47.51</v>
      </c>
      <c r="L92" s="284">
        <f t="shared" si="69"/>
        <v>21.657834739509696</v>
      </c>
      <c r="M92" s="284">
        <f t="shared" si="68"/>
        <v>15.6991372189821</v>
      </c>
      <c r="N92" s="284">
        <f t="shared" si="68"/>
        <v>13.586147380626278</v>
      </c>
      <c r="O92" s="284">
        <f t="shared" si="68"/>
        <v>11.430951998205702</v>
      </c>
      <c r="P92" s="284">
        <f t="shared" si="68"/>
        <v>11.541167036501811</v>
      </c>
      <c r="Q92" s="284">
        <f t="shared" si="68"/>
        <v>11.652444746976803</v>
      </c>
      <c r="V92" s="131"/>
    </row>
    <row r="93" spans="1:40" x14ac:dyDescent="0.25">
      <c r="A93" s="282"/>
      <c r="B93" s="276"/>
      <c r="C93" s="202"/>
      <c r="D93" s="183">
        <f t="shared" ref="D93:I93" si="70">SUM(D90:D92)</f>
        <v>778.3175328960001</v>
      </c>
      <c r="E93" s="183">
        <f t="shared" si="70"/>
        <v>975.9552340442558</v>
      </c>
      <c r="F93" s="183">
        <f t="shared" si="70"/>
        <v>1055.3431578299674</v>
      </c>
      <c r="G93" s="183">
        <f t="shared" si="70"/>
        <v>1136.1712386251836</v>
      </c>
      <c r="H93" s="183">
        <f t="shared" si="70"/>
        <v>1147.1259829540611</v>
      </c>
      <c r="I93" s="183">
        <f t="shared" si="70"/>
        <v>1158.1863508185743</v>
      </c>
      <c r="J93" s="282"/>
      <c r="K93" s="282"/>
      <c r="L93" s="285">
        <f>SUM(L90:L92)</f>
        <v>36.977865987888961</v>
      </c>
      <c r="M93" s="285">
        <f t="shared" ref="M93" si="71">SUM(M90:M92)</f>
        <v>46.367633169442598</v>
      </c>
      <c r="N93" s="285">
        <f t="shared" ref="N93" si="72">SUM(N90:N92)</f>
        <v>50.139353428501742</v>
      </c>
      <c r="O93" s="285">
        <f t="shared" ref="O93" si="73">SUM(O90:O92)</f>
        <v>53.979495547082472</v>
      </c>
      <c r="P93" s="285">
        <f t="shared" ref="P93" si="74">SUM(P90:P92)</f>
        <v>54.499955450147446</v>
      </c>
      <c r="Q93" s="285">
        <f t="shared" ref="Q93" si="75">SUM(Q90:Q92)</f>
        <v>55.025433527390469</v>
      </c>
      <c r="V93" s="131"/>
    </row>
    <row r="94" spans="1:40" x14ac:dyDescent="0.25">
      <c r="A94" s="282"/>
      <c r="B94" s="301"/>
      <c r="C94" s="218"/>
      <c r="D94" s="278" t="s">
        <v>897</v>
      </c>
      <c r="E94" s="183">
        <f>E93-$D$93</f>
        <v>197.6377011482557</v>
      </c>
      <c r="F94" s="183">
        <f>F93-$D$93</f>
        <v>277.02562493396726</v>
      </c>
      <c r="G94" s="183">
        <f>G93-$D$93</f>
        <v>357.8537057291835</v>
      </c>
      <c r="H94" s="183">
        <f>H93-$D$93</f>
        <v>368.808450058061</v>
      </c>
      <c r="I94" s="183">
        <f>I93-$D$93</f>
        <v>379.86881792257418</v>
      </c>
      <c r="J94" s="282"/>
      <c r="K94" s="282"/>
      <c r="L94" s="494"/>
      <c r="M94" s="285">
        <f>M93-$L$93</f>
        <v>9.389767181553637</v>
      </c>
      <c r="N94" s="285">
        <f t="shared" ref="N94:Q94" si="76">N93-$L$93</f>
        <v>13.161487440612781</v>
      </c>
      <c r="O94" s="285">
        <f t="shared" si="76"/>
        <v>17.00162955919351</v>
      </c>
      <c r="P94" s="285">
        <f t="shared" si="76"/>
        <v>17.522089462258485</v>
      </c>
      <c r="Q94" s="285">
        <f t="shared" si="76"/>
        <v>18.047567539501507</v>
      </c>
      <c r="V94" s="131"/>
    </row>
    <row r="95" spans="1:40" x14ac:dyDescent="0.25">
      <c r="A95" s="282"/>
      <c r="B95" s="314"/>
      <c r="C95" s="369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131"/>
      <c r="S95" s="131"/>
      <c r="T95" s="131"/>
      <c r="U95" s="131"/>
      <c r="V95" s="131"/>
      <c r="W95" s="131"/>
      <c r="X95" s="131"/>
      <c r="Y95" s="131"/>
      <c r="Z95" s="131"/>
      <c r="AJ95" s="279"/>
      <c r="AK95" s="279"/>
      <c r="AL95" s="279"/>
      <c r="AM95" s="279"/>
      <c r="AN95" s="279"/>
    </row>
    <row r="96" spans="1:40" x14ac:dyDescent="0.25">
      <c r="A96" s="283"/>
      <c r="B96" s="315" t="s">
        <v>788</v>
      </c>
      <c r="C96" s="303"/>
      <c r="D96" s="304"/>
      <c r="E96" s="305"/>
      <c r="F96" s="306"/>
      <c r="G96" s="306"/>
      <c r="H96" s="306"/>
      <c r="I96" s="398"/>
      <c r="J96" s="404"/>
      <c r="K96" s="283"/>
      <c r="L96" s="283"/>
      <c r="M96" s="283"/>
      <c r="N96" s="283"/>
      <c r="O96" s="283"/>
      <c r="P96" s="283"/>
      <c r="Q96" s="283"/>
      <c r="R96" s="131"/>
      <c r="S96" s="131"/>
      <c r="T96" s="131"/>
      <c r="U96" s="131"/>
      <c r="V96" s="131"/>
      <c r="W96" s="131"/>
      <c r="X96" s="131"/>
      <c r="Y96" s="131"/>
      <c r="Z96" s="131"/>
      <c r="AJ96" s="279"/>
      <c r="AK96" s="279"/>
      <c r="AL96" s="279"/>
      <c r="AM96" s="279"/>
      <c r="AN96" s="279"/>
    </row>
    <row r="97" spans="1:40" x14ac:dyDescent="0.25">
      <c r="A97" s="283"/>
      <c r="B97" s="372" t="s">
        <v>936</v>
      </c>
      <c r="C97" s="373"/>
      <c r="D97" s="373"/>
      <c r="E97" s="373"/>
      <c r="F97" s="373"/>
      <c r="G97" s="373"/>
      <c r="H97" s="373"/>
      <c r="I97" s="217"/>
      <c r="J97" s="402"/>
      <c r="K97" s="402"/>
      <c r="L97" s="403"/>
      <c r="M97" s="403"/>
      <c r="N97" s="403"/>
      <c r="O97" s="403"/>
      <c r="P97" s="403"/>
      <c r="Q97" s="403"/>
      <c r="R97" s="131"/>
      <c r="S97" s="131"/>
      <c r="T97" s="131"/>
      <c r="U97" s="131"/>
      <c r="V97" s="131"/>
      <c r="W97" s="131"/>
      <c r="X97" s="131"/>
      <c r="Y97" s="131"/>
      <c r="Z97" s="131"/>
      <c r="AJ97" s="279"/>
      <c r="AK97" s="279"/>
      <c r="AL97" s="279"/>
      <c r="AM97" s="279"/>
      <c r="AN97" s="279"/>
    </row>
    <row r="98" spans="1:40" ht="45" x14ac:dyDescent="0.25">
      <c r="A98" s="283"/>
      <c r="B98" s="272" t="s">
        <v>826</v>
      </c>
      <c r="C98" s="204"/>
      <c r="D98" s="817" t="s">
        <v>903</v>
      </c>
      <c r="E98" s="250" t="s">
        <v>715</v>
      </c>
      <c r="F98" s="250" t="s">
        <v>716</v>
      </c>
      <c r="G98" s="163" t="s">
        <v>866</v>
      </c>
      <c r="H98" s="163" t="s">
        <v>867</v>
      </c>
      <c r="I98" s="250" t="s">
        <v>868</v>
      </c>
      <c r="J98" s="283"/>
      <c r="K98" s="508" t="s">
        <v>937</v>
      </c>
      <c r="L98" s="817" t="s">
        <v>903</v>
      </c>
      <c r="M98" s="250" t="s">
        <v>715</v>
      </c>
      <c r="N98" s="250" t="s">
        <v>716</v>
      </c>
      <c r="O98" s="163" t="s">
        <v>866</v>
      </c>
      <c r="P98" s="163" t="s">
        <v>867</v>
      </c>
      <c r="Q98" s="250" t="s">
        <v>868</v>
      </c>
      <c r="R98" s="131"/>
      <c r="S98" s="131"/>
      <c r="T98" s="131"/>
      <c r="U98" s="131"/>
      <c r="V98" s="131"/>
      <c r="W98" s="131"/>
      <c r="X98" s="131"/>
      <c r="Y98" s="131"/>
      <c r="Z98" s="131"/>
      <c r="AJ98" s="279"/>
      <c r="AK98" s="279"/>
      <c r="AL98" s="279"/>
      <c r="AM98" s="279"/>
      <c r="AN98" s="279"/>
    </row>
    <row r="99" spans="1:40" x14ac:dyDescent="0.25">
      <c r="A99" s="283"/>
      <c r="B99" s="244" t="s">
        <v>857</v>
      </c>
      <c r="C99" s="166"/>
      <c r="D99" s="126">
        <f>('Unit costs'!$C42*'Financial impact (cash)'!D$13)+('Unit costs'!$D42*'Financial impact (cash)'!D$14)+('Unit costs'!$E42*'Financial impact (cash)'!D$15)</f>
        <v>44.906788000512009</v>
      </c>
      <c r="E99" s="126">
        <f>('Unit costs'!$C42*'Financial impact (cash)'!E$13)+('Unit costs'!$D42*'Financial impact (cash)'!E$14)+('Unit costs'!$E42*'Financial impact (cash)'!E$15)</f>
        <v>62.356233840432225</v>
      </c>
      <c r="F99" s="126">
        <f>('Unit costs'!$C42*'Financial impact (cash)'!F$13)+('Unit costs'!$D42*'Financial impact (cash)'!F$14)+('Unit costs'!$E42*'Financial impact (cash)'!F$15)</f>
        <v>69.039868518683022</v>
      </c>
      <c r="G99" s="126">
        <f>('Unit costs'!$C42*'Financial impact (cash)'!G$13)+('Unit costs'!$D42*'Financial impact (cash)'!G$14)+('Unit costs'!$E42*'Financial impact (cash)'!G$15)</f>
        <v>75.846590921331583</v>
      </c>
      <c r="H99" s="126">
        <f>('Unit costs'!$C42*'Financial impact (cash)'!H$13)+('Unit costs'!$D42*'Financial impact (cash)'!H$14)+('Unit costs'!$E42*'Financial impact (cash)'!H$15)</f>
        <v>76.577889147790444</v>
      </c>
      <c r="I99" s="126">
        <f>('Unit costs'!$C42*'Financial impact (cash)'!I$13)+('Unit costs'!$D42*'Financial impact (cash)'!I$14)+('Unit costs'!$E42*'Financial impact (cash)'!I$15)</f>
        <v>77.31623841094752</v>
      </c>
      <c r="J99" s="283"/>
      <c r="K99" s="527">
        <f>'Unit costs'!L42</f>
        <v>131.352</v>
      </c>
      <c r="L99" s="284">
        <f>(D99*$K99)/1000</f>
        <v>5.8985964174432537</v>
      </c>
      <c r="M99" s="284">
        <f t="shared" ref="M99:Q104" si="77">(E99*$K99)/1000</f>
        <v>8.1906160274084545</v>
      </c>
      <c r="N99" s="284">
        <f t="shared" si="77"/>
        <v>9.0685248096660533</v>
      </c>
      <c r="O99" s="284">
        <f t="shared" si="77"/>
        <v>9.9626014106987455</v>
      </c>
      <c r="P99" s="284">
        <f t="shared" si="77"/>
        <v>10.058658895340569</v>
      </c>
      <c r="Q99" s="284">
        <f t="shared" si="77"/>
        <v>10.155642547754779</v>
      </c>
      <c r="R99" s="131"/>
      <c r="S99" s="131"/>
      <c r="T99" s="131"/>
      <c r="U99" s="131"/>
      <c r="V99" s="131"/>
      <c r="W99" s="131"/>
      <c r="X99" s="131"/>
      <c r="Y99" s="131"/>
      <c r="Z99" s="131"/>
      <c r="AJ99" s="279"/>
      <c r="AK99" s="279"/>
      <c r="AL99" s="279"/>
      <c r="AM99" s="279"/>
      <c r="AN99" s="279"/>
    </row>
    <row r="100" spans="1:40" x14ac:dyDescent="0.25">
      <c r="A100" s="283"/>
      <c r="B100" s="244" t="s">
        <v>858</v>
      </c>
      <c r="C100" s="166"/>
      <c r="D100" s="126">
        <f>('Unit costs'!$C43*'Financial impact (cash)'!D$13)+('Unit costs'!$D43*'Financial impact (cash)'!D$14)+('Unit costs'!$E43*'Financial impact (cash)'!D$15)</f>
        <v>40.520750699520008</v>
      </c>
      <c r="E100" s="126">
        <f>('Unit costs'!$C43*'Financial impact (cash)'!E$13)+('Unit costs'!$D43*'Financial impact (cash)'!E$14)+('Unit costs'!$E43*'Financial impact (cash)'!E$15)</f>
        <v>76.989942647253201</v>
      </c>
      <c r="F100" s="126">
        <f>('Unit costs'!$C43*'Financial impact (cash)'!F$13)+('Unit costs'!$D43*'Financial impact (cash)'!F$14)+('Unit costs'!$E43*'Financial impact (cash)'!F$15)</f>
        <v>90.782207125158479</v>
      </c>
      <c r="G100" s="126">
        <f>('Unit costs'!$C43*'Financial impact (cash)'!G$13)+('Unit costs'!$D43*'Financial impact (cash)'!G$14)+('Unit costs'!$E43*'Financial impact (cash)'!G$15)</f>
        <v>104.83327899247492</v>
      </c>
      <c r="H100" s="126">
        <f>('Unit costs'!$C43*'Financial impact (cash)'!H$13)+('Unit costs'!$D43*'Financial impact (cash)'!H$14)+('Unit costs'!$E43*'Financial impact (cash)'!H$15)</f>
        <v>105.8440612843327</v>
      </c>
      <c r="I100" s="126">
        <f>('Unit costs'!$C43*'Financial impact (cash)'!I$13)+('Unit costs'!$D43*'Financial impact (cash)'!I$14)+('Unit costs'!$E43*'Financial impact (cash)'!I$15)</f>
        <v>106.86458934443652</v>
      </c>
      <c r="J100" s="283"/>
      <c r="K100" s="527">
        <f>'Unit costs'!L43</f>
        <v>131.352</v>
      </c>
      <c r="L100" s="284">
        <f t="shared" ref="L100:L104" si="78">(D100*$K100)/1000</f>
        <v>5.3224816458833519</v>
      </c>
      <c r="M100" s="284">
        <f t="shared" si="77"/>
        <v>10.112782946602003</v>
      </c>
      <c r="N100" s="284">
        <f t="shared" si="77"/>
        <v>11.924424470303817</v>
      </c>
      <c r="O100" s="284">
        <f t="shared" si="77"/>
        <v>13.770060862219564</v>
      </c>
      <c r="P100" s="284">
        <f t="shared" si="77"/>
        <v>13.902829137819667</v>
      </c>
      <c r="Q100" s="284">
        <f t="shared" si="77"/>
        <v>14.036877539570426</v>
      </c>
      <c r="R100" s="131"/>
      <c r="S100" s="131"/>
      <c r="T100" s="131"/>
      <c r="U100" s="131"/>
      <c r="V100" s="131"/>
      <c r="W100" s="131"/>
      <c r="X100" s="131"/>
      <c r="Y100" s="131"/>
      <c r="Z100" s="131"/>
      <c r="AJ100" s="279"/>
      <c r="AK100" s="279"/>
      <c r="AL100" s="279"/>
      <c r="AM100" s="279"/>
      <c r="AN100" s="279"/>
    </row>
    <row r="101" spans="1:40" x14ac:dyDescent="0.25">
      <c r="A101" s="283"/>
      <c r="B101" s="244" t="s">
        <v>859</v>
      </c>
      <c r="C101" s="166"/>
      <c r="D101" s="126">
        <f>('Unit costs'!$C44*'Financial impact (cash)'!D$13)+('Unit costs'!$D44*'Financial impact (cash)'!D$14)+('Unit costs'!$E44*'Financial impact (cash)'!D$15)</f>
        <v>40.520750699520008</v>
      </c>
      <c r="E101" s="126">
        <f>('Unit costs'!$C44*'Financial impact (cash)'!E$13)+('Unit costs'!$D44*'Financial impact (cash)'!E$14)+('Unit costs'!$E44*'Financial impact (cash)'!E$15)</f>
        <v>33.493434903476576</v>
      </c>
      <c r="F101" s="126">
        <f>('Unit costs'!$C44*'Financial impact (cash)'!F$13)+('Unit costs'!$D44*'Financial impact (cash)'!F$14)+('Unit costs'!$E44*'Financial impact (cash)'!F$15)</f>
        <v>32.22768352943126</v>
      </c>
      <c r="G101" s="126">
        <f>('Unit costs'!$C44*'Financial impact (cash)'!G$13)+('Unit costs'!$D44*'Financial impact (cash)'!G$14)+('Unit costs'!$E44*'Financial impact (cash)'!G$15)</f>
        <v>30.934410194500796</v>
      </c>
      <c r="H101" s="126">
        <f>('Unit costs'!$C44*'Financial impact (cash)'!H$13)+('Unit costs'!$D44*'Financial impact (cash)'!H$14)+('Unit costs'!$E44*'Financial impact (cash)'!H$15)</f>
        <v>31.232673821606372</v>
      </c>
      <c r="I101" s="126">
        <f>('Unit costs'!$C44*'Financial impact (cash)'!I$13)+('Unit costs'!$D44*'Financial impact (cash)'!I$14)+('Unit costs'!$E44*'Financial impact (cash)'!I$15)</f>
        <v>31.533813249177992</v>
      </c>
      <c r="J101" s="283"/>
      <c r="K101" s="527">
        <f>'Unit costs'!L44</f>
        <v>131.20000000000002</v>
      </c>
      <c r="L101" s="284">
        <f t="shared" si="78"/>
        <v>5.3163224917770258</v>
      </c>
      <c r="M101" s="284">
        <f t="shared" si="77"/>
        <v>4.3943386593361273</v>
      </c>
      <c r="N101" s="284">
        <f t="shared" si="77"/>
        <v>4.2282720790613819</v>
      </c>
      <c r="O101" s="284">
        <f t="shared" si="77"/>
        <v>4.058594617518505</v>
      </c>
      <c r="P101" s="284">
        <f t="shared" si="77"/>
        <v>4.097726805394756</v>
      </c>
      <c r="Q101" s="284">
        <f t="shared" si="77"/>
        <v>4.1372362982921533</v>
      </c>
      <c r="R101" s="131"/>
      <c r="S101" s="131"/>
      <c r="T101" s="131"/>
      <c r="U101" s="131"/>
      <c r="V101" s="131"/>
      <c r="W101" s="131"/>
      <c r="X101" s="131"/>
      <c r="Y101" s="131"/>
      <c r="Z101" s="131"/>
      <c r="AJ101" s="279"/>
      <c r="AK101" s="279"/>
      <c r="AL101" s="279"/>
      <c r="AM101" s="279"/>
      <c r="AN101" s="279"/>
    </row>
    <row r="102" spans="1:40" x14ac:dyDescent="0.25">
      <c r="A102" s="283"/>
      <c r="B102" s="244" t="s">
        <v>860</v>
      </c>
      <c r="C102" s="166"/>
      <c r="D102" s="126">
        <f>('Unit costs'!$C45*'Financial impact (cash)'!D$13)+('Unit costs'!$D45*'Financial impact (cash)'!D$14)+('Unit costs'!$E45*'Financial impact (cash)'!D$15)</f>
        <v>141.978476489472</v>
      </c>
      <c r="E102" s="126">
        <f>('Unit costs'!$C45*'Financial impact (cash)'!E$13)+('Unit costs'!$D45*'Financial impact (cash)'!E$14)+('Unit costs'!$E45*'Financial impact (cash)'!E$15)</f>
        <v>104.95358896935042</v>
      </c>
      <c r="F102" s="126">
        <f>('Unit costs'!$C45*'Financial impact (cash)'!F$13)+('Unit costs'!$D45*'Financial impact (cash)'!F$14)+('Unit costs'!$E45*'Financial impact (cash)'!F$15)</f>
        <v>95.366708584978966</v>
      </c>
      <c r="G102" s="126">
        <f>('Unit costs'!$C45*'Financial impact (cash)'!G$13)+('Unit costs'!$D45*'Financial impact (cash)'!G$14)+('Unit costs'!$E45*'Financial impact (cash)'!G$15)</f>
        <v>85.585201538118866</v>
      </c>
      <c r="H102" s="126">
        <f>('Unit costs'!$C45*'Financial impact (cash)'!H$13)+('Unit costs'!$D45*'Financial impact (cash)'!H$14)+('Unit costs'!$E45*'Financial impact (cash)'!H$15)</f>
        <v>86.410397573110956</v>
      </c>
      <c r="I102" s="126">
        <f>('Unit costs'!$C45*'Financial impact (cash)'!I$13)+('Unit costs'!$D45*'Financial impact (cash)'!I$14)+('Unit costs'!$E45*'Financial impact (cash)'!I$15)</f>
        <v>87.243549989392449</v>
      </c>
      <c r="J102" s="283"/>
      <c r="K102" s="527">
        <f>'Unit costs'!L45</f>
        <v>1226.28</v>
      </c>
      <c r="L102" s="284">
        <f t="shared" si="78"/>
        <v>174.10536614950973</v>
      </c>
      <c r="M102" s="284">
        <f t="shared" si="77"/>
        <v>128.70248708133502</v>
      </c>
      <c r="N102" s="284">
        <f t="shared" si="77"/>
        <v>116.946287403588</v>
      </c>
      <c r="O102" s="284">
        <f t="shared" si="77"/>
        <v>104.9514209421644</v>
      </c>
      <c r="P102" s="284">
        <f t="shared" si="77"/>
        <v>105.96334233595449</v>
      </c>
      <c r="Q102" s="284">
        <f t="shared" si="77"/>
        <v>106.98502048099218</v>
      </c>
      <c r="R102" s="131"/>
      <c r="S102" s="131"/>
      <c r="T102" s="131"/>
      <c r="U102" s="131"/>
      <c r="V102" s="131"/>
      <c r="W102" s="131"/>
      <c r="X102" s="131"/>
      <c r="Y102" s="131"/>
      <c r="Z102" s="131"/>
      <c r="AJ102" s="279"/>
      <c r="AK102" s="279"/>
      <c r="AL102" s="279"/>
      <c r="AM102" s="279"/>
      <c r="AN102" s="279"/>
    </row>
    <row r="103" spans="1:40" x14ac:dyDescent="0.25">
      <c r="A103" s="283"/>
      <c r="B103" s="244" t="s">
        <v>861</v>
      </c>
      <c r="C103" s="166"/>
      <c r="D103" s="126">
        <f>('Unit costs'!$C46*'Financial impact (cash)'!D$13)+('Unit costs'!$D46*'Financial impact (cash)'!D$14)+('Unit costs'!$E46*'Financial impact (cash)'!D$15)</f>
        <v>76.81131313920001</v>
      </c>
      <c r="E103" s="126">
        <f>('Unit costs'!$C46*'Financial impact (cash)'!E$13)+('Unit costs'!$D46*'Financial impact (cash)'!E$14)+('Unit costs'!$E46*'Financial impact (cash)'!E$15)</f>
        <v>61.816742271517171</v>
      </c>
      <c r="F103" s="126">
        <f>('Unit costs'!$C46*'Financial impact (cash)'!F$13)+('Unit costs'!$D46*'Financial impact (cash)'!F$14)+('Unit costs'!$E46*'Financial impact (cash)'!F$15)</f>
        <v>56.738879453224044</v>
      </c>
      <c r="G103" s="126">
        <f>('Unit costs'!$C46*'Financial impact (cash)'!G$13)+('Unit costs'!$D46*'Financial impact (cash)'!G$14)+('Unit costs'!$E46*'Financial impact (cash)'!G$15)</f>
        <v>51.557350324167999</v>
      </c>
      <c r="H103" s="126">
        <f>('Unit costs'!$C46*'Financial impact (cash)'!H$13)+('Unit costs'!$D46*'Financial impact (cash)'!H$14)+('Unit costs'!$E46*'Financial impact (cash)'!H$15)</f>
        <v>52.054456369343953</v>
      </c>
      <c r="I103" s="126">
        <f>('Unit costs'!$C46*'Financial impact (cash)'!I$13)+('Unit costs'!$D46*'Financial impact (cash)'!I$14)+('Unit costs'!$E46*'Financial impact (cash)'!I$15)</f>
        <v>52.55635541529665</v>
      </c>
      <c r="J103" s="283"/>
      <c r="K103" s="527">
        <f>'Unit costs'!L46</f>
        <v>1018.7120000000001</v>
      </c>
      <c r="L103" s="284">
        <f t="shared" si="78"/>
        <v>78.248606430660729</v>
      </c>
      <c r="M103" s="284">
        <f t="shared" si="77"/>
        <v>62.973457152901808</v>
      </c>
      <c r="N103" s="284">
        <f t="shared" si="77"/>
        <v>57.800577365552783</v>
      </c>
      <c r="O103" s="284">
        <f t="shared" si="77"/>
        <v>52.522091463433831</v>
      </c>
      <c r="P103" s="284">
        <f t="shared" si="77"/>
        <v>53.028499356927128</v>
      </c>
      <c r="Q103" s="284">
        <f t="shared" si="77"/>
        <v>53.539789937827685</v>
      </c>
      <c r="R103" s="131"/>
      <c r="S103" s="131"/>
      <c r="T103" s="131"/>
      <c r="U103" s="131"/>
      <c r="V103" s="131"/>
      <c r="W103" s="131"/>
      <c r="X103" s="131"/>
      <c r="Y103" s="131"/>
      <c r="Z103" s="131"/>
      <c r="AJ103" s="279"/>
      <c r="AK103" s="279"/>
      <c r="AL103" s="279"/>
      <c r="AM103" s="279"/>
      <c r="AN103" s="279"/>
    </row>
    <row r="104" spans="1:40" x14ac:dyDescent="0.25">
      <c r="A104" s="283"/>
      <c r="B104" s="244" t="s">
        <v>862</v>
      </c>
      <c r="C104" s="166"/>
      <c r="D104" s="126">
        <f>('Unit costs'!$C47*'Financial impact (cash)'!D$13)+('Unit costs'!$D47*'Financial impact (cash)'!D$14)+('Unit costs'!$E47*'Financial impact (cash)'!D$15)</f>
        <v>69.464144056320009</v>
      </c>
      <c r="E104" s="126">
        <f>('Unit costs'!$C47*'Financial impact (cash)'!E$13)+('Unit costs'!$D47*'Financial impact (cash)'!E$14)+('Unit costs'!$E47*'Financial impact (cash)'!E$15)</f>
        <v>57.096191043510402</v>
      </c>
      <c r="F104" s="126">
        <f>('Unit costs'!$C47*'Financial impact (cash)'!F$13)+('Unit costs'!$D47*'Financial impact (cash)'!F$14)+('Unit costs'!$E47*'Financial impact (cash)'!F$15)</f>
        <v>52.653680132591916</v>
      </c>
      <c r="G104" s="126">
        <f>('Unit costs'!$C47*'Financial impact (cash)'!G$13)+('Unit costs'!$D47*'Financial impact (cash)'!G$14)+('Unit costs'!$E47*'Financial impact (cash)'!G$15)</f>
        <v>48.120193635890132</v>
      </c>
      <c r="H104" s="126">
        <f>('Unit costs'!$C47*'Financial impact (cash)'!H$13)+('Unit costs'!$D47*'Financial impact (cash)'!H$14)+('Unit costs'!$E47*'Financial impact (cash)'!H$15)</f>
        <v>48.584159278054358</v>
      </c>
      <c r="I104" s="126">
        <f>('Unit costs'!$C47*'Financial impact (cash)'!I$13)+('Unit costs'!$D47*'Financial impact (cash)'!I$14)+('Unit costs'!$E47*'Financial impact (cash)'!I$15)</f>
        <v>49.05259838761021</v>
      </c>
      <c r="J104" s="283"/>
      <c r="K104" s="527">
        <f>'Unit costs'!L47</f>
        <v>555.96800000000007</v>
      </c>
      <c r="L104" s="284">
        <f t="shared" si="78"/>
        <v>38.619841242704126</v>
      </c>
      <c r="M104" s="284">
        <f t="shared" si="77"/>
        <v>31.743655142078396</v>
      </c>
      <c r="N104" s="284">
        <f t="shared" si="77"/>
        <v>29.273761235956865</v>
      </c>
      <c r="O104" s="284">
        <f t="shared" si="77"/>
        <v>26.753287815358568</v>
      </c>
      <c r="P104" s="284">
        <f t="shared" si="77"/>
        <v>27.011237865501329</v>
      </c>
      <c r="Q104" s="284">
        <f t="shared" si="77"/>
        <v>27.271675020362878</v>
      </c>
      <c r="R104" s="131"/>
      <c r="S104" s="131"/>
      <c r="T104" s="131"/>
      <c r="U104" s="131"/>
      <c r="V104" s="131"/>
      <c r="W104" s="131"/>
      <c r="X104" s="131"/>
      <c r="Y104" s="131"/>
      <c r="Z104" s="131"/>
      <c r="AJ104" s="279"/>
      <c r="AK104" s="279"/>
      <c r="AL104" s="279"/>
      <c r="AM104" s="279"/>
      <c r="AN104" s="279"/>
    </row>
    <row r="105" spans="1:40" x14ac:dyDescent="0.25">
      <c r="A105" s="283"/>
      <c r="B105" s="273"/>
      <c r="C105" s="204"/>
      <c r="D105" s="183">
        <f t="shared" ref="D105:I105" si="79">SUM(D99:D104)</f>
        <v>414.20222308454402</v>
      </c>
      <c r="E105" s="183">
        <f t="shared" si="79"/>
        <v>396.70613367553995</v>
      </c>
      <c r="F105" s="183">
        <f t="shared" si="79"/>
        <v>396.80902734406777</v>
      </c>
      <c r="G105" s="183">
        <f t="shared" si="79"/>
        <v>396.87702560648432</v>
      </c>
      <c r="H105" s="183">
        <f t="shared" si="79"/>
        <v>400.70363747423875</v>
      </c>
      <c r="I105" s="183">
        <f t="shared" si="79"/>
        <v>404.56714479686133</v>
      </c>
      <c r="J105" s="283"/>
      <c r="K105" s="283"/>
      <c r="L105" s="285">
        <f t="shared" ref="L105:Q105" si="80">SUM(L99:L104)</f>
        <v>307.51121437797821</v>
      </c>
      <c r="M105" s="285">
        <f t="shared" si="80"/>
        <v>246.11733700966181</v>
      </c>
      <c r="N105" s="285">
        <f t="shared" si="80"/>
        <v>229.24184736412892</v>
      </c>
      <c r="O105" s="285">
        <f t="shared" si="80"/>
        <v>212.01805711139363</v>
      </c>
      <c r="P105" s="285">
        <f t="shared" si="80"/>
        <v>214.06229439693792</v>
      </c>
      <c r="Q105" s="285">
        <f t="shared" si="80"/>
        <v>216.1262418248001</v>
      </c>
      <c r="R105" s="131"/>
      <c r="S105" s="131"/>
      <c r="T105" s="131"/>
      <c r="U105" s="131"/>
      <c r="V105" s="131"/>
      <c r="W105" s="131"/>
      <c r="X105" s="131"/>
      <c r="Y105" s="131"/>
      <c r="Z105" s="131"/>
      <c r="AJ105" s="279"/>
      <c r="AK105" s="279"/>
      <c r="AL105" s="279"/>
      <c r="AM105" s="279"/>
      <c r="AN105" s="279"/>
    </row>
    <row r="106" spans="1:40" x14ac:dyDescent="0.25">
      <c r="A106" s="283"/>
      <c r="B106" s="301"/>
      <c r="C106" s="204"/>
      <c r="D106" s="278" t="s">
        <v>938</v>
      </c>
      <c r="E106" s="183">
        <f>E105-$D$105</f>
        <v>-17.496089409004071</v>
      </c>
      <c r="F106" s="183">
        <f>F105-$D$105</f>
        <v>-17.393195740476244</v>
      </c>
      <c r="G106" s="183">
        <f>G105-$D$105</f>
        <v>-17.325197478059692</v>
      </c>
      <c r="H106" s="183">
        <f>H105-$D$105</f>
        <v>-13.49858561030527</v>
      </c>
      <c r="I106" s="183">
        <f>I105-$D$105</f>
        <v>-9.6350782876826884</v>
      </c>
      <c r="J106" s="283"/>
      <c r="K106" s="283"/>
      <c r="L106" s="495"/>
      <c r="M106" s="285">
        <f>M105-$L$105</f>
        <v>-61.393877368316396</v>
      </c>
      <c r="N106" s="285">
        <f t="shared" ref="N106:Q106" si="81">N105-$L$105</f>
        <v>-78.269367013849291</v>
      </c>
      <c r="O106" s="285">
        <f t="shared" si="81"/>
        <v>-95.493157266584575</v>
      </c>
      <c r="P106" s="285">
        <f t="shared" si="81"/>
        <v>-93.448919981040291</v>
      </c>
      <c r="Q106" s="285">
        <f t="shared" si="81"/>
        <v>-91.384972553178102</v>
      </c>
    </row>
    <row r="107" spans="1:40" x14ac:dyDescent="0.25">
      <c r="A107" s="283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</row>
    <row r="108" spans="1:40" x14ac:dyDescent="0.25">
      <c r="B108"/>
    </row>
    <row r="109" spans="1:40" x14ac:dyDescent="0.25">
      <c r="B109"/>
    </row>
    <row r="110" spans="1:40" x14ac:dyDescent="0.25">
      <c r="B110"/>
    </row>
    <row r="111" spans="1:40" x14ac:dyDescent="0.25">
      <c r="B111"/>
    </row>
    <row r="112" spans="1:40" x14ac:dyDescent="0.25">
      <c r="B112"/>
    </row>
  </sheetData>
  <sheetProtection algorithmName="SHA-512" hashValue="2DVsQHi+n+vhnrAMiozUh/h4ipLf2nTardGuOGrR+8I8a+bpaAJvIdVjGs1alikE9ZMaotmmexECrOMF6e+/cw==" saltValue="HIg7468FzjwpKj0hRajs1Q==" spinCount="100000" sheet="1" objects="1" scenarios="1"/>
  <protectedRanges>
    <protectedRange sqref="B99:B104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24C17-9003-4474-A67F-56162B9CF558}">
  <ds:schemaRefs>
    <ds:schemaRef ds:uri="acaf4567-dc07-471f-892c-2bcb86ef35ae"/>
    <ds:schemaRef ds:uri="http://purl.org/dc/terms/"/>
    <ds:schemaRef ds:uri="http://purl.org/dc/elements/1.1/"/>
    <ds:schemaRef ds:uri="http://schemas.microsoft.com/office/infopath/2007/PartnerControls"/>
    <ds:schemaRef ds:uri="0eb656aa-4e79-4e95-9076-bc119a23e0cc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1f338ac-e338-414f-952c-f74dcc6d59e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Population selection</vt:lpstr>
      <vt:lpstr>Uptake phasing</vt:lpstr>
      <vt:lpstr>Cover</vt:lpstr>
      <vt:lpstr>Contents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TA1063 Capivasertib with fulvestrant for treating hormone receptor-positive HER2-negative advanced breast cancer after endocrine treatment: resource impact template 15/05/2025</dc:title>
  <dc:subject/>
  <dc:creator/>
  <cp:keywords/>
  <dc:description/>
  <cp:lastModifiedBy/>
  <cp:revision/>
  <dcterms:created xsi:type="dcterms:W3CDTF">2022-07-27T12:38:28Z</dcterms:created>
  <dcterms:modified xsi:type="dcterms:W3CDTF">2025-05-15T11:19:53Z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