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13_ncr:1_{A61D15E0-0A08-40EC-A5B7-AE3D43A2A9AA}" xr6:coauthVersionLast="47" xr6:coauthVersionMax="47" xr10:uidLastSave="{00000000-0000-0000-0000-000000000000}"/>
  <bookViews>
    <workbookView xWindow="-108" yWindow="-108" windowWidth="23256" windowHeight="12456"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prices)'!$B$1:$S$149</definedName>
    <definedName name="_xlnm.Print_Area" localSheetId="11">'Capacity (national prices)'!$B$1:$S$149</definedName>
    <definedName name="_xlnm.Print_Area" localSheetId="5">'Capacity inputs'!$A$2:$O$36</definedName>
    <definedName name="_xlnm.Print_Area" localSheetId="3">Contents!$A$1:$T$26</definedName>
    <definedName name="_xlnm.Print_Area" localSheetId="2">Cover!$A$1:$C$24</definedName>
    <definedName name="_xlnm.Print_Area" localSheetId="9">'Financial impact (cash)'!$B$1:$J$33</definedName>
    <definedName name="_xlnm.Print_Area" localSheetId="4">'Inputs and population'!$A$2:$Q$88</definedName>
    <definedName name="_xlnm.Print_Area" localSheetId="0">'Population selection'!$B$11:$J$17</definedName>
    <definedName name="_xlnm.Print_Area" localSheetId="8">Summary!$B$1:$K$76</definedName>
    <definedName name="_xlnm.Print_Area" localSheetId="7">'Unit costs'!$B$1:$Q$91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56" l="1"/>
  <c r="B16" i="56"/>
  <c r="B15" i="56"/>
  <c r="B17" i="46"/>
  <c r="B16" i="46"/>
  <c r="B15" i="46"/>
  <c r="H90" i="46"/>
  <c r="I90" i="46"/>
  <c r="D90" i="46"/>
  <c r="C90" i="46"/>
  <c r="E90" i="46" s="1"/>
  <c r="C27" i="56"/>
  <c r="B27" i="56"/>
  <c r="B26" i="56"/>
  <c r="C158" i="56"/>
  <c r="C157" i="56"/>
  <c r="C156" i="56"/>
  <c r="C155" i="56"/>
  <c r="C154" i="56"/>
  <c r="C153" i="56"/>
  <c r="C152" i="56"/>
  <c r="C27" i="46"/>
  <c r="C157" i="46"/>
  <c r="C156" i="46"/>
  <c r="C25" i="46"/>
  <c r="C25" i="56"/>
  <c r="C146" i="56"/>
  <c r="C145" i="56"/>
  <c r="C144" i="56"/>
  <c r="C143" i="56"/>
  <c r="C142" i="56"/>
  <c r="C141" i="56"/>
  <c r="C140" i="56"/>
  <c r="C146" i="46"/>
  <c r="C145" i="46"/>
  <c r="C144" i="46"/>
  <c r="C143" i="46"/>
  <c r="C142" i="46"/>
  <c r="C141" i="46"/>
  <c r="C140" i="46"/>
  <c r="B27" i="46"/>
  <c r="B72" i="47" s="1"/>
  <c r="B26" i="46"/>
  <c r="B71" i="47" s="1"/>
  <c r="C158" i="46"/>
  <c r="C155" i="46"/>
  <c r="C154" i="46"/>
  <c r="C153" i="46"/>
  <c r="C152" i="46"/>
  <c r="K27" i="46"/>
  <c r="K25" i="46"/>
  <c r="C133" i="56"/>
  <c r="C132" i="56"/>
  <c r="C129" i="56"/>
  <c r="C133" i="46"/>
  <c r="C132" i="46"/>
  <c r="C131" i="46"/>
  <c r="K122" i="56"/>
  <c r="K121" i="56"/>
  <c r="K120" i="56"/>
  <c r="K119" i="56"/>
  <c r="C121" i="56"/>
  <c r="C120" i="56"/>
  <c r="C117" i="56"/>
  <c r="C121" i="46"/>
  <c r="C120" i="46"/>
  <c r="C119" i="46"/>
  <c r="C67" i="56"/>
  <c r="C66" i="56"/>
  <c r="C65" i="56"/>
  <c r="C64" i="56"/>
  <c r="C63" i="56"/>
  <c r="C62" i="56"/>
  <c r="C61" i="56"/>
  <c r="C60" i="56"/>
  <c r="C59" i="56"/>
  <c r="C58" i="56"/>
  <c r="C67" i="46"/>
  <c r="C66" i="46"/>
  <c r="C65" i="46"/>
  <c r="C64" i="46"/>
  <c r="C63" i="46"/>
  <c r="C62" i="46"/>
  <c r="C60" i="46"/>
  <c r="E60" i="46" s="1"/>
  <c r="C59" i="46"/>
  <c r="C49" i="56"/>
  <c r="C48" i="56"/>
  <c r="C47" i="56"/>
  <c r="C49" i="46"/>
  <c r="C48" i="46"/>
  <c r="C47" i="46"/>
  <c r="C15" i="47"/>
  <c r="G90" i="46" l="1"/>
  <c r="F90" i="46"/>
  <c r="D60" i="56"/>
  <c r="E60" i="56"/>
  <c r="D59" i="46"/>
  <c r="D59" i="56"/>
  <c r="D60" i="46"/>
  <c r="C130" i="56"/>
  <c r="C131" i="56"/>
  <c r="C134" i="56"/>
  <c r="C128" i="56"/>
  <c r="K117" i="56"/>
  <c r="K118" i="56"/>
  <c r="K116" i="56"/>
  <c r="C122" i="56"/>
  <c r="C118" i="56"/>
  <c r="C119" i="56"/>
  <c r="C116" i="56"/>
  <c r="C51" i="56"/>
  <c r="C46" i="56"/>
  <c r="C43" i="56"/>
  <c r="C44" i="56"/>
  <c r="C50" i="56"/>
  <c r="C45" i="56"/>
  <c r="C42" i="56"/>
  <c r="D43" i="56" l="1"/>
  <c r="E44" i="56"/>
  <c r="D44" i="56"/>
  <c r="C134" i="46"/>
  <c r="C130" i="46"/>
  <c r="C129" i="46"/>
  <c r="C128" i="46"/>
  <c r="C122" i="46"/>
  <c r="C118" i="46"/>
  <c r="C117" i="46"/>
  <c r="C116" i="46"/>
  <c r="C61" i="46"/>
  <c r="C58" i="46"/>
  <c r="C51" i="46"/>
  <c r="C50" i="46"/>
  <c r="C46" i="46"/>
  <c r="C45" i="46"/>
  <c r="C44" i="46"/>
  <c r="C43" i="46"/>
  <c r="N26" i="59"/>
  <c r="I13" i="59"/>
  <c r="J13" i="59"/>
  <c r="K13" i="59"/>
  <c r="L13" i="59"/>
  <c r="M13" i="59"/>
  <c r="N13" i="59"/>
  <c r="O13" i="59"/>
  <c r="P13" i="59"/>
  <c r="I14" i="59"/>
  <c r="J14" i="59"/>
  <c r="K14" i="59"/>
  <c r="L14" i="59"/>
  <c r="M14" i="59"/>
  <c r="N14" i="59"/>
  <c r="O14" i="59"/>
  <c r="P14" i="59"/>
  <c r="I15" i="59"/>
  <c r="J15" i="59"/>
  <c r="K15" i="59"/>
  <c r="L15" i="59"/>
  <c r="M15" i="59"/>
  <c r="N15" i="59"/>
  <c r="O15" i="59"/>
  <c r="P15" i="59"/>
  <c r="I16" i="59"/>
  <c r="J16" i="59"/>
  <c r="K16" i="59"/>
  <c r="L16" i="59"/>
  <c r="M16" i="59"/>
  <c r="N16" i="59"/>
  <c r="O16" i="59"/>
  <c r="P16" i="59"/>
  <c r="I17" i="59"/>
  <c r="J17" i="59"/>
  <c r="K17" i="59"/>
  <c r="L17" i="59"/>
  <c r="M17" i="59"/>
  <c r="N17" i="59"/>
  <c r="O17" i="59"/>
  <c r="P17" i="59"/>
  <c r="I18" i="59"/>
  <c r="J18" i="59"/>
  <c r="K18" i="59"/>
  <c r="L18" i="59"/>
  <c r="M18" i="59"/>
  <c r="N18" i="59"/>
  <c r="O18" i="59"/>
  <c r="P18" i="59"/>
  <c r="I47" i="50"/>
  <c r="D43" i="46" l="1"/>
  <c r="E44" i="46"/>
  <c r="D44" i="46"/>
  <c r="C42" i="46"/>
  <c r="H50" i="50"/>
  <c r="E18" i="50" l="1"/>
  <c r="E1784" i="32"/>
  <c r="D1784" i="32"/>
  <c r="C109" i="56" l="1"/>
  <c r="B109" i="56"/>
  <c r="C108" i="56"/>
  <c r="B108" i="56"/>
  <c r="C107" i="56"/>
  <c r="B107" i="56"/>
  <c r="C109" i="46"/>
  <c r="C108" i="46"/>
  <c r="C107" i="46"/>
  <c r="B109" i="46"/>
  <c r="B108" i="46"/>
  <c r="B107" i="46"/>
  <c r="C100" i="56"/>
  <c r="C99" i="56"/>
  <c r="C98" i="56"/>
  <c r="C92" i="56"/>
  <c r="C91" i="56"/>
  <c r="C90" i="56"/>
  <c r="C84" i="56"/>
  <c r="C83" i="56"/>
  <c r="C82" i="56"/>
  <c r="B84" i="56"/>
  <c r="B92" i="56" s="1"/>
  <c r="B83" i="56"/>
  <c r="B99" i="56" s="1"/>
  <c r="B82" i="56"/>
  <c r="B84" i="46"/>
  <c r="B92" i="46" s="1"/>
  <c r="B100" i="46" s="1"/>
  <c r="B83" i="46"/>
  <c r="B91" i="46" s="1"/>
  <c r="B99" i="46" s="1"/>
  <c r="B82" i="46"/>
  <c r="B90" i="46" s="1"/>
  <c r="B98" i="46" s="1"/>
  <c r="C75" i="56"/>
  <c r="C74" i="56"/>
  <c r="C36" i="56"/>
  <c r="C35" i="56"/>
  <c r="C34" i="56"/>
  <c r="C36" i="46"/>
  <c r="C35" i="46"/>
  <c r="C34" i="46"/>
  <c r="E91" i="56" l="1"/>
  <c r="F91" i="56"/>
  <c r="H91" i="56"/>
  <c r="I91" i="56"/>
  <c r="G91" i="56"/>
  <c r="D91" i="56"/>
  <c r="E98" i="56"/>
  <c r="G98" i="56"/>
  <c r="I98" i="56"/>
  <c r="D98" i="56"/>
  <c r="F98" i="56"/>
  <c r="H98" i="56"/>
  <c r="D83" i="56"/>
  <c r="E83" i="56"/>
  <c r="F83" i="56"/>
  <c r="G83" i="56"/>
  <c r="H83" i="56"/>
  <c r="I83" i="56"/>
  <c r="F84" i="56"/>
  <c r="G84" i="56"/>
  <c r="I84" i="56"/>
  <c r="H84" i="56"/>
  <c r="E84" i="56"/>
  <c r="D84" i="56"/>
  <c r="G92" i="56"/>
  <c r="D92" i="56"/>
  <c r="E92" i="56"/>
  <c r="F92" i="56"/>
  <c r="H92" i="56"/>
  <c r="I92" i="56"/>
  <c r="D99" i="56"/>
  <c r="F99" i="56"/>
  <c r="I99" i="56"/>
  <c r="G99" i="56"/>
  <c r="H99" i="56"/>
  <c r="E99" i="56"/>
  <c r="E82" i="56"/>
  <c r="I82" i="56"/>
  <c r="F82" i="56"/>
  <c r="G82" i="56"/>
  <c r="H82" i="56"/>
  <c r="D82" i="56"/>
  <c r="D90" i="56"/>
  <c r="E90" i="56"/>
  <c r="G90" i="56"/>
  <c r="F90" i="56"/>
  <c r="H90" i="56"/>
  <c r="I90" i="56"/>
  <c r="F100" i="56"/>
  <c r="G100" i="56"/>
  <c r="I100" i="56"/>
  <c r="D100" i="56"/>
  <c r="H100" i="56"/>
  <c r="E100" i="56"/>
  <c r="B91" i="56"/>
  <c r="B98" i="56"/>
  <c r="B90" i="56"/>
  <c r="B100" i="56"/>
  <c r="E66" i="50" l="1"/>
  <c r="F66" i="50"/>
  <c r="G66" i="50"/>
  <c r="H66" i="50"/>
  <c r="I66" i="50"/>
  <c r="D66"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2" i="32"/>
  <c r="E1763" i="32"/>
  <c r="E1764" i="32"/>
  <c r="E1754" i="32"/>
  <c r="L1739" i="32"/>
  <c r="F1739" i="32"/>
  <c r="F1762" i="32" s="1"/>
  <c r="G1739" i="32"/>
  <c r="G1762" i="32" s="1"/>
  <c r="H1739" i="32"/>
  <c r="H1762" i="32" s="1"/>
  <c r="I1739" i="32"/>
  <c r="I1762" i="32" s="1"/>
  <c r="E1739" i="32"/>
  <c r="H17" i="59" l="1"/>
  <c r="H9" i="59"/>
  <c r="H15" i="59"/>
  <c r="H16" i="59"/>
  <c r="H13" i="59"/>
  <c r="H14" i="59"/>
  <c r="H18" i="59"/>
  <c r="G13" i="59"/>
  <c r="G17" i="59"/>
  <c r="G9" i="59"/>
  <c r="G14" i="59"/>
  <c r="G15" i="59"/>
  <c r="G18" i="59"/>
  <c r="G16" i="59"/>
  <c r="H10" i="59"/>
  <c r="G10" i="59"/>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F1207" i="32" s="1"/>
  <c r="H1207" i="32"/>
  <c r="I1207" i="32"/>
  <c r="D1207" i="32" s="1"/>
  <c r="J1207" i="32"/>
  <c r="E1207" i="32" s="1"/>
  <c r="K1207" i="32"/>
  <c r="L1207" i="32"/>
  <c r="C1208" i="32"/>
  <c r="D1208" i="32"/>
  <c r="G1208" i="32"/>
  <c r="H1208" i="32"/>
  <c r="I1208" i="32"/>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E1222" i="32"/>
  <c r="G1222" i="32"/>
  <c r="H1222" i="32"/>
  <c r="I1222" i="32"/>
  <c r="D1222" i="32" s="1"/>
  <c r="J1222" i="32"/>
  <c r="K1222" i="32"/>
  <c r="L1222" i="32"/>
  <c r="C1223" i="32"/>
  <c r="G1223" i="32"/>
  <c r="F1223" i="32" s="1"/>
  <c r="H1223" i="32"/>
  <c r="I1223" i="32"/>
  <c r="D1223" i="32" s="1"/>
  <c r="J1223" i="32"/>
  <c r="E1223" i="32" s="1"/>
  <c r="K1223" i="32"/>
  <c r="L1223" i="32"/>
  <c r="C1224" i="32"/>
  <c r="G1224" i="32"/>
  <c r="F1224" i="32" s="1"/>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F1227" i="32" s="1"/>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F1232" i="32" s="1"/>
  <c r="H1232" i="32"/>
  <c r="I1232" i="32"/>
  <c r="J1232" i="32"/>
  <c r="E1232" i="32" s="1"/>
  <c r="K1232" i="32"/>
  <c r="L1232" i="32"/>
  <c r="C1233" i="32"/>
  <c r="E1233" i="32"/>
  <c r="G1233" i="32"/>
  <c r="F1233" i="32" s="1"/>
  <c r="H1233" i="32"/>
  <c r="I1233" i="32"/>
  <c r="D1233" i="32" s="1"/>
  <c r="J1233" i="32"/>
  <c r="K1233" i="32"/>
  <c r="L1233" i="32"/>
  <c r="C1234" i="32"/>
  <c r="E1234" i="32"/>
  <c r="G1234" i="32"/>
  <c r="H1234" i="32"/>
  <c r="I1234" i="32"/>
  <c r="D1234" i="32" s="1"/>
  <c r="J1234" i="32"/>
  <c r="K1234" i="32"/>
  <c r="L1234" i="32"/>
  <c r="C1235" i="32"/>
  <c r="G1235" i="32"/>
  <c r="F1235" i="32" s="1"/>
  <c r="H1235" i="32"/>
  <c r="I1235" i="32"/>
  <c r="D1235" i="32" s="1"/>
  <c r="J1235" i="32"/>
  <c r="E1235" i="32" s="1"/>
  <c r="K1235" i="32"/>
  <c r="L1235" i="32"/>
  <c r="C1236" i="32"/>
  <c r="G1236" i="32"/>
  <c r="F1236" i="32" s="1"/>
  <c r="H1236" i="32"/>
  <c r="I1236" i="32"/>
  <c r="D1236" i="32" s="1"/>
  <c r="J1236" i="32"/>
  <c r="E1236" i="32" s="1"/>
  <c r="K1236" i="32"/>
  <c r="L1236" i="32"/>
  <c r="C1237" i="32"/>
  <c r="G1237" i="32"/>
  <c r="H1237" i="32"/>
  <c r="I1237" i="32"/>
  <c r="D1237" i="32" s="1"/>
  <c r="J1237" i="32"/>
  <c r="E1237" i="32" s="1"/>
  <c r="K1237" i="32"/>
  <c r="L1237" i="32"/>
  <c r="C1238" i="32"/>
  <c r="D1238" i="32"/>
  <c r="G1238" i="32"/>
  <c r="H1238" i="32"/>
  <c r="I1238" i="32"/>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D1258" i="32"/>
  <c r="E1258" i="32"/>
  <c r="G1258" i="32"/>
  <c r="F1258" i="32" s="1"/>
  <c r="H1258" i="32"/>
  <c r="I1258" i="32"/>
  <c r="J1258" i="32"/>
  <c r="K1258" i="32"/>
  <c r="L1258" i="32"/>
  <c r="C1259" i="32"/>
  <c r="G1259" i="32"/>
  <c r="F1259" i="32" s="1"/>
  <c r="H1259" i="32"/>
  <c r="I1259" i="32"/>
  <c r="D1259" i="32" s="1"/>
  <c r="J1259" i="32"/>
  <c r="E1259" i="32" s="1"/>
  <c r="K1259" i="32"/>
  <c r="L1259" i="32"/>
  <c r="C1260" i="32"/>
  <c r="G1260" i="32"/>
  <c r="F1260" i="32" s="1"/>
  <c r="H1260" i="32"/>
  <c r="I1260" i="32"/>
  <c r="D1260" i="32" s="1"/>
  <c r="J1260" i="32"/>
  <c r="E1260" i="32" s="1"/>
  <c r="K1260" i="32"/>
  <c r="L1260" i="32"/>
  <c r="C1261" i="32"/>
  <c r="G1261" i="32"/>
  <c r="F1261" i="32" s="1"/>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F1271" i="32" s="1"/>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F1281" i="32" s="1"/>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D1286" i="32"/>
  <c r="G1286" i="32"/>
  <c r="H1286" i="32"/>
  <c r="I1286" i="32"/>
  <c r="J1286" i="32"/>
  <c r="E1286" i="32" s="1"/>
  <c r="K1286" i="32"/>
  <c r="L1286" i="32"/>
  <c r="C1287" i="32"/>
  <c r="E1287" i="32"/>
  <c r="G1287" i="32"/>
  <c r="F1287" i="32" s="1"/>
  <c r="H1287" i="32"/>
  <c r="I1287" i="32"/>
  <c r="D1287" i="32" s="1"/>
  <c r="J1287" i="32"/>
  <c r="K1287" i="32"/>
  <c r="L1287" i="32"/>
  <c r="C1288" i="32"/>
  <c r="D1288" i="32"/>
  <c r="G1288" i="32"/>
  <c r="F1288" i="32" s="1"/>
  <c r="H1288" i="32"/>
  <c r="I1288" i="32"/>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D1293" i="32"/>
  <c r="G1293" i="32"/>
  <c r="H1293" i="32"/>
  <c r="I1293" i="32"/>
  <c r="J1293" i="32"/>
  <c r="E1293" i="32" s="1"/>
  <c r="K1293" i="32"/>
  <c r="L1293" i="32"/>
  <c r="C1294" i="32"/>
  <c r="D1294" i="32"/>
  <c r="E1294" i="32"/>
  <c r="G1294" i="32"/>
  <c r="F1294" i="32" s="1"/>
  <c r="H1294" i="32"/>
  <c r="I1294" i="32"/>
  <c r="J1294" i="32"/>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F46" i="32" s="1"/>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F49" i="32" s="1"/>
  <c r="H49" i="32"/>
  <c r="I49" i="32"/>
  <c r="D49" i="32" s="1"/>
  <c r="J49" i="32"/>
  <c r="E49" i="32" s="1"/>
  <c r="K49" i="32"/>
  <c r="L49" i="32"/>
  <c r="C50" i="32"/>
  <c r="G50" i="32"/>
  <c r="H50" i="32"/>
  <c r="I50" i="32"/>
  <c r="D50" i="32" s="1"/>
  <c r="J50" i="32"/>
  <c r="E50" i="32" s="1"/>
  <c r="K50" i="32"/>
  <c r="L50" i="32"/>
  <c r="C51" i="32"/>
  <c r="G51" i="32"/>
  <c r="F51" i="32" s="1"/>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D64" i="32"/>
  <c r="E64" i="32"/>
  <c r="G64" i="32"/>
  <c r="H64" i="32"/>
  <c r="I64" i="32"/>
  <c r="J64" i="32"/>
  <c r="K64" i="32"/>
  <c r="L64" i="32"/>
  <c r="C65" i="32"/>
  <c r="G65" i="32"/>
  <c r="H65" i="32"/>
  <c r="I65" i="32"/>
  <c r="D65" i="32" s="1"/>
  <c r="J65" i="32"/>
  <c r="E65" i="32" s="1"/>
  <c r="K65" i="32"/>
  <c r="L65" i="32"/>
  <c r="C66" i="32"/>
  <c r="G66" i="32"/>
  <c r="H66" i="32"/>
  <c r="I66" i="32"/>
  <c r="D66" i="32" s="1"/>
  <c r="J66" i="32"/>
  <c r="E66" i="32" s="1"/>
  <c r="K66" i="32"/>
  <c r="L66" i="32"/>
  <c r="C67" i="32"/>
  <c r="G67" i="32"/>
  <c r="F67" i="32" s="1"/>
  <c r="H67" i="32"/>
  <c r="I67" i="32"/>
  <c r="D67" i="32" s="1"/>
  <c r="J67" i="32"/>
  <c r="E67" i="32" s="1"/>
  <c r="K67" i="32"/>
  <c r="L67" i="32"/>
  <c r="C68" i="32"/>
  <c r="G68" i="32"/>
  <c r="H68" i="32"/>
  <c r="I68" i="32"/>
  <c r="D68" i="32" s="1"/>
  <c r="J68" i="32"/>
  <c r="E68" i="32" s="1"/>
  <c r="K68" i="32"/>
  <c r="L68" i="32"/>
  <c r="C69" i="32"/>
  <c r="D69" i="32"/>
  <c r="G69" i="32"/>
  <c r="H69" i="32"/>
  <c r="I69" i="32"/>
  <c r="J69" i="32"/>
  <c r="E69" i="32" s="1"/>
  <c r="K69" i="32"/>
  <c r="L69" i="32"/>
  <c r="C70" i="32"/>
  <c r="G70" i="32"/>
  <c r="F70" i="32" s="1"/>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D76" i="32"/>
  <c r="G76" i="32"/>
  <c r="H76" i="32"/>
  <c r="I76" i="32"/>
  <c r="J76" i="32"/>
  <c r="E76" i="32" s="1"/>
  <c r="K76" i="32"/>
  <c r="L76" i="32"/>
  <c r="C77" i="32"/>
  <c r="E77" i="32"/>
  <c r="G77" i="32"/>
  <c r="H77" i="32"/>
  <c r="I77" i="32"/>
  <c r="D77" i="32" s="1"/>
  <c r="J77" i="32"/>
  <c r="K77" i="32"/>
  <c r="L77" i="32"/>
  <c r="C78" i="32"/>
  <c r="G78" i="32"/>
  <c r="H78" i="32"/>
  <c r="F78" i="32" s="1"/>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F82" i="32"/>
  <c r="G82" i="32"/>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F88" i="32" s="1"/>
  <c r="I88" i="32"/>
  <c r="D88" i="32" s="1"/>
  <c r="J88" i="32"/>
  <c r="E88" i="32" s="1"/>
  <c r="K88" i="32"/>
  <c r="L88" i="32"/>
  <c r="C89" i="32"/>
  <c r="E89" i="32"/>
  <c r="G89" i="32"/>
  <c r="H89" i="32"/>
  <c r="I89" i="32"/>
  <c r="D89" i="32" s="1"/>
  <c r="J89" i="32"/>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F94" i="32" s="1"/>
  <c r="H94" i="32"/>
  <c r="I94" i="32"/>
  <c r="D94" i="32" s="1"/>
  <c r="J94" i="32"/>
  <c r="E94" i="32" s="1"/>
  <c r="K94" i="32"/>
  <c r="L94" i="32"/>
  <c r="C95" i="32"/>
  <c r="G95" i="32"/>
  <c r="H95" i="32"/>
  <c r="F95" i="32" s="1"/>
  <c r="I95" i="32"/>
  <c r="D95" i="32" s="1"/>
  <c r="J95" i="32"/>
  <c r="E95" i="32" s="1"/>
  <c r="K95" i="32"/>
  <c r="L95" i="32"/>
  <c r="C96" i="32"/>
  <c r="G96" i="32"/>
  <c r="H96" i="32"/>
  <c r="F96" i="32" s="1"/>
  <c r="I96" i="32"/>
  <c r="D96" i="32" s="1"/>
  <c r="J96" i="32"/>
  <c r="E96" i="32" s="1"/>
  <c r="K96" i="32"/>
  <c r="L96" i="32"/>
  <c r="C97" i="32"/>
  <c r="F97" i="32"/>
  <c r="G97" i="32"/>
  <c r="H97" i="32"/>
  <c r="I97" i="32"/>
  <c r="D97" i="32" s="1"/>
  <c r="J97" i="32"/>
  <c r="E97" i="32" s="1"/>
  <c r="K97" i="32"/>
  <c r="L97" i="32"/>
  <c r="C98" i="32"/>
  <c r="G98" i="32"/>
  <c r="H98" i="32"/>
  <c r="F98" i="32" s="1"/>
  <c r="I98" i="32"/>
  <c r="D98" i="32" s="1"/>
  <c r="J98" i="32"/>
  <c r="E98" i="32" s="1"/>
  <c r="K98" i="32"/>
  <c r="L98" i="32"/>
  <c r="C99" i="32"/>
  <c r="G99" i="32"/>
  <c r="H99" i="32"/>
  <c r="I99" i="32"/>
  <c r="D99" i="32" s="1"/>
  <c r="J99" i="32"/>
  <c r="E99" i="32" s="1"/>
  <c r="K99" i="32"/>
  <c r="L99" i="32"/>
  <c r="C100" i="32"/>
  <c r="E100" i="32"/>
  <c r="G100" i="32"/>
  <c r="F100" i="32" s="1"/>
  <c r="H100" i="32"/>
  <c r="I100" i="32"/>
  <c r="D100" i="32" s="1"/>
  <c r="J100" i="32"/>
  <c r="K100" i="32"/>
  <c r="L100" i="32"/>
  <c r="C101" i="32"/>
  <c r="G101" i="32"/>
  <c r="F101" i="32" s="1"/>
  <c r="H101" i="32"/>
  <c r="I101" i="32"/>
  <c r="D101" i="32" s="1"/>
  <c r="J101" i="32"/>
  <c r="E101" i="32" s="1"/>
  <c r="K101" i="32"/>
  <c r="L101" i="32"/>
  <c r="C102" i="32"/>
  <c r="G102" i="32"/>
  <c r="H102" i="32"/>
  <c r="F102" i="32" s="1"/>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D105" i="32"/>
  <c r="G105" i="32"/>
  <c r="H105" i="32"/>
  <c r="I105" i="32"/>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E113" i="32"/>
  <c r="G113" i="32"/>
  <c r="H113" i="32"/>
  <c r="F113" i="32" s="1"/>
  <c r="I113" i="32"/>
  <c r="D113" i="32" s="1"/>
  <c r="J113" i="32"/>
  <c r="K113" i="32"/>
  <c r="L113" i="32"/>
  <c r="C114" i="32"/>
  <c r="E114" i="32"/>
  <c r="G114" i="32"/>
  <c r="F114" i="32" s="1"/>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F124" i="32"/>
  <c r="G124" i="32"/>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F131" i="32" s="1"/>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F135" i="32" s="1"/>
  <c r="H135" i="32"/>
  <c r="I135" i="32"/>
  <c r="D135" i="32" s="1"/>
  <c r="J135" i="32"/>
  <c r="E135" i="32" s="1"/>
  <c r="K135" i="32"/>
  <c r="L135" i="32"/>
  <c r="C136" i="32"/>
  <c r="G136" i="32"/>
  <c r="F136" i="32" s="1"/>
  <c r="H136" i="32"/>
  <c r="I136" i="32"/>
  <c r="D136" i="32" s="1"/>
  <c r="J136" i="32"/>
  <c r="E136" i="32" s="1"/>
  <c r="K136" i="32"/>
  <c r="L136" i="32"/>
  <c r="C137" i="32"/>
  <c r="E137" i="32"/>
  <c r="G137" i="32"/>
  <c r="H137" i="32"/>
  <c r="I137" i="32"/>
  <c r="D137" i="32" s="1"/>
  <c r="J137" i="32"/>
  <c r="K137" i="32"/>
  <c r="L137" i="32"/>
  <c r="C138" i="32"/>
  <c r="G138" i="32"/>
  <c r="H138" i="32"/>
  <c r="F138" i="32" s="1"/>
  <c r="I138" i="32"/>
  <c r="D138" i="32" s="1"/>
  <c r="J138" i="32"/>
  <c r="E138" i="32" s="1"/>
  <c r="K138" i="32"/>
  <c r="L138" i="32"/>
  <c r="C139" i="32"/>
  <c r="G139" i="32"/>
  <c r="F139" i="32" s="1"/>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F142" i="32" s="1"/>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F163" i="32" s="1"/>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F167" i="32" s="1"/>
  <c r="H167" i="32"/>
  <c r="I167" i="32"/>
  <c r="D167" i="32" s="1"/>
  <c r="J167" i="32"/>
  <c r="E167" i="32" s="1"/>
  <c r="K167" i="32"/>
  <c r="L167" i="32"/>
  <c r="C168" i="32"/>
  <c r="G168" i="32"/>
  <c r="H168" i="32"/>
  <c r="I168" i="32"/>
  <c r="D168" i="32" s="1"/>
  <c r="J168" i="32"/>
  <c r="E168" i="32" s="1"/>
  <c r="K168" i="32"/>
  <c r="L168" i="32"/>
  <c r="C169" i="32"/>
  <c r="G169" i="32"/>
  <c r="F169" i="32" s="1"/>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F172" i="32" s="1"/>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E186" i="32"/>
  <c r="G186" i="32"/>
  <c r="F186" i="32" s="1"/>
  <c r="H186" i="32"/>
  <c r="I186" i="32"/>
  <c r="D186" i="32" s="1"/>
  <c r="J186" i="32"/>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D189" i="32"/>
  <c r="G189" i="32"/>
  <c r="H189" i="32"/>
  <c r="I189" i="32"/>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D196" i="32"/>
  <c r="E196" i="32"/>
  <c r="G196" i="32"/>
  <c r="H196" i="32"/>
  <c r="I196" i="32"/>
  <c r="J196" i="32"/>
  <c r="K196" i="32"/>
  <c r="L196" i="32"/>
  <c r="C197" i="32"/>
  <c r="G197" i="32"/>
  <c r="F197" i="32" s="1"/>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E200" i="32"/>
  <c r="G200" i="32"/>
  <c r="H200" i="32"/>
  <c r="I200" i="32"/>
  <c r="D200" i="32" s="1"/>
  <c r="J200" i="32"/>
  <c r="K200" i="32"/>
  <c r="L200" i="32"/>
  <c r="C201" i="32"/>
  <c r="D201" i="32"/>
  <c r="G201" i="32"/>
  <c r="H201" i="32"/>
  <c r="I201" i="32"/>
  <c r="J201" i="32"/>
  <c r="E201" i="32" s="1"/>
  <c r="K201" i="32"/>
  <c r="L201" i="32"/>
  <c r="C202" i="32"/>
  <c r="G202" i="32"/>
  <c r="H202" i="32"/>
  <c r="I202" i="32"/>
  <c r="D202" i="32" s="1"/>
  <c r="J202" i="32"/>
  <c r="E202" i="32" s="1"/>
  <c r="K202" i="32"/>
  <c r="L202" i="32"/>
  <c r="C203" i="32"/>
  <c r="D203" i="32"/>
  <c r="G203" i="32"/>
  <c r="H203" i="32"/>
  <c r="I203" i="32"/>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F208" i="32"/>
  <c r="G208" i="32"/>
  <c r="H208" i="32"/>
  <c r="I208" i="32"/>
  <c r="D208" i="32" s="1"/>
  <c r="J208" i="32"/>
  <c r="E208" i="32" s="1"/>
  <c r="K208" i="32"/>
  <c r="L208" i="32"/>
  <c r="C209" i="32"/>
  <c r="D209" i="32"/>
  <c r="G209" i="32"/>
  <c r="H209" i="32"/>
  <c r="I209" i="32"/>
  <c r="J209" i="32"/>
  <c r="E209" i="32" s="1"/>
  <c r="K209" i="32"/>
  <c r="L209" i="32"/>
  <c r="C210" i="32"/>
  <c r="G210" i="32"/>
  <c r="F210" i="32" s="1"/>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E215" i="32"/>
  <c r="G215" i="32"/>
  <c r="H215" i="32"/>
  <c r="F215" i="32" s="1"/>
  <c r="I215" i="32"/>
  <c r="D215" i="32" s="1"/>
  <c r="J215" i="32"/>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F219" i="32" s="1"/>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E222" i="32"/>
  <c r="G222" i="32"/>
  <c r="F222" i="32" s="1"/>
  <c r="H222" i="32"/>
  <c r="I222" i="32"/>
  <c r="D222" i="32" s="1"/>
  <c r="J222" i="32"/>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F226" i="32" s="1"/>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F232" i="32" s="1"/>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D237" i="32"/>
  <c r="G237" i="32"/>
  <c r="F237" i="32" s="1"/>
  <c r="H237" i="32"/>
  <c r="I237" i="32"/>
  <c r="J237" i="32"/>
  <c r="E237" i="32" s="1"/>
  <c r="K237" i="32"/>
  <c r="L237" i="32"/>
  <c r="C238" i="32"/>
  <c r="E238" i="32"/>
  <c r="G238" i="32"/>
  <c r="H238" i="32"/>
  <c r="I238" i="32"/>
  <c r="D238" i="32" s="1"/>
  <c r="J238" i="32"/>
  <c r="K238" i="32"/>
  <c r="L238" i="32"/>
  <c r="C239" i="32"/>
  <c r="D239" i="32"/>
  <c r="G239" i="32"/>
  <c r="H239" i="32"/>
  <c r="F239" i="32" s="1"/>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E245" i="32"/>
  <c r="G245" i="32"/>
  <c r="F245" i="32" s="1"/>
  <c r="H245" i="32"/>
  <c r="I245" i="32"/>
  <c r="D245" i="32" s="1"/>
  <c r="J245" i="32"/>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D251" i="32"/>
  <c r="G251" i="32"/>
  <c r="H251" i="32"/>
  <c r="I251" i="32"/>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E260" i="32"/>
  <c r="G260" i="32"/>
  <c r="H260" i="32"/>
  <c r="F260" i="32" s="1"/>
  <c r="I260" i="32"/>
  <c r="D260" i="32" s="1"/>
  <c r="J260" i="32"/>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E263" i="32"/>
  <c r="G263" i="32"/>
  <c r="F263" i="32" s="1"/>
  <c r="H263" i="32"/>
  <c r="I263" i="32"/>
  <c r="D263" i="32" s="1"/>
  <c r="J263" i="32"/>
  <c r="K263" i="32"/>
  <c r="L263" i="32"/>
  <c r="C264" i="32"/>
  <c r="F264" i="32"/>
  <c r="G264" i="32"/>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F269" i="32" s="1"/>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F272" i="32" s="1"/>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F275" i="32" s="1"/>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E279" i="32"/>
  <c r="G279" i="32"/>
  <c r="H279" i="32"/>
  <c r="I279" i="32"/>
  <c r="D279" i="32" s="1"/>
  <c r="J279" i="32"/>
  <c r="K279" i="32"/>
  <c r="L279" i="32"/>
  <c r="C280" i="32"/>
  <c r="D280" i="32"/>
  <c r="G280" i="32"/>
  <c r="F280" i="32" s="1"/>
  <c r="H280" i="32"/>
  <c r="I280" i="32"/>
  <c r="J280" i="32"/>
  <c r="E280" i="32" s="1"/>
  <c r="K280" i="32"/>
  <c r="L280" i="32"/>
  <c r="C281" i="32"/>
  <c r="E281" i="32"/>
  <c r="G281" i="32"/>
  <c r="F281" i="32" s="1"/>
  <c r="H281" i="32"/>
  <c r="I281" i="32"/>
  <c r="D281" i="32" s="1"/>
  <c r="J281" i="32"/>
  <c r="K281" i="32"/>
  <c r="L281" i="32"/>
  <c r="C282" i="32"/>
  <c r="G282" i="32"/>
  <c r="F282" i="32" s="1"/>
  <c r="H282" i="32"/>
  <c r="I282" i="32"/>
  <c r="D282" i="32" s="1"/>
  <c r="J282" i="32"/>
  <c r="E282" i="32" s="1"/>
  <c r="K282" i="32"/>
  <c r="L282" i="32"/>
  <c r="C283" i="32"/>
  <c r="G283" i="32"/>
  <c r="H283" i="32"/>
  <c r="I283" i="32"/>
  <c r="D283" i="32" s="1"/>
  <c r="J283" i="32"/>
  <c r="E283" i="32" s="1"/>
  <c r="K283" i="32"/>
  <c r="L283" i="32"/>
  <c r="C284" i="32"/>
  <c r="E284" i="32"/>
  <c r="G284" i="32"/>
  <c r="H284" i="32"/>
  <c r="I284" i="32"/>
  <c r="D284" i="32" s="1"/>
  <c r="J284" i="32"/>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F288" i="32" s="1"/>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F292" i="32" s="1"/>
  <c r="I292" i="32"/>
  <c r="D292" i="32" s="1"/>
  <c r="J292" i="32"/>
  <c r="E292" i="32" s="1"/>
  <c r="K292" i="32"/>
  <c r="L292" i="32"/>
  <c r="C293" i="32"/>
  <c r="E293" i="32"/>
  <c r="G293" i="32"/>
  <c r="H293" i="32"/>
  <c r="I293" i="32"/>
  <c r="D293" i="32" s="1"/>
  <c r="J293" i="32"/>
  <c r="K293" i="32"/>
  <c r="L293" i="32"/>
  <c r="C294" i="32"/>
  <c r="E294" i="32"/>
  <c r="G294" i="32"/>
  <c r="F294" i="32" s="1"/>
  <c r="H294" i="32"/>
  <c r="I294" i="32"/>
  <c r="D294" i="32" s="1"/>
  <c r="J294" i="32"/>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F298" i="32" s="1"/>
  <c r="H298" i="32"/>
  <c r="I298" i="32"/>
  <c r="D298" i="32" s="1"/>
  <c r="J298" i="32"/>
  <c r="E298" i="32" s="1"/>
  <c r="K298" i="32"/>
  <c r="L298" i="32"/>
  <c r="C299" i="32"/>
  <c r="E299" i="32"/>
  <c r="G299" i="32"/>
  <c r="F299" i="32" s="1"/>
  <c r="H299" i="32"/>
  <c r="I299" i="32"/>
  <c r="D299" i="32" s="1"/>
  <c r="J299" i="32"/>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F302" i="32" s="1"/>
  <c r="I302" i="32"/>
  <c r="D302" i="32" s="1"/>
  <c r="J302" i="32"/>
  <c r="E302" i="32" s="1"/>
  <c r="K302" i="32"/>
  <c r="L302" i="32"/>
  <c r="C303" i="32"/>
  <c r="E303" i="32"/>
  <c r="G303" i="32"/>
  <c r="F303" i="32" s="1"/>
  <c r="H303" i="32"/>
  <c r="I303" i="32"/>
  <c r="D303" i="32" s="1"/>
  <c r="J303" i="32"/>
  <c r="K303" i="32"/>
  <c r="L303" i="32"/>
  <c r="C304" i="32"/>
  <c r="D304" i="32"/>
  <c r="G304" i="32"/>
  <c r="F304" i="32" s="1"/>
  <c r="H304" i="32"/>
  <c r="I304" i="32"/>
  <c r="J304" i="32"/>
  <c r="E304" i="32" s="1"/>
  <c r="K304" i="32"/>
  <c r="L304" i="32"/>
  <c r="C305" i="32"/>
  <c r="E305" i="32"/>
  <c r="G305" i="32"/>
  <c r="H305" i="32"/>
  <c r="I305" i="32"/>
  <c r="D305" i="32" s="1"/>
  <c r="J305" i="32"/>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E314" i="32"/>
  <c r="G314" i="32"/>
  <c r="H314" i="32"/>
  <c r="I314" i="32"/>
  <c r="D314" i="32" s="1"/>
  <c r="J314" i="32"/>
  <c r="K314" i="32"/>
  <c r="L314" i="32"/>
  <c r="C315" i="32"/>
  <c r="D315" i="32"/>
  <c r="G315" i="32"/>
  <c r="F315" i="32" s="1"/>
  <c r="H315" i="32"/>
  <c r="I315" i="32"/>
  <c r="J315" i="32"/>
  <c r="E315" i="32" s="1"/>
  <c r="K315" i="32"/>
  <c r="L315" i="32"/>
  <c r="C316" i="32"/>
  <c r="G316" i="32"/>
  <c r="F316" i="32" s="1"/>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D320" i="32"/>
  <c r="G320" i="32"/>
  <c r="H320" i="32"/>
  <c r="I320" i="32"/>
  <c r="J320" i="32"/>
  <c r="E320" i="32" s="1"/>
  <c r="K320" i="32"/>
  <c r="L320" i="32"/>
  <c r="C321" i="32"/>
  <c r="G321" i="32"/>
  <c r="F321" i="32" s="1"/>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F324" i="32"/>
  <c r="G324" i="32"/>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D327" i="32"/>
  <c r="G327" i="32"/>
  <c r="H327" i="32"/>
  <c r="I327" i="32"/>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F330" i="32" s="1"/>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F334" i="32" s="1"/>
  <c r="H334" i="32"/>
  <c r="I334" i="32"/>
  <c r="D334" i="32" s="1"/>
  <c r="J334" i="32"/>
  <c r="E334" i="32" s="1"/>
  <c r="K334" i="32"/>
  <c r="L334" i="32"/>
  <c r="C335" i="32"/>
  <c r="E335" i="32"/>
  <c r="G335" i="32"/>
  <c r="H335" i="32"/>
  <c r="I335" i="32"/>
  <c r="D335" i="32" s="1"/>
  <c r="J335" i="32"/>
  <c r="K335" i="32"/>
  <c r="L335" i="32"/>
  <c r="C336" i="32"/>
  <c r="G336" i="32"/>
  <c r="H336" i="32"/>
  <c r="F336" i="32" s="1"/>
  <c r="I336" i="32"/>
  <c r="D336" i="32" s="1"/>
  <c r="J336" i="32"/>
  <c r="E336" i="32" s="1"/>
  <c r="K336" i="32"/>
  <c r="L336" i="32"/>
  <c r="C337" i="32"/>
  <c r="G337" i="32"/>
  <c r="H337" i="32"/>
  <c r="I337" i="32"/>
  <c r="D337" i="32" s="1"/>
  <c r="J337" i="32"/>
  <c r="E337" i="32" s="1"/>
  <c r="K337" i="32"/>
  <c r="L337" i="32"/>
  <c r="C338" i="32"/>
  <c r="D338" i="32"/>
  <c r="G338" i="32"/>
  <c r="H338" i="32"/>
  <c r="F338" i="32" s="1"/>
  <c r="I338" i="32"/>
  <c r="J338" i="32"/>
  <c r="E338" i="32" s="1"/>
  <c r="K338" i="32"/>
  <c r="L338" i="32"/>
  <c r="C339" i="32"/>
  <c r="G339" i="32"/>
  <c r="H339" i="32"/>
  <c r="F339" i="32" s="1"/>
  <c r="I339" i="32"/>
  <c r="D339" i="32" s="1"/>
  <c r="J339" i="32"/>
  <c r="E339" i="32" s="1"/>
  <c r="K339" i="32"/>
  <c r="L339" i="32"/>
  <c r="C340" i="32"/>
  <c r="E340" i="32"/>
  <c r="G340" i="32"/>
  <c r="H340" i="32"/>
  <c r="I340" i="32"/>
  <c r="D340" i="32" s="1"/>
  <c r="J340" i="32"/>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F345" i="32" s="1"/>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F352" i="32"/>
  <c r="G352" i="32"/>
  <c r="H352" i="32"/>
  <c r="I352" i="32"/>
  <c r="D352" i="32" s="1"/>
  <c r="J352" i="32"/>
  <c r="E352" i="32" s="1"/>
  <c r="K352" i="32"/>
  <c r="L352" i="32"/>
  <c r="C353" i="32"/>
  <c r="G353" i="32"/>
  <c r="F353" i="32" s="1"/>
  <c r="H353" i="32"/>
  <c r="I353" i="32"/>
  <c r="D353" i="32" s="1"/>
  <c r="J353" i="32"/>
  <c r="E353" i="32" s="1"/>
  <c r="K353" i="32"/>
  <c r="L353" i="32"/>
  <c r="C354" i="32"/>
  <c r="F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F358" i="32" s="1"/>
  <c r="H358" i="32"/>
  <c r="I358" i="32"/>
  <c r="D358" i="32" s="1"/>
  <c r="J358" i="32"/>
  <c r="E358" i="32" s="1"/>
  <c r="K358" i="32"/>
  <c r="L358" i="32"/>
  <c r="C359" i="32"/>
  <c r="D359" i="32"/>
  <c r="G359" i="32"/>
  <c r="F359" i="32" s="1"/>
  <c r="H359" i="32"/>
  <c r="I359" i="32"/>
  <c r="J359" i="32"/>
  <c r="E359" i="32" s="1"/>
  <c r="K359" i="32"/>
  <c r="L359" i="32"/>
  <c r="C360" i="32"/>
  <c r="G360" i="32"/>
  <c r="F360" i="32" s="1"/>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F364" i="32" s="1"/>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F368" i="32" s="1"/>
  <c r="H368" i="32"/>
  <c r="I368" i="32"/>
  <c r="D368" i="32" s="1"/>
  <c r="J368" i="32"/>
  <c r="E368" i="32" s="1"/>
  <c r="K368" i="32"/>
  <c r="L368" i="32"/>
  <c r="C369" i="32"/>
  <c r="D369" i="32"/>
  <c r="G369" i="32"/>
  <c r="F369" i="32" s="1"/>
  <c r="H369" i="32"/>
  <c r="I369" i="32"/>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F373" i="32" s="1"/>
  <c r="H373" i="32"/>
  <c r="I373" i="32"/>
  <c r="D373" i="32" s="1"/>
  <c r="J373" i="32"/>
  <c r="E373" i="32" s="1"/>
  <c r="K373" i="32"/>
  <c r="L373" i="32"/>
  <c r="C374" i="32"/>
  <c r="F374" i="32"/>
  <c r="G374" i="32"/>
  <c r="H374" i="32"/>
  <c r="I374" i="32"/>
  <c r="D374" i="32" s="1"/>
  <c r="J374" i="32"/>
  <c r="E374" i="32" s="1"/>
  <c r="K374" i="32"/>
  <c r="L374" i="32"/>
  <c r="C375" i="32"/>
  <c r="E375" i="32"/>
  <c r="G375" i="32"/>
  <c r="H375" i="32"/>
  <c r="I375" i="32"/>
  <c r="D375" i="32" s="1"/>
  <c r="J375" i="32"/>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F378" i="32" s="1"/>
  <c r="I378" i="32"/>
  <c r="D378" i="32" s="1"/>
  <c r="J378" i="32"/>
  <c r="E378" i="32" s="1"/>
  <c r="K378" i="32"/>
  <c r="L378" i="32"/>
  <c r="C379" i="32"/>
  <c r="G379" i="32"/>
  <c r="F379" i="32" s="1"/>
  <c r="H379" i="32"/>
  <c r="I379" i="32"/>
  <c r="D379" i="32" s="1"/>
  <c r="J379" i="32"/>
  <c r="E379" i="32" s="1"/>
  <c r="K379" i="32"/>
  <c r="L379" i="32"/>
  <c r="C380" i="32"/>
  <c r="G380" i="32"/>
  <c r="F380" i="32" s="1"/>
  <c r="H380" i="32"/>
  <c r="I380" i="32"/>
  <c r="D380" i="32" s="1"/>
  <c r="J380" i="32"/>
  <c r="E380" i="32" s="1"/>
  <c r="K380" i="32"/>
  <c r="L380" i="32"/>
  <c r="C381" i="32"/>
  <c r="F381" i="32"/>
  <c r="G381" i="32"/>
  <c r="H381" i="32"/>
  <c r="I381" i="32"/>
  <c r="D381" i="32" s="1"/>
  <c r="J381" i="32"/>
  <c r="E381" i="32" s="1"/>
  <c r="K381" i="32"/>
  <c r="L381" i="32"/>
  <c r="C382" i="32"/>
  <c r="G382" i="32"/>
  <c r="F382" i="32" s="1"/>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D385" i="32"/>
  <c r="G385" i="32"/>
  <c r="H385" i="32"/>
  <c r="F385" i="32" s="1"/>
  <c r="I385" i="32"/>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F388" i="32" s="1"/>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F393" i="32" s="1"/>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D396" i="32"/>
  <c r="G396" i="32"/>
  <c r="F396" i="32" s="1"/>
  <c r="H396" i="32"/>
  <c r="I396" i="32"/>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F403" i="32" s="1"/>
  <c r="H403" i="32"/>
  <c r="I403" i="32"/>
  <c r="D403" i="32" s="1"/>
  <c r="J403" i="32"/>
  <c r="E403" i="32" s="1"/>
  <c r="K403" i="32"/>
  <c r="L403" i="32"/>
  <c r="C404" i="32"/>
  <c r="G404" i="32"/>
  <c r="F404" i="32" s="1"/>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E410" i="32"/>
  <c r="G410" i="32"/>
  <c r="H410" i="32"/>
  <c r="F410" i="32" s="1"/>
  <c r="I410" i="32"/>
  <c r="D410" i="32" s="1"/>
  <c r="J410" i="32"/>
  <c r="K410" i="32"/>
  <c r="L410" i="32"/>
  <c r="C411" i="32"/>
  <c r="G411" i="32"/>
  <c r="H411" i="32"/>
  <c r="I411" i="32"/>
  <c r="D411" i="32" s="1"/>
  <c r="J411" i="32"/>
  <c r="E411" i="32" s="1"/>
  <c r="K411" i="32"/>
  <c r="L411" i="32"/>
  <c r="C412" i="32"/>
  <c r="G412" i="32"/>
  <c r="F412" i="32" s="1"/>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F418" i="32"/>
  <c r="G418" i="32"/>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F421" i="32" s="1"/>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D425" i="32"/>
  <c r="E425" i="32"/>
  <c r="G425" i="32"/>
  <c r="H425" i="32"/>
  <c r="I425" i="32"/>
  <c r="J425" i="32"/>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F430" i="32" s="1"/>
  <c r="H430" i="32"/>
  <c r="I430" i="32"/>
  <c r="D430" i="32" s="1"/>
  <c r="J430" i="32"/>
  <c r="E430" i="32" s="1"/>
  <c r="K430" i="32"/>
  <c r="L430" i="32"/>
  <c r="C431" i="32"/>
  <c r="E431" i="32"/>
  <c r="G431" i="32"/>
  <c r="H431" i="32"/>
  <c r="I431" i="32"/>
  <c r="D431" i="32" s="1"/>
  <c r="J431" i="32"/>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E440" i="32"/>
  <c r="G440" i="32"/>
  <c r="H440" i="32"/>
  <c r="I440" i="32"/>
  <c r="D440" i="32" s="1"/>
  <c r="J440" i="32"/>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F443" i="32" s="1"/>
  <c r="I443" i="32"/>
  <c r="D443" i="32" s="1"/>
  <c r="J443" i="32"/>
  <c r="E443" i="32" s="1"/>
  <c r="K443" i="32"/>
  <c r="L443" i="32"/>
  <c r="C444" i="32"/>
  <c r="G444" i="32"/>
  <c r="H444" i="32"/>
  <c r="I444" i="32"/>
  <c r="D444" i="32" s="1"/>
  <c r="J444" i="32"/>
  <c r="E444" i="32" s="1"/>
  <c r="K444" i="32"/>
  <c r="L444" i="32"/>
  <c r="C445" i="32"/>
  <c r="E445" i="32"/>
  <c r="G445" i="32"/>
  <c r="F445" i="32" s="1"/>
  <c r="H445" i="32"/>
  <c r="I445" i="32"/>
  <c r="D445" i="32" s="1"/>
  <c r="J445" i="32"/>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F449" i="32" s="1"/>
  <c r="H449" i="32"/>
  <c r="I449" i="32"/>
  <c r="D449" i="32" s="1"/>
  <c r="J449" i="32"/>
  <c r="E449" i="32" s="1"/>
  <c r="K449" i="32"/>
  <c r="L449" i="32"/>
  <c r="C450" i="32"/>
  <c r="E450" i="32"/>
  <c r="G450" i="32"/>
  <c r="F450" i="32" s="1"/>
  <c r="H450" i="32"/>
  <c r="I450" i="32"/>
  <c r="D450" i="32" s="1"/>
  <c r="J450" i="32"/>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E455" i="32"/>
  <c r="G455" i="32"/>
  <c r="F455" i="32" s="1"/>
  <c r="H455" i="32"/>
  <c r="I455" i="32"/>
  <c r="D455" i="32" s="1"/>
  <c r="J455" i="32"/>
  <c r="K455" i="32"/>
  <c r="L455" i="32"/>
  <c r="C456" i="32"/>
  <c r="G456" i="32"/>
  <c r="H456" i="32"/>
  <c r="I456" i="32"/>
  <c r="D456" i="32" s="1"/>
  <c r="J456" i="32"/>
  <c r="E456" i="32" s="1"/>
  <c r="K456" i="32"/>
  <c r="L456" i="32"/>
  <c r="C457" i="32"/>
  <c r="G457" i="32"/>
  <c r="F457" i="32" s="1"/>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F460" i="32"/>
  <c r="G460" i="32"/>
  <c r="H460" i="32"/>
  <c r="I460" i="32"/>
  <c r="D460" i="32" s="1"/>
  <c r="J460" i="32"/>
  <c r="E460" i="32" s="1"/>
  <c r="K460" i="32"/>
  <c r="L460" i="32"/>
  <c r="C461" i="32"/>
  <c r="G461" i="32"/>
  <c r="F461" i="32" s="1"/>
  <c r="H461" i="32"/>
  <c r="I461" i="32"/>
  <c r="D461" i="32" s="1"/>
  <c r="J461" i="32"/>
  <c r="E461" i="32" s="1"/>
  <c r="K461" i="32"/>
  <c r="L461" i="32"/>
  <c r="C462" i="32"/>
  <c r="D462" i="32"/>
  <c r="E462" i="32"/>
  <c r="G462" i="32"/>
  <c r="F462" i="32" s="1"/>
  <c r="H462" i="32"/>
  <c r="I462" i="32"/>
  <c r="J462" i="32"/>
  <c r="K462" i="32"/>
  <c r="L462" i="32"/>
  <c r="C463" i="32"/>
  <c r="G463" i="32"/>
  <c r="F463" i="32" s="1"/>
  <c r="H463" i="32"/>
  <c r="I463" i="32"/>
  <c r="D463" i="32" s="1"/>
  <c r="J463" i="32"/>
  <c r="E463" i="32" s="1"/>
  <c r="K463" i="32"/>
  <c r="L463" i="32"/>
  <c r="C464" i="32"/>
  <c r="G464" i="32"/>
  <c r="H464" i="32"/>
  <c r="I464" i="32"/>
  <c r="D464" i="32" s="1"/>
  <c r="J464" i="32"/>
  <c r="E464" i="32" s="1"/>
  <c r="K464" i="32"/>
  <c r="L464" i="32"/>
  <c r="C465" i="32"/>
  <c r="G465" i="32"/>
  <c r="F465" i="32" s="1"/>
  <c r="H465" i="32"/>
  <c r="I465" i="32"/>
  <c r="D465" i="32" s="1"/>
  <c r="J465" i="32"/>
  <c r="E465" i="32" s="1"/>
  <c r="K465" i="32"/>
  <c r="L465" i="32"/>
  <c r="C466" i="32"/>
  <c r="D466" i="32"/>
  <c r="G466" i="32"/>
  <c r="H466" i="32"/>
  <c r="I466" i="32"/>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F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D475" i="32"/>
  <c r="E475" i="32"/>
  <c r="G475" i="32"/>
  <c r="H475" i="32"/>
  <c r="I475" i="32"/>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D480" i="32"/>
  <c r="G480" i="32"/>
  <c r="H480" i="32"/>
  <c r="I480" i="32"/>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F484" i="32" s="1"/>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F487" i="32" s="1"/>
  <c r="H487" i="32"/>
  <c r="I487" i="32"/>
  <c r="D487" i="32" s="1"/>
  <c r="J487" i="32"/>
  <c r="E487" i="32" s="1"/>
  <c r="K487" i="32"/>
  <c r="L487" i="32"/>
  <c r="C488" i="32"/>
  <c r="E488" i="32"/>
  <c r="F488" i="32"/>
  <c r="G488" i="32"/>
  <c r="H488" i="32"/>
  <c r="I488" i="32"/>
  <c r="D488" i="32" s="1"/>
  <c r="J488" i="32"/>
  <c r="K488" i="32"/>
  <c r="L488" i="32"/>
  <c r="C489" i="32"/>
  <c r="G489" i="32"/>
  <c r="H489" i="32"/>
  <c r="I489" i="32"/>
  <c r="D489" i="32" s="1"/>
  <c r="J489" i="32"/>
  <c r="E489" i="32" s="1"/>
  <c r="K489" i="32"/>
  <c r="L489" i="32"/>
  <c r="C490" i="32"/>
  <c r="D490" i="32"/>
  <c r="G490" i="32"/>
  <c r="F490" i="32" s="1"/>
  <c r="H490" i="32"/>
  <c r="I490" i="32"/>
  <c r="J490" i="32"/>
  <c r="E490" i="32" s="1"/>
  <c r="K490" i="32"/>
  <c r="L490" i="32"/>
  <c r="C491" i="32"/>
  <c r="G491" i="32"/>
  <c r="H491" i="32"/>
  <c r="I491" i="32"/>
  <c r="D491" i="32" s="1"/>
  <c r="J491" i="32"/>
  <c r="E491" i="32" s="1"/>
  <c r="K491" i="32"/>
  <c r="L491" i="32"/>
  <c r="C492" i="32"/>
  <c r="D492" i="32"/>
  <c r="G492" i="32"/>
  <c r="F492" i="32" s="1"/>
  <c r="H492" i="32"/>
  <c r="I492" i="32"/>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D497" i="32"/>
  <c r="G497" i="32"/>
  <c r="H497" i="32"/>
  <c r="F497" i="32" s="1"/>
  <c r="I497" i="32"/>
  <c r="J497" i="32"/>
  <c r="E497" i="32" s="1"/>
  <c r="K497" i="32"/>
  <c r="L497" i="32"/>
  <c r="C498" i="32"/>
  <c r="G498" i="32"/>
  <c r="F498" i="32" s="1"/>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E501" i="32"/>
  <c r="G501" i="32"/>
  <c r="H501" i="32"/>
  <c r="I501" i="32"/>
  <c r="D501" i="32" s="1"/>
  <c r="J501" i="32"/>
  <c r="K501" i="32"/>
  <c r="L501" i="32"/>
  <c r="C502" i="32"/>
  <c r="E502" i="32"/>
  <c r="F502" i="32"/>
  <c r="G502" i="32"/>
  <c r="H502" i="32"/>
  <c r="I502" i="32"/>
  <c r="D502" i="32" s="1"/>
  <c r="J502" i="32"/>
  <c r="K502" i="32"/>
  <c r="L502" i="32"/>
  <c r="C503" i="32"/>
  <c r="G503" i="32"/>
  <c r="H503" i="32"/>
  <c r="I503" i="32"/>
  <c r="D503" i="32" s="1"/>
  <c r="J503" i="32"/>
  <c r="E503" i="32" s="1"/>
  <c r="K503" i="32"/>
  <c r="L503" i="32"/>
  <c r="C504" i="32"/>
  <c r="G504" i="32"/>
  <c r="H504" i="32"/>
  <c r="I504" i="32"/>
  <c r="D504" i="32" s="1"/>
  <c r="J504" i="32"/>
  <c r="E504" i="32" s="1"/>
  <c r="K504" i="32"/>
  <c r="L504" i="32"/>
  <c r="C505" i="32"/>
  <c r="D505" i="32"/>
  <c r="G505" i="32"/>
  <c r="H505" i="32"/>
  <c r="I505" i="32"/>
  <c r="J505" i="32"/>
  <c r="E505" i="32" s="1"/>
  <c r="K505" i="32"/>
  <c r="L505" i="32"/>
  <c r="C506" i="32"/>
  <c r="G506" i="32"/>
  <c r="F506" i="32" s="1"/>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F512" i="32" s="1"/>
  <c r="H512" i="32"/>
  <c r="I512" i="32"/>
  <c r="D512" i="32" s="1"/>
  <c r="J512" i="32"/>
  <c r="E512" i="32" s="1"/>
  <c r="K512" i="32"/>
  <c r="L512" i="32"/>
  <c r="C513" i="32"/>
  <c r="G513" i="32"/>
  <c r="H513" i="32"/>
  <c r="I513" i="32"/>
  <c r="D513" i="32" s="1"/>
  <c r="J513" i="32"/>
  <c r="E513" i="32" s="1"/>
  <c r="K513" i="32"/>
  <c r="L513" i="32"/>
  <c r="C514" i="32"/>
  <c r="G514" i="32"/>
  <c r="F514" i="32" s="1"/>
  <c r="H514" i="32"/>
  <c r="I514" i="32"/>
  <c r="D514" i="32" s="1"/>
  <c r="J514" i="32"/>
  <c r="E514" i="32" s="1"/>
  <c r="K514" i="32"/>
  <c r="L514" i="32"/>
  <c r="C515" i="32"/>
  <c r="E515" i="32"/>
  <c r="G515" i="32"/>
  <c r="H515" i="32"/>
  <c r="F515" i="32" s="1"/>
  <c r="I515" i="32"/>
  <c r="D515" i="32" s="1"/>
  <c r="J515" i="32"/>
  <c r="K515" i="32"/>
  <c r="L515" i="32"/>
  <c r="C516" i="32"/>
  <c r="G516" i="32"/>
  <c r="F516" i="32" s="1"/>
  <c r="H516" i="32"/>
  <c r="I516" i="32"/>
  <c r="D516" i="32" s="1"/>
  <c r="J516" i="32"/>
  <c r="E516" i="32" s="1"/>
  <c r="K516" i="32"/>
  <c r="L516" i="32"/>
  <c r="C517" i="32"/>
  <c r="G517" i="32"/>
  <c r="H517" i="32"/>
  <c r="I517" i="32"/>
  <c r="D517" i="32" s="1"/>
  <c r="J517" i="32"/>
  <c r="E517" i="32" s="1"/>
  <c r="K517" i="32"/>
  <c r="L517" i="32"/>
  <c r="C518" i="32"/>
  <c r="E518" i="32"/>
  <c r="G518" i="32"/>
  <c r="F518" i="32" s="1"/>
  <c r="H518" i="32"/>
  <c r="I518" i="32"/>
  <c r="D518" i="32" s="1"/>
  <c r="J518" i="32"/>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F522" i="32" s="1"/>
  <c r="H522" i="32"/>
  <c r="I522" i="32"/>
  <c r="D522" i="32" s="1"/>
  <c r="J522" i="32"/>
  <c r="E522" i="32" s="1"/>
  <c r="K522" i="32"/>
  <c r="L522" i="32"/>
  <c r="C523" i="32"/>
  <c r="G523" i="32"/>
  <c r="F523" i="32" s="1"/>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E528" i="32"/>
  <c r="G528" i="32"/>
  <c r="F528" i="32" s="1"/>
  <c r="H528" i="32"/>
  <c r="I528" i="32"/>
  <c r="D528" i="32" s="1"/>
  <c r="J528" i="32"/>
  <c r="K528" i="32"/>
  <c r="L528" i="32"/>
  <c r="C529" i="32"/>
  <c r="E529" i="32"/>
  <c r="G529" i="32"/>
  <c r="H529" i="32"/>
  <c r="I529" i="32"/>
  <c r="D529" i="32" s="1"/>
  <c r="J529" i="32"/>
  <c r="K529" i="32"/>
  <c r="L529" i="32"/>
  <c r="C530" i="32"/>
  <c r="G530" i="32"/>
  <c r="H530" i="32"/>
  <c r="I530" i="32"/>
  <c r="D530" i="32" s="1"/>
  <c r="J530" i="32"/>
  <c r="E530" i="32" s="1"/>
  <c r="K530" i="32"/>
  <c r="L530" i="32"/>
  <c r="C531" i="32"/>
  <c r="D531" i="32"/>
  <c r="G531" i="32"/>
  <c r="H531" i="32"/>
  <c r="I531" i="32"/>
  <c r="J531" i="32"/>
  <c r="E531" i="32" s="1"/>
  <c r="K531" i="32"/>
  <c r="L531" i="32"/>
  <c r="C532" i="32"/>
  <c r="D532" i="32"/>
  <c r="F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F538" i="32" s="1"/>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D541" i="32"/>
  <c r="G541" i="32"/>
  <c r="H541" i="32"/>
  <c r="I541" i="32"/>
  <c r="J541" i="32"/>
  <c r="E541" i="32" s="1"/>
  <c r="K541" i="32"/>
  <c r="L541" i="32"/>
  <c r="C542" i="32"/>
  <c r="E542" i="32"/>
  <c r="G542" i="32"/>
  <c r="F542" i="32" s="1"/>
  <c r="H542" i="32"/>
  <c r="I542" i="32"/>
  <c r="D542" i="32" s="1"/>
  <c r="J542" i="32"/>
  <c r="K542" i="32"/>
  <c r="L542" i="32"/>
  <c r="C543" i="32"/>
  <c r="G543" i="32"/>
  <c r="H543" i="32"/>
  <c r="F543" i="32" s="1"/>
  <c r="I543" i="32"/>
  <c r="D543" i="32" s="1"/>
  <c r="J543" i="32"/>
  <c r="E543" i="32" s="1"/>
  <c r="K543" i="32"/>
  <c r="L543" i="32"/>
  <c r="C544" i="32"/>
  <c r="G544" i="32"/>
  <c r="H544" i="32"/>
  <c r="I544" i="32"/>
  <c r="D544" i="32" s="1"/>
  <c r="J544" i="32"/>
  <c r="E544" i="32" s="1"/>
  <c r="K544" i="32"/>
  <c r="L544" i="32"/>
  <c r="C545" i="32"/>
  <c r="F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E549" i="32"/>
  <c r="G549" i="32"/>
  <c r="H549" i="32"/>
  <c r="F549" i="32" s="1"/>
  <c r="I549" i="32"/>
  <c r="D549" i="32" s="1"/>
  <c r="J549" i="32"/>
  <c r="K549" i="32"/>
  <c r="L549" i="32"/>
  <c r="C550" i="32"/>
  <c r="G550" i="32"/>
  <c r="H550" i="32"/>
  <c r="I550" i="32"/>
  <c r="D550" i="32" s="1"/>
  <c r="J550" i="32"/>
  <c r="E550" i="32" s="1"/>
  <c r="K550" i="32"/>
  <c r="L550" i="32"/>
  <c r="C551" i="32"/>
  <c r="E551" i="32"/>
  <c r="G551" i="32"/>
  <c r="H551" i="32"/>
  <c r="I551" i="32"/>
  <c r="D551" i="32" s="1"/>
  <c r="J551" i="32"/>
  <c r="K551" i="32"/>
  <c r="L551" i="32"/>
  <c r="C552" i="32"/>
  <c r="G552" i="32"/>
  <c r="F552" i="32" s="1"/>
  <c r="H552" i="32"/>
  <c r="I552" i="32"/>
  <c r="D552" i="32" s="1"/>
  <c r="J552" i="32"/>
  <c r="E552" i="32" s="1"/>
  <c r="K552" i="32"/>
  <c r="L552" i="32"/>
  <c r="C553" i="32"/>
  <c r="G553" i="32"/>
  <c r="H553" i="32"/>
  <c r="I553" i="32"/>
  <c r="D553" i="32" s="1"/>
  <c r="J553" i="32"/>
  <c r="E553" i="32" s="1"/>
  <c r="K553" i="32"/>
  <c r="L553" i="32"/>
  <c r="C554" i="32"/>
  <c r="F554" i="32"/>
  <c r="G554" i="32"/>
  <c r="H554" i="32"/>
  <c r="I554" i="32"/>
  <c r="D554" i="32" s="1"/>
  <c r="J554" i="32"/>
  <c r="E554" i="32" s="1"/>
  <c r="K554" i="32"/>
  <c r="L554" i="32"/>
  <c r="C555" i="32"/>
  <c r="G555" i="32"/>
  <c r="H555" i="32"/>
  <c r="I555" i="32"/>
  <c r="D555" i="32" s="1"/>
  <c r="J555" i="32"/>
  <c r="E555" i="32" s="1"/>
  <c r="K555" i="32"/>
  <c r="L555" i="32"/>
  <c r="C556" i="32"/>
  <c r="E556" i="32"/>
  <c r="G556" i="32"/>
  <c r="H556" i="32"/>
  <c r="I556" i="32"/>
  <c r="D556" i="32" s="1"/>
  <c r="J556" i="32"/>
  <c r="K556" i="32"/>
  <c r="L556" i="32"/>
  <c r="C557" i="32"/>
  <c r="E557" i="32"/>
  <c r="G557" i="32"/>
  <c r="F557" i="32" s="1"/>
  <c r="H557" i="32"/>
  <c r="I557" i="32"/>
  <c r="D557" i="32" s="1"/>
  <c r="J557" i="32"/>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D560" i="32"/>
  <c r="G560" i="32"/>
  <c r="H560" i="32"/>
  <c r="F560" i="32" s="1"/>
  <c r="I560" i="32"/>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F567" i="32" s="1"/>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D579" i="32"/>
  <c r="G579" i="32"/>
  <c r="H579" i="32"/>
  <c r="I579" i="32"/>
  <c r="J579" i="32"/>
  <c r="E579" i="32" s="1"/>
  <c r="K579" i="32"/>
  <c r="L579" i="32"/>
  <c r="C580" i="32"/>
  <c r="E580" i="32"/>
  <c r="G580" i="32"/>
  <c r="H580" i="32"/>
  <c r="I580" i="32"/>
  <c r="D580" i="32" s="1"/>
  <c r="J580" i="32"/>
  <c r="K580" i="32"/>
  <c r="L580" i="32"/>
  <c r="C581" i="32"/>
  <c r="G581" i="32"/>
  <c r="F581" i="32" s="1"/>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E584" i="32"/>
  <c r="G584" i="32"/>
  <c r="H584" i="32"/>
  <c r="I584" i="32"/>
  <c r="D584" i="32" s="1"/>
  <c r="J584" i="32"/>
  <c r="K584" i="32"/>
  <c r="L584" i="32"/>
  <c r="C585" i="32"/>
  <c r="G585" i="32"/>
  <c r="F585" i="32" s="1"/>
  <c r="H585" i="32"/>
  <c r="I585" i="32"/>
  <c r="D585" i="32" s="1"/>
  <c r="J585" i="32"/>
  <c r="E585" i="32" s="1"/>
  <c r="K585" i="32"/>
  <c r="L585" i="32"/>
  <c r="C586" i="32"/>
  <c r="G586" i="32"/>
  <c r="F586" i="32" s="1"/>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F589" i="32" s="1"/>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D596" i="32"/>
  <c r="G596" i="32"/>
  <c r="H596" i="32"/>
  <c r="I596" i="32"/>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F607" i="32" s="1"/>
  <c r="H607" i="32"/>
  <c r="I607" i="32"/>
  <c r="D607" i="32" s="1"/>
  <c r="J607" i="32"/>
  <c r="E607" i="32" s="1"/>
  <c r="K607" i="32"/>
  <c r="L607" i="32"/>
  <c r="C608" i="32"/>
  <c r="E608" i="32"/>
  <c r="G608" i="32"/>
  <c r="H608" i="32"/>
  <c r="I608" i="32"/>
  <c r="D608" i="32" s="1"/>
  <c r="J608" i="32"/>
  <c r="K608" i="32"/>
  <c r="L608" i="32"/>
  <c r="C609" i="32"/>
  <c r="G609" i="32"/>
  <c r="H609" i="32"/>
  <c r="F609" i="32" s="1"/>
  <c r="I609" i="32"/>
  <c r="D609" i="32" s="1"/>
  <c r="J609" i="32"/>
  <c r="E609" i="32" s="1"/>
  <c r="K609" i="32"/>
  <c r="L609" i="32"/>
  <c r="C610" i="32"/>
  <c r="D610" i="32"/>
  <c r="E610" i="32"/>
  <c r="G610" i="32"/>
  <c r="H610" i="32"/>
  <c r="I610" i="32"/>
  <c r="J610" i="32"/>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D614" i="32"/>
  <c r="G614" i="32"/>
  <c r="H614" i="32"/>
  <c r="I614" i="32"/>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D620" i="32"/>
  <c r="G620" i="32"/>
  <c r="H620" i="32"/>
  <c r="I620" i="32"/>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F625" i="32" s="1"/>
  <c r="H625" i="32"/>
  <c r="I625" i="32"/>
  <c r="D625" i="32" s="1"/>
  <c r="J625" i="32"/>
  <c r="E625" i="32" s="1"/>
  <c r="K625" i="32"/>
  <c r="L625" i="32"/>
  <c r="C626" i="32"/>
  <c r="D626" i="32"/>
  <c r="G626" i="32"/>
  <c r="H626" i="32"/>
  <c r="I626" i="32"/>
  <c r="J626" i="32"/>
  <c r="E626" i="32" s="1"/>
  <c r="K626" i="32"/>
  <c r="L626" i="32"/>
  <c r="C627" i="32"/>
  <c r="E627" i="32"/>
  <c r="G627" i="32"/>
  <c r="H627" i="32"/>
  <c r="I627" i="32"/>
  <c r="D627" i="32" s="1"/>
  <c r="J627" i="32"/>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F633" i="32"/>
  <c r="G633" i="32"/>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E637" i="32"/>
  <c r="G637" i="32"/>
  <c r="H637" i="32"/>
  <c r="I637" i="32"/>
  <c r="D637" i="32" s="1"/>
  <c r="J637" i="32"/>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F642" i="32" s="1"/>
  <c r="H642" i="32"/>
  <c r="I642" i="32"/>
  <c r="D642" i="32" s="1"/>
  <c r="J642" i="32"/>
  <c r="E642" i="32" s="1"/>
  <c r="K642" i="32"/>
  <c r="L642" i="32"/>
  <c r="C643" i="32"/>
  <c r="E643" i="32"/>
  <c r="G643" i="32"/>
  <c r="H643" i="32"/>
  <c r="F643" i="32" s="1"/>
  <c r="I643" i="32"/>
  <c r="D643" i="32" s="1"/>
  <c r="J643" i="32"/>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F646" i="32" s="1"/>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D649" i="32"/>
  <c r="E649" i="32"/>
  <c r="G649" i="32"/>
  <c r="H649" i="32"/>
  <c r="F649" i="32" s="1"/>
  <c r="I649" i="32"/>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E653" i="32"/>
  <c r="G653" i="32"/>
  <c r="F653" i="32" s="1"/>
  <c r="H653" i="32"/>
  <c r="I653" i="32"/>
  <c r="D653" i="32" s="1"/>
  <c r="J653" i="32"/>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D658" i="32"/>
  <c r="G658" i="32"/>
  <c r="H658" i="32"/>
  <c r="I658" i="32"/>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D662" i="32"/>
  <c r="G662" i="32"/>
  <c r="H662" i="32"/>
  <c r="I662" i="32"/>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D665" i="32"/>
  <c r="G665" i="32"/>
  <c r="H665" i="32"/>
  <c r="I665" i="32"/>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D670" i="32"/>
  <c r="G670" i="32"/>
  <c r="H670" i="32"/>
  <c r="I670" i="32"/>
  <c r="J670" i="32"/>
  <c r="E670" i="32" s="1"/>
  <c r="K670" i="32"/>
  <c r="L670" i="32"/>
  <c r="C671" i="32"/>
  <c r="F671" i="32"/>
  <c r="G671" i="32"/>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D676" i="32"/>
  <c r="G676" i="32"/>
  <c r="H676" i="32"/>
  <c r="I676" i="32"/>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E680" i="32"/>
  <c r="G680" i="32"/>
  <c r="F680" i="32" s="1"/>
  <c r="H680" i="32"/>
  <c r="I680" i="32"/>
  <c r="D680" i="32" s="1"/>
  <c r="J680" i="32"/>
  <c r="K680" i="32"/>
  <c r="L680" i="32"/>
  <c r="C681" i="32"/>
  <c r="G681" i="32"/>
  <c r="F681" i="32" s="1"/>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F684" i="32" s="1"/>
  <c r="I684" i="32"/>
  <c r="D684" i="32" s="1"/>
  <c r="J684" i="32"/>
  <c r="E684" i="32" s="1"/>
  <c r="K684" i="32"/>
  <c r="L684" i="32"/>
  <c r="C685" i="32"/>
  <c r="G685" i="32"/>
  <c r="H685" i="32"/>
  <c r="I685" i="32"/>
  <c r="D685" i="32" s="1"/>
  <c r="J685" i="32"/>
  <c r="E685" i="32" s="1"/>
  <c r="K685" i="32"/>
  <c r="L685" i="32"/>
  <c r="C686" i="32"/>
  <c r="D686" i="32"/>
  <c r="G686" i="32"/>
  <c r="F686" i="32" s="1"/>
  <c r="H686" i="32"/>
  <c r="I686" i="32"/>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F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E693" i="32"/>
  <c r="G693" i="32"/>
  <c r="H693" i="32"/>
  <c r="I693" i="32"/>
  <c r="D693" i="32" s="1"/>
  <c r="J693" i="32"/>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E698" i="32"/>
  <c r="G698" i="32"/>
  <c r="H698" i="32"/>
  <c r="I698" i="32"/>
  <c r="D698" i="32" s="1"/>
  <c r="J698" i="32"/>
  <c r="K698" i="32"/>
  <c r="L698" i="32"/>
  <c r="C699" i="32"/>
  <c r="D699" i="32"/>
  <c r="G699" i="32"/>
  <c r="H699" i="32"/>
  <c r="I699" i="32"/>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D702" i="32"/>
  <c r="G702" i="32"/>
  <c r="F702" i="32" s="1"/>
  <c r="H702" i="32"/>
  <c r="I702" i="32"/>
  <c r="J702" i="32"/>
  <c r="E702" i="32" s="1"/>
  <c r="K702" i="32"/>
  <c r="L702" i="32"/>
  <c r="C703" i="32"/>
  <c r="G703" i="32"/>
  <c r="F703" i="32" s="1"/>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F708" i="32" s="1"/>
  <c r="H708" i="32"/>
  <c r="I708" i="32"/>
  <c r="D708" i="32" s="1"/>
  <c r="J708" i="32"/>
  <c r="E708" i="32" s="1"/>
  <c r="K708" i="32"/>
  <c r="L708" i="32"/>
  <c r="C709" i="32"/>
  <c r="G709" i="32"/>
  <c r="F709" i="32" s="1"/>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D724" i="32"/>
  <c r="G724" i="32"/>
  <c r="H724" i="32"/>
  <c r="I724" i="32"/>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F729" i="32" s="1"/>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E736" i="32"/>
  <c r="G736" i="32"/>
  <c r="H736" i="32"/>
  <c r="I736" i="32"/>
  <c r="D736" i="32" s="1"/>
  <c r="J736" i="32"/>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D741" i="32"/>
  <c r="G741" i="32"/>
  <c r="F741" i="32" s="1"/>
  <c r="H741" i="32"/>
  <c r="I741" i="32"/>
  <c r="J741" i="32"/>
  <c r="E741" i="32" s="1"/>
  <c r="K741" i="32"/>
  <c r="L741" i="32"/>
  <c r="C742" i="32"/>
  <c r="G742" i="32"/>
  <c r="H742" i="32"/>
  <c r="I742" i="32"/>
  <c r="D742" i="32" s="1"/>
  <c r="J742" i="32"/>
  <c r="E742" i="32" s="1"/>
  <c r="K742" i="32"/>
  <c r="L742" i="32"/>
  <c r="C743" i="32"/>
  <c r="D743" i="32"/>
  <c r="E743" i="32"/>
  <c r="G743" i="32"/>
  <c r="F743" i="32" s="1"/>
  <c r="H743" i="32"/>
  <c r="I743" i="32"/>
  <c r="J743" i="32"/>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E752" i="32"/>
  <c r="G752" i="32"/>
  <c r="F752" i="32" s="1"/>
  <c r="H752" i="32"/>
  <c r="I752" i="32"/>
  <c r="J752" i="32"/>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F757" i="32" s="1"/>
  <c r="H757" i="32"/>
  <c r="I757" i="32"/>
  <c r="D757" i="32" s="1"/>
  <c r="J757" i="32"/>
  <c r="E757" i="32" s="1"/>
  <c r="K757" i="32"/>
  <c r="L757" i="32"/>
  <c r="C758" i="32"/>
  <c r="E758" i="32"/>
  <c r="F758" i="32"/>
  <c r="G758" i="32"/>
  <c r="H758" i="32"/>
  <c r="I758" i="32"/>
  <c r="D758" i="32" s="1"/>
  <c r="J758" i="32"/>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F764" i="32" s="1"/>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D769" i="32"/>
  <c r="G769" i="32"/>
  <c r="H769" i="32"/>
  <c r="I769" i="32"/>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F779" i="32" s="1"/>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D782" i="32"/>
  <c r="E782" i="32"/>
  <c r="G782" i="32"/>
  <c r="F782" i="32" s="1"/>
  <c r="H782" i="32"/>
  <c r="I782" i="32"/>
  <c r="J782" i="32"/>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D786" i="32"/>
  <c r="G786" i="32"/>
  <c r="H786" i="32"/>
  <c r="I786" i="32"/>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D791" i="32"/>
  <c r="G791" i="32"/>
  <c r="H791" i="32"/>
  <c r="I791" i="32"/>
  <c r="J791" i="32"/>
  <c r="E791" i="32" s="1"/>
  <c r="K791" i="32"/>
  <c r="L791" i="32"/>
  <c r="C792" i="32"/>
  <c r="D792" i="32"/>
  <c r="G792" i="32"/>
  <c r="H792" i="32"/>
  <c r="I792" i="32"/>
  <c r="J792" i="32"/>
  <c r="E792" i="32" s="1"/>
  <c r="K792" i="32"/>
  <c r="L792" i="32"/>
  <c r="C793" i="32"/>
  <c r="G793" i="32"/>
  <c r="H793" i="32"/>
  <c r="F793" i="32" s="1"/>
  <c r="I793" i="32"/>
  <c r="D793" i="32" s="1"/>
  <c r="J793" i="32"/>
  <c r="E793" i="32" s="1"/>
  <c r="K793" i="32"/>
  <c r="L793" i="32"/>
  <c r="C794" i="32"/>
  <c r="D794" i="32"/>
  <c r="G794" i="32"/>
  <c r="H794" i="32"/>
  <c r="I794" i="32"/>
  <c r="J794" i="32"/>
  <c r="E794" i="32" s="1"/>
  <c r="K794" i="32"/>
  <c r="L794" i="32"/>
  <c r="C795" i="32"/>
  <c r="G795" i="32"/>
  <c r="H795" i="32"/>
  <c r="I795" i="32"/>
  <c r="D795" i="32" s="1"/>
  <c r="J795" i="32"/>
  <c r="E795" i="32" s="1"/>
  <c r="K795" i="32"/>
  <c r="L795" i="32"/>
  <c r="C796" i="32"/>
  <c r="G796" i="32"/>
  <c r="F796" i="32" s="1"/>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F799" i="32" s="1"/>
  <c r="H799" i="32"/>
  <c r="I799" i="32"/>
  <c r="D799" i="32" s="1"/>
  <c r="J799" i="32"/>
  <c r="E799" i="32" s="1"/>
  <c r="K799" i="32"/>
  <c r="L799" i="32"/>
  <c r="C800" i="32"/>
  <c r="G800" i="32"/>
  <c r="F800" i="32" s="1"/>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E809" i="32"/>
  <c r="G809" i="32"/>
  <c r="H809" i="32"/>
  <c r="I809" i="32"/>
  <c r="D809" i="32" s="1"/>
  <c r="J809" i="32"/>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F818" i="32" s="1"/>
  <c r="H818" i="32"/>
  <c r="I818" i="32"/>
  <c r="D818" i="32" s="1"/>
  <c r="J818" i="32"/>
  <c r="E818" i="32" s="1"/>
  <c r="K818" i="32"/>
  <c r="L818" i="32"/>
  <c r="C819" i="32"/>
  <c r="E819" i="32"/>
  <c r="G819" i="32"/>
  <c r="H819" i="32"/>
  <c r="I819" i="32"/>
  <c r="D819" i="32" s="1"/>
  <c r="J819" i="32"/>
  <c r="K819" i="32"/>
  <c r="L819" i="32"/>
  <c r="C820" i="32"/>
  <c r="G820" i="32"/>
  <c r="H820" i="32"/>
  <c r="I820" i="32"/>
  <c r="D820" i="32" s="1"/>
  <c r="J820" i="32"/>
  <c r="E820" i="32" s="1"/>
  <c r="K820" i="32"/>
  <c r="L820" i="32"/>
  <c r="C821" i="32"/>
  <c r="E821" i="32"/>
  <c r="G821" i="32"/>
  <c r="H821" i="32"/>
  <c r="I821" i="32"/>
  <c r="D821" i="32" s="1"/>
  <c r="J821" i="32"/>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D824" i="32"/>
  <c r="E824" i="32"/>
  <c r="G824" i="32"/>
  <c r="H824" i="32"/>
  <c r="I824" i="32"/>
  <c r="J824" i="32"/>
  <c r="K824" i="32"/>
  <c r="L824" i="32"/>
  <c r="C825" i="32"/>
  <c r="G825" i="32"/>
  <c r="H825" i="32"/>
  <c r="I825" i="32"/>
  <c r="D825" i="32" s="1"/>
  <c r="J825" i="32"/>
  <c r="E825" i="32" s="1"/>
  <c r="K825" i="32"/>
  <c r="L825" i="32"/>
  <c r="C826" i="32"/>
  <c r="G826" i="32"/>
  <c r="F826" i="32" s="1"/>
  <c r="H826" i="32"/>
  <c r="I826" i="32"/>
  <c r="D826" i="32" s="1"/>
  <c r="J826" i="32"/>
  <c r="E826" i="32" s="1"/>
  <c r="K826" i="32"/>
  <c r="L826" i="32"/>
  <c r="C827" i="32"/>
  <c r="G827" i="32"/>
  <c r="H827" i="32"/>
  <c r="I827" i="32"/>
  <c r="D827" i="32" s="1"/>
  <c r="J827" i="32"/>
  <c r="E827" i="32" s="1"/>
  <c r="K827" i="32"/>
  <c r="L827" i="32"/>
  <c r="C828" i="32"/>
  <c r="G828" i="32"/>
  <c r="H828" i="32"/>
  <c r="F828" i="32" s="1"/>
  <c r="I828" i="32"/>
  <c r="D828" i="32" s="1"/>
  <c r="J828" i="32"/>
  <c r="E828" i="32" s="1"/>
  <c r="K828" i="32"/>
  <c r="L828" i="32"/>
  <c r="C829" i="32"/>
  <c r="G829" i="32"/>
  <c r="F829" i="32" s="1"/>
  <c r="H829" i="32"/>
  <c r="I829" i="32"/>
  <c r="D829" i="32" s="1"/>
  <c r="J829" i="32"/>
  <c r="E829" i="32" s="1"/>
  <c r="K829" i="32"/>
  <c r="L829" i="32"/>
  <c r="C830" i="32"/>
  <c r="E830" i="32"/>
  <c r="G830" i="32"/>
  <c r="H830" i="32"/>
  <c r="F830" i="32" s="1"/>
  <c r="I830" i="32"/>
  <c r="D830" i="32" s="1"/>
  <c r="J830" i="32"/>
  <c r="K830" i="32"/>
  <c r="L830" i="32"/>
  <c r="C831" i="32"/>
  <c r="G831" i="32"/>
  <c r="F831" i="32" s="1"/>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D841" i="32"/>
  <c r="G841" i="32"/>
  <c r="H841" i="32"/>
  <c r="I841" i="32"/>
  <c r="J841" i="32"/>
  <c r="E841" i="32" s="1"/>
  <c r="K841" i="32"/>
  <c r="L841" i="32"/>
  <c r="C842" i="32"/>
  <c r="G842" i="32"/>
  <c r="F842" i="32" s="1"/>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E845" i="32"/>
  <c r="G845" i="32"/>
  <c r="H845" i="32"/>
  <c r="I845" i="32"/>
  <c r="D845" i="32" s="1"/>
  <c r="J845" i="32"/>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E854" i="32"/>
  <c r="G854" i="32"/>
  <c r="H854" i="32"/>
  <c r="I854" i="32"/>
  <c r="D854" i="32" s="1"/>
  <c r="J854" i="32"/>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F857" i="32" s="1"/>
  <c r="H857" i="32"/>
  <c r="I857" i="32"/>
  <c r="D857" i="32" s="1"/>
  <c r="J857" i="32"/>
  <c r="E857" i="32" s="1"/>
  <c r="K857" i="32"/>
  <c r="L857" i="32"/>
  <c r="C858" i="32"/>
  <c r="G858" i="32"/>
  <c r="F858" i="32" s="1"/>
  <c r="H858" i="32"/>
  <c r="I858" i="32"/>
  <c r="D858" i="32" s="1"/>
  <c r="J858" i="32"/>
  <c r="E858" i="32" s="1"/>
  <c r="K858" i="32"/>
  <c r="L858" i="32"/>
  <c r="C859" i="32"/>
  <c r="D859" i="32"/>
  <c r="G859" i="32"/>
  <c r="H859" i="32"/>
  <c r="I859" i="32"/>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D867" i="32"/>
  <c r="G867" i="32"/>
  <c r="H867" i="32"/>
  <c r="I867" i="32"/>
  <c r="J867" i="32"/>
  <c r="E867" i="32" s="1"/>
  <c r="K867" i="32"/>
  <c r="L867" i="32"/>
  <c r="C868" i="32"/>
  <c r="G868" i="32"/>
  <c r="H868" i="32"/>
  <c r="I868" i="32"/>
  <c r="D868" i="32" s="1"/>
  <c r="J868" i="32"/>
  <c r="E868" i="32" s="1"/>
  <c r="K868" i="32"/>
  <c r="L868" i="32"/>
  <c r="C869" i="32"/>
  <c r="E869" i="32"/>
  <c r="G869" i="32"/>
  <c r="H869" i="32"/>
  <c r="I869" i="32"/>
  <c r="D869" i="32" s="1"/>
  <c r="J869" i="32"/>
  <c r="K869" i="32"/>
  <c r="L869" i="32"/>
  <c r="C870" i="32"/>
  <c r="G870" i="32"/>
  <c r="H870" i="32"/>
  <c r="I870" i="32"/>
  <c r="D870" i="32" s="1"/>
  <c r="J870" i="32"/>
  <c r="E870" i="32" s="1"/>
  <c r="K870" i="32"/>
  <c r="L870" i="32"/>
  <c r="C871" i="32"/>
  <c r="F871" i="32"/>
  <c r="G871" i="32"/>
  <c r="H871" i="32"/>
  <c r="I871" i="32"/>
  <c r="D871" i="32" s="1"/>
  <c r="J871" i="32"/>
  <c r="E871" i="32" s="1"/>
  <c r="K871" i="32"/>
  <c r="L871" i="32"/>
  <c r="C872" i="32"/>
  <c r="G872" i="32"/>
  <c r="H872" i="32"/>
  <c r="I872" i="32"/>
  <c r="D872" i="32" s="1"/>
  <c r="J872" i="32"/>
  <c r="E872" i="32" s="1"/>
  <c r="K872" i="32"/>
  <c r="L872" i="32"/>
  <c r="C873" i="32"/>
  <c r="F873" i="32"/>
  <c r="G873" i="32"/>
  <c r="H873" i="32"/>
  <c r="I873" i="32"/>
  <c r="D873" i="32" s="1"/>
  <c r="J873" i="32"/>
  <c r="E873" i="32" s="1"/>
  <c r="K873" i="32"/>
  <c r="L873" i="32"/>
  <c r="C874" i="32"/>
  <c r="G874" i="32"/>
  <c r="F874" i="32" s="1"/>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F877" i="32" s="1"/>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F881" i="32"/>
  <c r="G881" i="32"/>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F888" i="32" s="1"/>
  <c r="H888" i="32"/>
  <c r="I888" i="32"/>
  <c r="D888" i="32" s="1"/>
  <c r="J888" i="32"/>
  <c r="E888" i="32" s="1"/>
  <c r="K888" i="32"/>
  <c r="L888" i="32"/>
  <c r="C889" i="32"/>
  <c r="G889" i="32"/>
  <c r="H889" i="32"/>
  <c r="I889" i="32"/>
  <c r="D889" i="32" s="1"/>
  <c r="J889" i="32"/>
  <c r="E889" i="32" s="1"/>
  <c r="K889" i="32"/>
  <c r="L889" i="32"/>
  <c r="C890" i="32"/>
  <c r="D890" i="32"/>
  <c r="G890" i="32"/>
  <c r="H890" i="32"/>
  <c r="F890" i="32" s="1"/>
  <c r="I890" i="32"/>
  <c r="J890" i="32"/>
  <c r="E890" i="32" s="1"/>
  <c r="K890" i="32"/>
  <c r="L890" i="32"/>
  <c r="C891" i="32"/>
  <c r="G891" i="32"/>
  <c r="H891" i="32"/>
  <c r="I891" i="32"/>
  <c r="D891" i="32" s="1"/>
  <c r="J891" i="32"/>
  <c r="E891" i="32" s="1"/>
  <c r="K891" i="32"/>
  <c r="L891" i="32"/>
  <c r="C892" i="32"/>
  <c r="D892" i="32"/>
  <c r="G892" i="32"/>
  <c r="F892" i="32" s="1"/>
  <c r="H892" i="32"/>
  <c r="I892" i="32"/>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F902" i="32" s="1"/>
  <c r="I902" i="32"/>
  <c r="D902" i="32" s="1"/>
  <c r="J902" i="32"/>
  <c r="E902" i="32" s="1"/>
  <c r="K902" i="32"/>
  <c r="L902" i="32"/>
  <c r="C903" i="32"/>
  <c r="G903" i="32"/>
  <c r="H903" i="32"/>
  <c r="I903" i="32"/>
  <c r="D903" i="32" s="1"/>
  <c r="J903" i="32"/>
  <c r="E903" i="32" s="1"/>
  <c r="K903" i="32"/>
  <c r="L903" i="32"/>
  <c r="C904" i="32"/>
  <c r="G904" i="32"/>
  <c r="F904" i="32" s="1"/>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F910" i="32" s="1"/>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D915" i="32"/>
  <c r="G915" i="32"/>
  <c r="H915" i="32"/>
  <c r="I915" i="32"/>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F919" i="32" s="1"/>
  <c r="H919" i="32"/>
  <c r="I919" i="32"/>
  <c r="D919" i="32" s="1"/>
  <c r="J919" i="32"/>
  <c r="E919" i="32" s="1"/>
  <c r="K919" i="32"/>
  <c r="L919" i="32"/>
  <c r="C920" i="32"/>
  <c r="E920" i="32"/>
  <c r="G920" i="32"/>
  <c r="H920" i="32"/>
  <c r="F920" i="32" s="1"/>
  <c r="I920" i="32"/>
  <c r="D920" i="32" s="1"/>
  <c r="J920" i="32"/>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F929" i="32"/>
  <c r="G929" i="32"/>
  <c r="H929" i="32"/>
  <c r="I929" i="32"/>
  <c r="D929" i="32" s="1"/>
  <c r="J929" i="32"/>
  <c r="E929" i="32" s="1"/>
  <c r="K929" i="32"/>
  <c r="L929" i="32"/>
  <c r="C930" i="32"/>
  <c r="D930" i="32"/>
  <c r="E930" i="32"/>
  <c r="G930" i="32"/>
  <c r="H930" i="32"/>
  <c r="F930" i="32" s="1"/>
  <c r="I930" i="32"/>
  <c r="J930" i="32"/>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F936" i="32" s="1"/>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F941" i="32" s="1"/>
  <c r="H941" i="32"/>
  <c r="I941" i="32"/>
  <c r="D941" i="32" s="1"/>
  <c r="J941" i="32"/>
  <c r="E941" i="32" s="1"/>
  <c r="K941" i="32"/>
  <c r="L941" i="32"/>
  <c r="C942" i="32"/>
  <c r="G942" i="32"/>
  <c r="H942" i="32"/>
  <c r="I942" i="32"/>
  <c r="D942" i="32" s="1"/>
  <c r="J942" i="32"/>
  <c r="E942" i="32" s="1"/>
  <c r="K942" i="32"/>
  <c r="L942" i="32"/>
  <c r="C943" i="32"/>
  <c r="G943" i="32"/>
  <c r="H943" i="32"/>
  <c r="F943" i="32" s="1"/>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D951" i="32"/>
  <c r="G951" i="32"/>
  <c r="H951" i="32"/>
  <c r="I951" i="32"/>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F956" i="32" s="1"/>
  <c r="I956" i="32"/>
  <c r="D956" i="32" s="1"/>
  <c r="J956" i="32"/>
  <c r="E956" i="32" s="1"/>
  <c r="K956" i="32"/>
  <c r="L956" i="32"/>
  <c r="C957" i="32"/>
  <c r="G957" i="32"/>
  <c r="H957" i="32"/>
  <c r="I957" i="32"/>
  <c r="D957" i="32" s="1"/>
  <c r="J957" i="32"/>
  <c r="E957" i="32" s="1"/>
  <c r="K957" i="32"/>
  <c r="L957" i="32"/>
  <c r="C958" i="32"/>
  <c r="D958" i="32"/>
  <c r="G958" i="32"/>
  <c r="H958" i="32"/>
  <c r="I958" i="32"/>
  <c r="J958" i="32"/>
  <c r="E958" i="32" s="1"/>
  <c r="K958" i="32"/>
  <c r="L958" i="32"/>
  <c r="C959" i="32"/>
  <c r="E959" i="32"/>
  <c r="G959" i="32"/>
  <c r="F959" i="32" s="1"/>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E963" i="32"/>
  <c r="G963" i="32"/>
  <c r="H963" i="32"/>
  <c r="I963" i="32"/>
  <c r="D963" i="32" s="1"/>
  <c r="J963" i="32"/>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D968" i="32"/>
  <c r="E968" i="32"/>
  <c r="G968" i="32"/>
  <c r="H968" i="32"/>
  <c r="I968" i="32"/>
  <c r="J968" i="32"/>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E983" i="32"/>
  <c r="G983" i="32"/>
  <c r="H983" i="32"/>
  <c r="I983" i="32"/>
  <c r="D983" i="32" s="1"/>
  <c r="J983" i="32"/>
  <c r="K983" i="32"/>
  <c r="L983" i="32"/>
  <c r="C984" i="32"/>
  <c r="G984" i="32"/>
  <c r="H984" i="32"/>
  <c r="I984" i="32"/>
  <c r="D984" i="32" s="1"/>
  <c r="J984" i="32"/>
  <c r="E984" i="32" s="1"/>
  <c r="K984" i="32"/>
  <c r="L984" i="32"/>
  <c r="C985" i="32"/>
  <c r="G985" i="32"/>
  <c r="H985" i="32"/>
  <c r="I985" i="32"/>
  <c r="D985" i="32" s="1"/>
  <c r="J985" i="32"/>
  <c r="E985" i="32" s="1"/>
  <c r="K985" i="32"/>
  <c r="L985" i="32"/>
  <c r="C986" i="32"/>
  <c r="E986" i="32"/>
  <c r="G986" i="32"/>
  <c r="H986" i="32"/>
  <c r="F986" i="32" s="1"/>
  <c r="I986" i="32"/>
  <c r="D986" i="32" s="1"/>
  <c r="J986" i="32"/>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E994" i="32"/>
  <c r="G994" i="32"/>
  <c r="H994" i="32"/>
  <c r="I994" i="32"/>
  <c r="D994" i="32" s="1"/>
  <c r="J994" i="32"/>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F997" i="32" s="1"/>
  <c r="H997" i="32"/>
  <c r="I997" i="32"/>
  <c r="D997" i="32" s="1"/>
  <c r="J997" i="32"/>
  <c r="E997" i="32" s="1"/>
  <c r="K997" i="32"/>
  <c r="L997" i="32"/>
  <c r="C998" i="32"/>
  <c r="G998" i="32"/>
  <c r="H998" i="32"/>
  <c r="I998" i="32"/>
  <c r="D998" i="32" s="1"/>
  <c r="J998" i="32"/>
  <c r="E998" i="32" s="1"/>
  <c r="K998" i="32"/>
  <c r="L998" i="32"/>
  <c r="C999" i="32"/>
  <c r="D999" i="32"/>
  <c r="G999" i="32"/>
  <c r="H999" i="32"/>
  <c r="I999" i="32"/>
  <c r="J999" i="32"/>
  <c r="E999" i="32" s="1"/>
  <c r="K999" i="32"/>
  <c r="L999" i="32"/>
  <c r="C1000" i="32"/>
  <c r="G1000" i="32"/>
  <c r="F1000" i="32" s="1"/>
  <c r="H1000" i="32"/>
  <c r="I1000" i="32"/>
  <c r="D1000" i="32" s="1"/>
  <c r="J1000" i="32"/>
  <c r="E1000" i="32" s="1"/>
  <c r="K1000" i="32"/>
  <c r="L1000" i="32"/>
  <c r="C1001" i="32"/>
  <c r="D1001" i="32"/>
  <c r="E1001" i="32"/>
  <c r="G1001" i="32"/>
  <c r="H1001" i="32"/>
  <c r="F1001" i="32" s="1"/>
  <c r="I1001" i="32"/>
  <c r="J1001" i="32"/>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D1006" i="32"/>
  <c r="G1006" i="32"/>
  <c r="H1006" i="32"/>
  <c r="I1006" i="32"/>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E1014" i="32"/>
  <c r="G1014" i="32"/>
  <c r="H1014" i="32"/>
  <c r="I1014" i="32"/>
  <c r="D1014" i="32" s="1"/>
  <c r="J1014" i="32"/>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D1017" i="32"/>
  <c r="G1017" i="32"/>
  <c r="H1017" i="32"/>
  <c r="I1017" i="32"/>
  <c r="J1017" i="32"/>
  <c r="E1017" i="32" s="1"/>
  <c r="K1017" i="32"/>
  <c r="L1017" i="32"/>
  <c r="C1018" i="32"/>
  <c r="D1018" i="32"/>
  <c r="G1018" i="32"/>
  <c r="F1018" i="32" s="1"/>
  <c r="H1018" i="32"/>
  <c r="I1018" i="32"/>
  <c r="J1018" i="32"/>
  <c r="E1018" i="32" s="1"/>
  <c r="K1018" i="32"/>
  <c r="L1018" i="32"/>
  <c r="C1019" i="32"/>
  <c r="D1019" i="32"/>
  <c r="G1019" i="32"/>
  <c r="H1019" i="32"/>
  <c r="I1019" i="32"/>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D1024" i="32"/>
  <c r="G1024" i="32"/>
  <c r="H1024" i="32"/>
  <c r="I1024" i="32"/>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F1028" i="32" s="1"/>
  <c r="H1028" i="32"/>
  <c r="I1028" i="32"/>
  <c r="D1028" i="32" s="1"/>
  <c r="J1028" i="32"/>
  <c r="E1028" i="32" s="1"/>
  <c r="K1028" i="32"/>
  <c r="L1028" i="32"/>
  <c r="C1029" i="32"/>
  <c r="G1029" i="32"/>
  <c r="H1029" i="32"/>
  <c r="I1029" i="32"/>
  <c r="D1029" i="32" s="1"/>
  <c r="J1029" i="32"/>
  <c r="E1029" i="32" s="1"/>
  <c r="K1029" i="32"/>
  <c r="L1029" i="32"/>
  <c r="C1030" i="32"/>
  <c r="E1030" i="32"/>
  <c r="G1030" i="32"/>
  <c r="H1030" i="32"/>
  <c r="I1030" i="32"/>
  <c r="D1030" i="32" s="1"/>
  <c r="J1030" i="32"/>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D1039" i="32"/>
  <c r="G1039" i="32"/>
  <c r="F1039" i="32" s="1"/>
  <c r="H1039" i="32"/>
  <c r="I1039" i="32"/>
  <c r="J1039" i="32"/>
  <c r="E1039" i="32" s="1"/>
  <c r="K1039" i="32"/>
  <c r="L1039" i="32"/>
  <c r="C1040" i="32"/>
  <c r="E1040" i="32"/>
  <c r="G1040" i="32"/>
  <c r="H1040" i="32"/>
  <c r="I1040" i="32"/>
  <c r="D1040" i="32" s="1"/>
  <c r="J1040" i="32"/>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D1045" i="32"/>
  <c r="G1045" i="32"/>
  <c r="H1045" i="32"/>
  <c r="I1045" i="32"/>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F1049" i="32" s="1"/>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F1052" i="32" s="1"/>
  <c r="H1052" i="32"/>
  <c r="I1052" i="32"/>
  <c r="D1052" i="32" s="1"/>
  <c r="J1052" i="32"/>
  <c r="E1052" i="32" s="1"/>
  <c r="K1052" i="32"/>
  <c r="L1052" i="32"/>
  <c r="C1053" i="32"/>
  <c r="E1053" i="32"/>
  <c r="F1053" i="32"/>
  <c r="G1053" i="32"/>
  <c r="H1053" i="32"/>
  <c r="I1053" i="32"/>
  <c r="D1053" i="32" s="1"/>
  <c r="J1053" i="32"/>
  <c r="K1053" i="32"/>
  <c r="L1053" i="32"/>
  <c r="C1054" i="32"/>
  <c r="G1054" i="32"/>
  <c r="F1054" i="32" s="1"/>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E1058" i="32"/>
  <c r="G1058" i="32"/>
  <c r="H1058" i="32"/>
  <c r="I1058" i="32"/>
  <c r="D1058" i="32" s="1"/>
  <c r="J1058" i="32"/>
  <c r="K1058" i="32"/>
  <c r="L1058" i="32"/>
  <c r="C1059" i="32"/>
  <c r="G1059" i="32"/>
  <c r="H1059" i="32"/>
  <c r="I1059" i="32"/>
  <c r="D1059" i="32" s="1"/>
  <c r="J1059" i="32"/>
  <c r="E1059" i="32" s="1"/>
  <c r="K1059" i="32"/>
  <c r="L1059" i="32"/>
  <c r="C1060" i="32"/>
  <c r="D1060" i="32"/>
  <c r="G1060" i="32"/>
  <c r="H1060" i="32"/>
  <c r="I1060" i="32"/>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D1064" i="32"/>
  <c r="G1064" i="32"/>
  <c r="H1064" i="32"/>
  <c r="F1064" i="32" s="1"/>
  <c r="I1064" i="32"/>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F1072" i="32" s="1"/>
  <c r="H1072" i="32"/>
  <c r="I1072" i="32"/>
  <c r="D1072" i="32" s="1"/>
  <c r="J1072" i="32"/>
  <c r="E1072" i="32" s="1"/>
  <c r="K1072" i="32"/>
  <c r="L1072" i="32"/>
  <c r="C1073" i="32"/>
  <c r="G1073" i="32"/>
  <c r="H1073" i="32"/>
  <c r="I1073" i="32"/>
  <c r="D1073" i="32" s="1"/>
  <c r="J1073" i="32"/>
  <c r="E1073" i="32" s="1"/>
  <c r="K1073" i="32"/>
  <c r="L1073" i="32"/>
  <c r="C1074" i="32"/>
  <c r="G1074" i="32"/>
  <c r="F1074" i="32" s="1"/>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D1077" i="32"/>
  <c r="G1077" i="32"/>
  <c r="H1077" i="32"/>
  <c r="F1077" i="32" s="1"/>
  <c r="I1077" i="32"/>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D1083" i="32"/>
  <c r="F1083" i="32"/>
  <c r="G1083" i="32"/>
  <c r="H1083" i="32"/>
  <c r="I1083" i="32"/>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E1086" i="32"/>
  <c r="G1086" i="32"/>
  <c r="H1086" i="32"/>
  <c r="I1086" i="32"/>
  <c r="J1086" i="32"/>
  <c r="K1086" i="32"/>
  <c r="L1086" i="32"/>
  <c r="C1087" i="32"/>
  <c r="G1087" i="32"/>
  <c r="H1087" i="32"/>
  <c r="I1087" i="32"/>
  <c r="D1087" i="32" s="1"/>
  <c r="J1087" i="32"/>
  <c r="E1087" i="32" s="1"/>
  <c r="K1087" i="32"/>
  <c r="L1087" i="32"/>
  <c r="C1088" i="32"/>
  <c r="G1088" i="32"/>
  <c r="H1088" i="32"/>
  <c r="F1088" i="32" s="1"/>
  <c r="I1088" i="32"/>
  <c r="D1088" i="32" s="1"/>
  <c r="J1088" i="32"/>
  <c r="E1088" i="32" s="1"/>
  <c r="K1088" i="32"/>
  <c r="L1088" i="32"/>
  <c r="C1089" i="32"/>
  <c r="G1089" i="32"/>
  <c r="H1089" i="32"/>
  <c r="I1089" i="32"/>
  <c r="D1089" i="32" s="1"/>
  <c r="J1089" i="32"/>
  <c r="E1089" i="32" s="1"/>
  <c r="K1089" i="32"/>
  <c r="L1089" i="32"/>
  <c r="C1090" i="32"/>
  <c r="G1090" i="32"/>
  <c r="F1090" i="32" s="1"/>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D1099" i="32"/>
  <c r="G1099" i="32"/>
  <c r="H1099" i="32"/>
  <c r="I1099" i="32"/>
  <c r="J1099" i="32"/>
  <c r="E1099" i="32" s="1"/>
  <c r="K1099" i="32"/>
  <c r="L1099" i="32"/>
  <c r="C1100" i="32"/>
  <c r="E1100" i="32"/>
  <c r="G1100" i="32"/>
  <c r="H1100" i="32"/>
  <c r="I1100" i="32"/>
  <c r="D1100" i="32" s="1"/>
  <c r="J1100" i="32"/>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F1105" i="32" s="1"/>
  <c r="H1105" i="32"/>
  <c r="I1105" i="32"/>
  <c r="D1105" i="32" s="1"/>
  <c r="J1105" i="32"/>
  <c r="E1105" i="32" s="1"/>
  <c r="K1105" i="32"/>
  <c r="L1105" i="32"/>
  <c r="C1106" i="32"/>
  <c r="G1106" i="32"/>
  <c r="H1106" i="32"/>
  <c r="F1106" i="32" s="1"/>
  <c r="I1106" i="32"/>
  <c r="D1106" i="32" s="1"/>
  <c r="J1106" i="32"/>
  <c r="E1106" i="32" s="1"/>
  <c r="K1106" i="32"/>
  <c r="L1106" i="32"/>
  <c r="C1107" i="32"/>
  <c r="G1107" i="32"/>
  <c r="H1107" i="32"/>
  <c r="I1107" i="32"/>
  <c r="D1107" i="32" s="1"/>
  <c r="J1107" i="32"/>
  <c r="E1107" i="32" s="1"/>
  <c r="K1107" i="32"/>
  <c r="L1107" i="32"/>
  <c r="C1108" i="32"/>
  <c r="G1108" i="32"/>
  <c r="F1108" i="32" s="1"/>
  <c r="H1108" i="32"/>
  <c r="I1108" i="32"/>
  <c r="D1108" i="32" s="1"/>
  <c r="J1108" i="32"/>
  <c r="E1108" i="32" s="1"/>
  <c r="K1108" i="32"/>
  <c r="L1108" i="32"/>
  <c r="C1109" i="32"/>
  <c r="G1109" i="32"/>
  <c r="F1109" i="32" s="1"/>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F1112" i="32" s="1"/>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D1117" i="32"/>
  <c r="G1117" i="32"/>
  <c r="F1117" i="32" s="1"/>
  <c r="H1117" i="32"/>
  <c r="I1117" i="32"/>
  <c r="J1117" i="32"/>
  <c r="E1117" i="32" s="1"/>
  <c r="K1117" i="32"/>
  <c r="L1117" i="32"/>
  <c r="C1118" i="32"/>
  <c r="D1118" i="32"/>
  <c r="E1118" i="32"/>
  <c r="G1118" i="32"/>
  <c r="H1118" i="32"/>
  <c r="I1118" i="32"/>
  <c r="J1118" i="32"/>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F1127" i="32" s="1"/>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F1130" i="32" s="1"/>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F1133" i="32" s="1"/>
  <c r="H1133" i="32"/>
  <c r="I1133" i="32"/>
  <c r="D1133" i="32" s="1"/>
  <c r="J1133" i="32"/>
  <c r="E1133" i="32" s="1"/>
  <c r="K1133" i="32"/>
  <c r="L1133" i="32"/>
  <c r="C1134" i="32"/>
  <c r="G1134" i="32"/>
  <c r="F1134" i="32" s="1"/>
  <c r="H1134" i="32"/>
  <c r="I1134" i="32"/>
  <c r="D1134" i="32" s="1"/>
  <c r="J1134" i="32"/>
  <c r="E1134" i="32" s="1"/>
  <c r="K1134" i="32"/>
  <c r="L1134" i="32"/>
  <c r="C1135" i="32"/>
  <c r="D1135" i="32"/>
  <c r="G1135" i="32"/>
  <c r="F1135" i="32" s="1"/>
  <c r="H1135" i="32"/>
  <c r="I1135" i="32"/>
  <c r="J1135" i="32"/>
  <c r="E1135" i="32" s="1"/>
  <c r="K1135" i="32"/>
  <c r="L1135" i="32"/>
  <c r="C1136" i="32"/>
  <c r="G1136" i="32"/>
  <c r="F1136" i="32" s="1"/>
  <c r="H1136" i="32"/>
  <c r="I1136" i="32"/>
  <c r="D1136" i="32" s="1"/>
  <c r="J1136" i="32"/>
  <c r="E1136" i="32" s="1"/>
  <c r="K1136" i="32"/>
  <c r="L1136" i="32"/>
  <c r="C1137" i="32"/>
  <c r="G1137" i="32"/>
  <c r="F1137" i="32" s="1"/>
  <c r="H1137" i="32"/>
  <c r="I1137" i="32"/>
  <c r="D1137" i="32" s="1"/>
  <c r="J1137" i="32"/>
  <c r="E1137" i="32" s="1"/>
  <c r="K1137" i="32"/>
  <c r="L1137" i="32"/>
  <c r="C1138" i="32"/>
  <c r="G1138" i="32"/>
  <c r="H1138" i="32"/>
  <c r="F1138" i="32" s="1"/>
  <c r="I1138" i="32"/>
  <c r="D1138" i="32" s="1"/>
  <c r="J1138" i="32"/>
  <c r="E1138" i="32" s="1"/>
  <c r="K1138" i="32"/>
  <c r="L1138" i="32"/>
  <c r="C1139" i="32"/>
  <c r="D1139" i="32"/>
  <c r="G1139" i="32"/>
  <c r="F1139" i="32" s="1"/>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F1145" i="32" s="1"/>
  <c r="H1145" i="32"/>
  <c r="I1145" i="32"/>
  <c r="D1145" i="32" s="1"/>
  <c r="J1145" i="32"/>
  <c r="E1145" i="32" s="1"/>
  <c r="K1145" i="32"/>
  <c r="L1145" i="32"/>
  <c r="C1146" i="32"/>
  <c r="D1146" i="32"/>
  <c r="E1146" i="32"/>
  <c r="G1146" i="32"/>
  <c r="H1146" i="32"/>
  <c r="I1146" i="32"/>
  <c r="J1146" i="32"/>
  <c r="K1146" i="32"/>
  <c r="L1146" i="32"/>
  <c r="C1147" i="32"/>
  <c r="G1147" i="32"/>
  <c r="H1147" i="32"/>
  <c r="I1147" i="32"/>
  <c r="D1147" i="32" s="1"/>
  <c r="J1147" i="32"/>
  <c r="E1147" i="32" s="1"/>
  <c r="K1147" i="32"/>
  <c r="L1147" i="32"/>
  <c r="C1148" i="32"/>
  <c r="G1148" i="32"/>
  <c r="F1148" i="32" s="1"/>
  <c r="H1148" i="32"/>
  <c r="I1148" i="32"/>
  <c r="D1148" i="32" s="1"/>
  <c r="J1148" i="32"/>
  <c r="E1148" i="32" s="1"/>
  <c r="K1148" i="32"/>
  <c r="L1148" i="32"/>
  <c r="C1149" i="32"/>
  <c r="D1149" i="32"/>
  <c r="E1149" i="32"/>
  <c r="G1149" i="32"/>
  <c r="H1149" i="32"/>
  <c r="I1149" i="32"/>
  <c r="J1149" i="32"/>
  <c r="K1149" i="32"/>
  <c r="L1149" i="32"/>
  <c r="C1150" i="32"/>
  <c r="G1150" i="32"/>
  <c r="H1150" i="32"/>
  <c r="I1150" i="32"/>
  <c r="D1150" i="32" s="1"/>
  <c r="J1150" i="32"/>
  <c r="E1150" i="32" s="1"/>
  <c r="K1150" i="32"/>
  <c r="L1150" i="32"/>
  <c r="C1151" i="32"/>
  <c r="G1151" i="32"/>
  <c r="F1151" i="32" s="1"/>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F1155" i="32" s="1"/>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F1159" i="32" s="1"/>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F1164" i="32" s="1"/>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D1168" i="32"/>
  <c r="G1168" i="32"/>
  <c r="H1168" i="32"/>
  <c r="I1168" i="32"/>
  <c r="J1168" i="32"/>
  <c r="E1168" i="32" s="1"/>
  <c r="K1168" i="32"/>
  <c r="L1168" i="32"/>
  <c r="C1169" i="32"/>
  <c r="E1169" i="32"/>
  <c r="G1169" i="32"/>
  <c r="H1169" i="32"/>
  <c r="I1169" i="32"/>
  <c r="D1169" i="32" s="1"/>
  <c r="J1169" i="32"/>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F1173" i="32" s="1"/>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E1178" i="32"/>
  <c r="G1178" i="32"/>
  <c r="H1178" i="32"/>
  <c r="I1178" i="32"/>
  <c r="D1178" i="32" s="1"/>
  <c r="J1178" i="32"/>
  <c r="K1178" i="32"/>
  <c r="L1178" i="32"/>
  <c r="C1179" i="32"/>
  <c r="E1179" i="32"/>
  <c r="G1179" i="32"/>
  <c r="H1179" i="32"/>
  <c r="I1179" i="32"/>
  <c r="D1179" i="32" s="1"/>
  <c r="J1179" i="32"/>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D1182" i="32"/>
  <c r="G1182" i="32"/>
  <c r="H1182" i="32"/>
  <c r="I1182" i="32"/>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F1186" i="32" s="1"/>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F1190" i="32"/>
  <c r="G1190" i="32"/>
  <c r="H1190" i="32"/>
  <c r="I1190" i="32"/>
  <c r="D1190" i="32" s="1"/>
  <c r="J1190" i="32"/>
  <c r="E1190" i="32" s="1"/>
  <c r="K1190" i="32"/>
  <c r="L1190" i="32"/>
  <c r="C1191" i="32"/>
  <c r="E1191" i="32"/>
  <c r="G1191" i="32"/>
  <c r="H1191" i="32"/>
  <c r="I1191" i="32"/>
  <c r="D1191" i="32" s="1"/>
  <c r="J1191" i="32"/>
  <c r="K1191" i="32"/>
  <c r="L1191" i="32"/>
  <c r="C1192" i="32"/>
  <c r="G1192" i="32"/>
  <c r="F1192" i="32" s="1"/>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F1196" i="32" s="1"/>
  <c r="H1196" i="32"/>
  <c r="I1196" i="32"/>
  <c r="D1196" i="32" s="1"/>
  <c r="J1196" i="32"/>
  <c r="E1196" i="32" s="1"/>
  <c r="K1196" i="32"/>
  <c r="L1196" i="32"/>
  <c r="C1197" i="32"/>
  <c r="D1197" i="32"/>
  <c r="G1197" i="32"/>
  <c r="F1197" i="32" s="1"/>
  <c r="H1197" i="32"/>
  <c r="I1197" i="32"/>
  <c r="J1197" i="32"/>
  <c r="E1197" i="32" s="1"/>
  <c r="K1197" i="32"/>
  <c r="L1197" i="32"/>
  <c r="C1198" i="32"/>
  <c r="G1198" i="32"/>
  <c r="H1198" i="32"/>
  <c r="I1198" i="32"/>
  <c r="D1198" i="32" s="1"/>
  <c r="J1198" i="32"/>
  <c r="E1198" i="32" s="1"/>
  <c r="K1198" i="32"/>
  <c r="L1198" i="32"/>
  <c r="C1199" i="32"/>
  <c r="G1199" i="32"/>
  <c r="H1199" i="32"/>
  <c r="F1199" i="32" s="1"/>
  <c r="I1199" i="32"/>
  <c r="D1199" i="32" s="1"/>
  <c r="J1199" i="32"/>
  <c r="E1199" i="32" s="1"/>
  <c r="K1199" i="32"/>
  <c r="L1199" i="32"/>
  <c r="C1200" i="32"/>
  <c r="D1200" i="32"/>
  <c r="F1200" i="32"/>
  <c r="G1200" i="32"/>
  <c r="H1200" i="32"/>
  <c r="I1200" i="32"/>
  <c r="J1200" i="32"/>
  <c r="E1200" i="32" s="1"/>
  <c r="K1200" i="32"/>
  <c r="L1200" i="32"/>
  <c r="H47" i="50"/>
  <c r="D11" i="62"/>
  <c r="E11" i="62"/>
  <c r="C11" i="62"/>
  <c r="B1" i="62"/>
  <c r="N59" i="59"/>
  <c r="N43" i="59"/>
  <c r="K59" i="59"/>
  <c r="K43" i="59"/>
  <c r="K26" i="59"/>
  <c r="J59" i="59"/>
  <c r="J43" i="59"/>
  <c r="J26" i="59"/>
  <c r="H59" i="59"/>
  <c r="H43" i="59"/>
  <c r="F1035" i="32" l="1"/>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H26" i="59"/>
  <c r="B26" i="59"/>
  <c r="B43" i="59"/>
  <c r="B50" i="59" s="1"/>
  <c r="B59" i="59"/>
  <c r="B66" i="59" s="1"/>
  <c r="F59" i="59"/>
  <c r="E59" i="59"/>
  <c r="D59" i="59"/>
  <c r="C59" i="59"/>
  <c r="F43" i="59"/>
  <c r="E43" i="59"/>
  <c r="D43" i="59"/>
  <c r="C43" i="59"/>
  <c r="F26" i="59"/>
  <c r="E26" i="59"/>
  <c r="D26" i="59"/>
  <c r="C26" i="59"/>
  <c r="G59" i="59"/>
  <c r="G43" i="59"/>
  <c r="G26" i="59"/>
  <c r="C100" i="46"/>
  <c r="C99" i="46"/>
  <c r="C98" i="46"/>
  <c r="C92" i="46"/>
  <c r="C91" i="46"/>
  <c r="C84" i="46"/>
  <c r="C83" i="46"/>
  <c r="C82" i="46"/>
  <c r="F98" i="46" l="1"/>
  <c r="G98" i="46"/>
  <c r="H98" i="46"/>
  <c r="I98" i="46"/>
  <c r="D98" i="46"/>
  <c r="E98" i="46"/>
  <c r="F100" i="46"/>
  <c r="G100" i="46"/>
  <c r="E100" i="46"/>
  <c r="H100" i="46"/>
  <c r="D100" i="46"/>
  <c r="I100" i="46"/>
  <c r="G92" i="46"/>
  <c r="H92" i="46"/>
  <c r="D92" i="46"/>
  <c r="I92" i="46"/>
  <c r="F92" i="46"/>
  <c r="E92" i="46"/>
  <c r="D82" i="46"/>
  <c r="E82" i="46"/>
  <c r="F82" i="46"/>
  <c r="H82" i="46"/>
  <c r="I82" i="46"/>
  <c r="G82" i="46"/>
  <c r="F83" i="46"/>
  <c r="G83" i="46"/>
  <c r="I83" i="46"/>
  <c r="H83" i="46"/>
  <c r="E83" i="46"/>
  <c r="D83" i="46"/>
  <c r="D91" i="46"/>
  <c r="E91" i="46"/>
  <c r="G91" i="46"/>
  <c r="F91" i="46"/>
  <c r="H91" i="46"/>
  <c r="I91" i="46"/>
  <c r="F99" i="46"/>
  <c r="G99" i="46"/>
  <c r="I99" i="46"/>
  <c r="H99" i="46"/>
  <c r="E99" i="46"/>
  <c r="D99" i="46"/>
  <c r="E84" i="46"/>
  <c r="F84" i="46"/>
  <c r="G84" i="46"/>
  <c r="H84" i="46"/>
  <c r="I84" i="46"/>
  <c r="D84" i="46"/>
  <c r="C26" i="50"/>
  <c r="K42" i="56"/>
  <c r="K43" i="56" s="1"/>
  <c r="K34" i="56"/>
  <c r="K75" i="56"/>
  <c r="K74" i="56"/>
  <c r="K73" i="56"/>
  <c r="C75" i="46"/>
  <c r="C74" i="46"/>
  <c r="D85" i="46" l="1"/>
  <c r="D15" i="46" s="1"/>
  <c r="K44" i="56"/>
  <c r="L43" i="56"/>
  <c r="K36" i="56"/>
  <c r="K35" i="56"/>
  <c r="K45" i="56" l="1"/>
  <c r="K46" i="56" s="1"/>
  <c r="K47" i="56" s="1"/>
  <c r="K48" i="56" s="1"/>
  <c r="L44" i="56"/>
  <c r="M44" i="56"/>
  <c r="C11" i="46"/>
  <c r="K49" i="56" l="1"/>
  <c r="E19" i="50"/>
  <c r="B25" i="56"/>
  <c r="B25" i="46"/>
  <c r="B70" i="47" s="1"/>
  <c r="C23" i="56"/>
  <c r="B23" i="56"/>
  <c r="C23" i="46"/>
  <c r="B23" i="46"/>
  <c r="B68" i="47" s="1"/>
  <c r="C21" i="56"/>
  <c r="B21" i="56"/>
  <c r="C21" i="46"/>
  <c r="B21" i="46"/>
  <c r="B66" i="47" s="1"/>
  <c r="B19" i="56"/>
  <c r="B19" i="46"/>
  <c r="B61" i="47" s="1"/>
  <c r="B57" i="47"/>
  <c r="B56" i="47"/>
  <c r="B55" i="47"/>
  <c r="C13" i="56"/>
  <c r="B13" i="56"/>
  <c r="C13" i="46"/>
  <c r="B13" i="46"/>
  <c r="B51" i="47" s="1"/>
  <c r="B12" i="46"/>
  <c r="B50" i="47" s="1"/>
  <c r="C11" i="56"/>
  <c r="B11" i="56"/>
  <c r="B10" i="56"/>
  <c r="K50" i="56" l="1"/>
  <c r="K51" i="56" s="1"/>
  <c r="B11" i="46"/>
  <c r="B49" i="47" s="1"/>
  <c r="B10" i="46"/>
  <c r="B48" i="47" s="1"/>
  <c r="B1" i="61"/>
  <c r="O59" i="59" l="1"/>
  <c r="N66" i="59"/>
  <c r="P66" i="59" s="1"/>
  <c r="I59" i="59"/>
  <c r="O43" i="59"/>
  <c r="N50" i="59"/>
  <c r="P50" i="59" s="1"/>
  <c r="I43" i="59"/>
  <c r="O26" i="59"/>
  <c r="N33" i="59"/>
  <c r="P33" i="59" s="1"/>
  <c r="C73" i="56"/>
  <c r="I26" i="59"/>
  <c r="B1" i="59"/>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E47" i="57"/>
  <c r="H47" i="57" s="1"/>
  <c r="D47" i="57"/>
  <c r="D46" i="57"/>
  <c r="E46" i="57"/>
  <c r="E45" i="57"/>
  <c r="H45" i="57" s="1"/>
  <c r="D45" i="57"/>
  <c r="H44" i="57"/>
  <c r="E44" i="57"/>
  <c r="F44" i="57" s="1"/>
  <c r="D44" i="57"/>
  <c r="E43" i="57"/>
  <c r="F43" i="57" s="1"/>
  <c r="D43" i="57"/>
  <c r="H43" i="57"/>
  <c r="J42" i="57"/>
  <c r="H42" i="57"/>
  <c r="E42" i="57"/>
  <c r="D42" i="57"/>
  <c r="D41" i="57"/>
  <c r="E40" i="57"/>
  <c r="D39" i="57"/>
  <c r="E38" i="57"/>
  <c r="D37" i="57"/>
  <c r="W36" i="57"/>
  <c r="J44" i="57" s="1"/>
  <c r="E36" i="57"/>
  <c r="E35" i="57"/>
  <c r="E34" i="57"/>
  <c r="E33" i="57"/>
  <c r="E32" i="57"/>
  <c r="E31" i="57"/>
  <c r="E30" i="57"/>
  <c r="E29" i="57"/>
  <c r="W28" i="57"/>
  <c r="D28" i="57"/>
  <c r="D27" i="57"/>
  <c r="E26" i="57"/>
  <c r="E25" i="57"/>
  <c r="D24" i="57"/>
  <c r="D23" i="57"/>
  <c r="E22" i="57"/>
  <c r="E21" i="57"/>
  <c r="D20" i="57"/>
  <c r="W19" i="57"/>
  <c r="D19" i="57"/>
  <c r="E18" i="57"/>
  <c r="E17" i="57"/>
  <c r="E16" i="57"/>
  <c r="D15" i="57"/>
  <c r="E14" i="57"/>
  <c r="E13" i="57"/>
  <c r="E12" i="57"/>
  <c r="G44" i="57" l="1"/>
  <c r="I44" i="57" s="1"/>
  <c r="K44" i="57" s="1"/>
  <c r="G45" i="57"/>
  <c r="G43" i="57"/>
  <c r="I43" i="57" s="1"/>
  <c r="D14" i="59"/>
  <c r="D18" i="59"/>
  <c r="D17" i="59"/>
  <c r="D9" i="59"/>
  <c r="D15" i="59"/>
  <c r="D16" i="59"/>
  <c r="D13" i="59"/>
  <c r="E9" i="59"/>
  <c r="E14" i="59"/>
  <c r="E18" i="59"/>
  <c r="E15" i="59"/>
  <c r="E13" i="59"/>
  <c r="E16" i="59"/>
  <c r="E17" i="59"/>
  <c r="F14" i="59"/>
  <c r="F18" i="59"/>
  <c r="F15" i="59"/>
  <c r="F17" i="59"/>
  <c r="F9" i="59"/>
  <c r="F16" i="59"/>
  <c r="F13" i="59"/>
  <c r="C73" i="46"/>
  <c r="D18" i="57"/>
  <c r="E15" i="57"/>
  <c r="G15" i="57" s="1"/>
  <c r="E19" i="57"/>
  <c r="F19" i="57" s="1"/>
  <c r="D16" i="57"/>
  <c r="D14" i="57"/>
  <c r="D17" i="57"/>
  <c r="D33" i="57"/>
  <c r="D34" i="57"/>
  <c r="D12" i="57"/>
  <c r="D35" i="57"/>
  <c r="D13" i="57"/>
  <c r="D36" i="57"/>
  <c r="L26" i="59"/>
  <c r="L59" i="59"/>
  <c r="M59" i="59" s="1"/>
  <c r="P59" i="59" s="1"/>
  <c r="F10" i="59" s="1"/>
  <c r="L43" i="59"/>
  <c r="P43" i="59" s="1"/>
  <c r="E10" i="59" s="1"/>
  <c r="H25" i="57"/>
  <c r="F25" i="57"/>
  <c r="G25" i="57"/>
  <c r="H34" i="57"/>
  <c r="G34" i="57"/>
  <c r="F34" i="57"/>
  <c r="H38" i="57"/>
  <c r="F38" i="57"/>
  <c r="G38" i="57"/>
  <c r="G32" i="57"/>
  <c r="F32" i="57"/>
  <c r="H32" i="57"/>
  <c r="H21" i="57"/>
  <c r="F21" i="57"/>
  <c r="G21" i="57"/>
  <c r="H22" i="57"/>
  <c r="G22" i="57"/>
  <c r="F22" i="57"/>
  <c r="G29" i="57"/>
  <c r="F29" i="57"/>
  <c r="H29" i="57"/>
  <c r="H35" i="57"/>
  <c r="G35" i="57"/>
  <c r="F35" i="57"/>
  <c r="H40" i="57"/>
  <c r="F40" i="57"/>
  <c r="G40" i="57"/>
  <c r="H30" i="57"/>
  <c r="G30" i="57"/>
  <c r="F30" i="57"/>
  <c r="H46" i="57"/>
  <c r="G46" i="57"/>
  <c r="F46" i="57"/>
  <c r="H12" i="57"/>
  <c r="G12" i="57"/>
  <c r="F12" i="57"/>
  <c r="G13" i="57"/>
  <c r="F13" i="57"/>
  <c r="H13" i="57"/>
  <c r="G31" i="57"/>
  <c r="F31" i="57"/>
  <c r="H31" i="57"/>
  <c r="H36" i="57"/>
  <c r="G36" i="57"/>
  <c r="F36" i="57"/>
  <c r="H14" i="57"/>
  <c r="G14" i="57"/>
  <c r="F14" i="57"/>
  <c r="H26" i="57"/>
  <c r="G26" i="57"/>
  <c r="F26" i="57"/>
  <c r="H33" i="57"/>
  <c r="G33" i="57"/>
  <c r="F33" i="57"/>
  <c r="D22" i="57"/>
  <c r="D25" i="57"/>
  <c r="D26" i="57"/>
  <c r="J43" i="57"/>
  <c r="D21" i="57"/>
  <c r="F17" i="57"/>
  <c r="E20" i="57"/>
  <c r="E23" i="57"/>
  <c r="E24" i="57"/>
  <c r="E28" i="57"/>
  <c r="D29" i="57"/>
  <c r="D30" i="57"/>
  <c r="D31" i="57"/>
  <c r="D32" i="57"/>
  <c r="F16" i="57"/>
  <c r="E27" i="57"/>
  <c r="G16" i="57"/>
  <c r="G18" i="57"/>
  <c r="D38" i="57"/>
  <c r="D40" i="57"/>
  <c r="H16" i="57"/>
  <c r="H17" i="57"/>
  <c r="H18" i="57"/>
  <c r="H19" i="57"/>
  <c r="E37" i="57"/>
  <c r="E39" i="57"/>
  <c r="E41" i="57"/>
  <c r="F42" i="57"/>
  <c r="F47" i="57"/>
  <c r="F18" i="57"/>
  <c r="G17" i="57"/>
  <c r="G19" i="57"/>
  <c r="G42" i="57"/>
  <c r="F45" i="57"/>
  <c r="I45" i="57" s="1"/>
  <c r="K45" i="57" s="1"/>
  <c r="G47" i="57"/>
  <c r="I47" i="57" l="1"/>
  <c r="K47" i="57" s="1"/>
  <c r="I42" i="57"/>
  <c r="K42" i="57" s="1"/>
  <c r="K43" i="57"/>
  <c r="I46" i="57"/>
  <c r="K46" i="57" s="1"/>
  <c r="I12" i="57"/>
  <c r="K12" i="57" s="1"/>
  <c r="I19" i="57"/>
  <c r="K19" i="57" s="1"/>
  <c r="I34" i="57"/>
  <c r="K34" i="57" s="1"/>
  <c r="I13" i="57"/>
  <c r="K13" i="57" s="1"/>
  <c r="I21" i="57"/>
  <c r="K21" i="57" s="1"/>
  <c r="I16" i="57"/>
  <c r="K16" i="57" s="1"/>
  <c r="H15" i="57"/>
  <c r="F15" i="57"/>
  <c r="I38" i="57"/>
  <c r="K38" i="57" s="1"/>
  <c r="I30" i="57"/>
  <c r="K30" i="57" s="1"/>
  <c r="I25" i="57"/>
  <c r="K25" i="57" s="1"/>
  <c r="N16" i="61" s="1"/>
  <c r="K16" i="46" s="1"/>
  <c r="N14" i="61"/>
  <c r="K13" i="46" s="1"/>
  <c r="N13" i="61"/>
  <c r="K11" i="46" s="1"/>
  <c r="I33" i="57"/>
  <c r="K33" i="57" s="1"/>
  <c r="I22" i="57"/>
  <c r="K22" i="57" s="1"/>
  <c r="I40" i="57"/>
  <c r="K40" i="57" s="1"/>
  <c r="N15" i="61"/>
  <c r="K15" i="46" s="1"/>
  <c r="N17" i="61"/>
  <c r="K17" i="46" s="1"/>
  <c r="I17" i="57"/>
  <c r="K17" i="57" s="1"/>
  <c r="I36" i="57"/>
  <c r="K36" i="57" s="1"/>
  <c r="I35" i="57"/>
  <c r="K35" i="57" s="1"/>
  <c r="I26" i="57"/>
  <c r="K26" i="57" s="1"/>
  <c r="I31" i="57"/>
  <c r="K31" i="57" s="1"/>
  <c r="I29" i="57"/>
  <c r="K29" i="57" s="1"/>
  <c r="I18" i="57"/>
  <c r="K18" i="57" s="1"/>
  <c r="I14" i="57"/>
  <c r="K14" i="57" s="1"/>
  <c r="I32" i="57"/>
  <c r="K32" i="57" s="1"/>
  <c r="P62" i="59"/>
  <c r="C28" i="42" s="1"/>
  <c r="P46" i="59"/>
  <c r="C27" i="42" s="1"/>
  <c r="M26" i="59"/>
  <c r="H27" i="57"/>
  <c r="F27" i="57"/>
  <c r="G27" i="57"/>
  <c r="H23" i="57"/>
  <c r="F23" i="57"/>
  <c r="G23" i="57"/>
  <c r="H20" i="57"/>
  <c r="G20" i="57"/>
  <c r="F20" i="57"/>
  <c r="H41" i="57"/>
  <c r="F41" i="57"/>
  <c r="G41" i="57"/>
  <c r="H24" i="57"/>
  <c r="G24" i="57"/>
  <c r="F24" i="57"/>
  <c r="H39" i="57"/>
  <c r="G39" i="57"/>
  <c r="F39" i="57"/>
  <c r="H37" i="57"/>
  <c r="F37" i="57"/>
  <c r="G37" i="57"/>
  <c r="H28" i="57"/>
  <c r="G28" i="57"/>
  <c r="F28" i="57"/>
  <c r="F24" i="50"/>
  <c r="N20" i="61" l="1"/>
  <c r="K23" i="46" s="1"/>
  <c r="N21" i="61"/>
  <c r="N19" i="61"/>
  <c r="K21" i="46" s="1"/>
  <c r="I15" i="57"/>
  <c r="K15" i="57" s="1"/>
  <c r="I20" i="57"/>
  <c r="K20" i="57" s="1"/>
  <c r="I37" i="57"/>
  <c r="K37" i="57" s="1"/>
  <c r="I28" i="57"/>
  <c r="K28" i="57" s="1"/>
  <c r="N22" i="61" s="1"/>
  <c r="I24" i="57"/>
  <c r="K24" i="57" s="1"/>
  <c r="I27" i="57"/>
  <c r="K27" i="57" s="1"/>
  <c r="I41" i="57"/>
  <c r="K41" i="57" s="1"/>
  <c r="I23" i="57"/>
  <c r="K23" i="57" s="1"/>
  <c r="I39" i="57"/>
  <c r="K39" i="57" s="1"/>
  <c r="P26" i="59"/>
  <c r="D10" i="59"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N18" i="61" l="1"/>
  <c r="K19" i="46" s="1"/>
  <c r="P29" i="59"/>
  <c r="C26" i="42" s="1"/>
  <c r="B1" i="56"/>
  <c r="B1" i="46"/>
  <c r="B1" i="42"/>
  <c r="B1" i="47"/>
  <c r="C6" i="47" l="1"/>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l="1"/>
  <c r="B14" i="46"/>
  <c r="B52" i="47" s="1"/>
  <c r="B24" i="56" l="1"/>
  <c r="B22" i="56"/>
  <c r="B20" i="56"/>
  <c r="B18" i="56"/>
  <c r="B24" i="46"/>
  <c r="B69" i="47" s="1"/>
  <c r="B22" i="46"/>
  <c r="B67" i="47" s="1"/>
  <c r="B20" i="46"/>
  <c r="B65" i="47" s="1"/>
  <c r="B18" i="46"/>
  <c r="B60" i="47" s="1"/>
  <c r="E6" i="47" l="1"/>
  <c r="F6" i="47"/>
  <c r="G6" i="47"/>
  <c r="H6" i="47"/>
  <c r="D6" i="47"/>
  <c r="G24" i="50" l="1"/>
  <c r="H24" i="50" l="1"/>
  <c r="I24" i="50" s="1"/>
  <c r="J24" i="50" s="1"/>
  <c r="F25" i="50"/>
  <c r="G25" i="50" l="1"/>
  <c r="H25" i="50" l="1"/>
  <c r="B14" i="32"/>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I25" i="50"/>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J25" i="50" l="1"/>
  <c r="F1711" i="32"/>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E12" i="50" l="1"/>
  <c r="E14" i="50" s="1"/>
  <c r="E26" i="50" s="1"/>
  <c r="J26" i="50" s="1"/>
  <c r="F16" i="32"/>
  <c r="E27" i="50" l="1"/>
  <c r="E28" i="50" s="1"/>
  <c r="E29" i="50" s="1"/>
  <c r="E30" i="50" s="1"/>
  <c r="E31" i="50" s="1"/>
  <c r="F26" i="50"/>
  <c r="F27" i="50" s="1"/>
  <c r="F28" i="50" s="1"/>
  <c r="F29" i="50" s="1"/>
  <c r="F30" i="50" s="1"/>
  <c r="F31" i="50" s="1"/>
  <c r="F32" i="50" l="1"/>
  <c r="F33" i="50" s="1"/>
  <c r="F34" i="50" s="1"/>
  <c r="E32" i="50"/>
  <c r="E33" i="50" s="1"/>
  <c r="E34" i="50" s="1"/>
  <c r="J27" i="50"/>
  <c r="J28" i="50" s="1"/>
  <c r="J29" i="50" s="1"/>
  <c r="J30" i="50" s="1"/>
  <c r="I26" i="50"/>
  <c r="I27" i="50" s="1"/>
  <c r="I28" i="50" s="1"/>
  <c r="I29" i="50" s="1"/>
  <c r="I30" i="50" s="1"/>
  <c r="H26" i="50"/>
  <c r="H27" i="50" s="1"/>
  <c r="H28" i="50" s="1"/>
  <c r="H29" i="50" s="1"/>
  <c r="H30" i="50" s="1"/>
  <c r="G26" i="50"/>
  <c r="G27" i="50" s="1"/>
  <c r="G28" i="50" s="1"/>
  <c r="G29" i="50" s="1"/>
  <c r="G30" i="50" s="1"/>
  <c r="D7" i="56" l="1"/>
  <c r="C5" i="47"/>
  <c r="K62" i="50"/>
  <c r="K63" i="50"/>
  <c r="D21" i="42" s="1"/>
  <c r="K61" i="50"/>
  <c r="D8" i="42"/>
  <c r="K65" i="50"/>
  <c r="K64" i="50"/>
  <c r="D7" i="46"/>
  <c r="E7" i="46"/>
  <c r="E7" i="56"/>
  <c r="L65" i="50"/>
  <c r="E8" i="42"/>
  <c r="D5" i="47"/>
  <c r="D11" i="47" s="1"/>
  <c r="L63" i="50"/>
  <c r="L64" i="50"/>
  <c r="L61" i="50"/>
  <c r="L62" i="50"/>
  <c r="E16" i="42"/>
  <c r="E13" i="42"/>
  <c r="J31" i="50"/>
  <c r="I31" i="50"/>
  <c r="G31" i="50"/>
  <c r="H31" i="50"/>
  <c r="E153" i="56" l="1"/>
  <c r="E117" i="56"/>
  <c r="M117" i="56" s="1"/>
  <c r="E61" i="56"/>
  <c r="E153" i="46"/>
  <c r="E141" i="56"/>
  <c r="E141" i="46"/>
  <c r="E117" i="46"/>
  <c r="E61" i="46"/>
  <c r="E129" i="46"/>
  <c r="E35" i="56"/>
  <c r="E35" i="46"/>
  <c r="D22" i="42"/>
  <c r="D66" i="46"/>
  <c r="D158" i="46"/>
  <c r="D158" i="56"/>
  <c r="D146" i="56"/>
  <c r="D66" i="56"/>
  <c r="D146" i="46"/>
  <c r="D122" i="56"/>
  <c r="L122" i="56" s="1"/>
  <c r="D122" i="46"/>
  <c r="D134" i="46"/>
  <c r="D36" i="56"/>
  <c r="D36" i="46"/>
  <c r="E140" i="56"/>
  <c r="E152" i="46"/>
  <c r="E152" i="56"/>
  <c r="E140" i="46"/>
  <c r="E58" i="56"/>
  <c r="E116" i="56"/>
  <c r="M116" i="56" s="1"/>
  <c r="E128" i="46"/>
  <c r="E58" i="46"/>
  <c r="E116" i="46"/>
  <c r="E45" i="56"/>
  <c r="M45" i="56" s="1"/>
  <c r="E129" i="56"/>
  <c r="E45" i="46"/>
  <c r="D50" i="56"/>
  <c r="L50" i="56" s="1"/>
  <c r="D134" i="56"/>
  <c r="D50" i="46"/>
  <c r="D10" i="47"/>
  <c r="D12" i="47"/>
  <c r="E22" i="42"/>
  <c r="D28" i="42"/>
  <c r="F17" i="42"/>
  <c r="F14" i="42"/>
  <c r="L66" i="50"/>
  <c r="C11" i="47"/>
  <c r="C10" i="47"/>
  <c r="E21" i="42"/>
  <c r="K66" i="50"/>
  <c r="C12" i="47"/>
  <c r="D16" i="42"/>
  <c r="H32" i="50"/>
  <c r="H33" i="50" s="1"/>
  <c r="H34" i="50" s="1"/>
  <c r="G32" i="50"/>
  <c r="G33" i="50" s="1"/>
  <c r="G34" i="50" s="1"/>
  <c r="I32" i="50"/>
  <c r="I33" i="50" s="1"/>
  <c r="I34" i="50" s="1"/>
  <c r="J32" i="50"/>
  <c r="J33" i="50" s="1"/>
  <c r="J34" i="50" s="1"/>
  <c r="E128" i="56"/>
  <c r="E34" i="56"/>
  <c r="E42" i="46"/>
  <c r="D13" i="42"/>
  <c r="D17" i="47" l="1"/>
  <c r="E67" i="56"/>
  <c r="E67" i="46"/>
  <c r="C17" i="47"/>
  <c r="D67" i="46"/>
  <c r="D75" i="46" s="1"/>
  <c r="D109" i="46" s="1"/>
  <c r="D67" i="56"/>
  <c r="D75" i="56" s="1"/>
  <c r="D51" i="56"/>
  <c r="L51" i="56" s="1"/>
  <c r="D51" i="46"/>
  <c r="D153" i="56"/>
  <c r="D61" i="56"/>
  <c r="D141" i="46"/>
  <c r="D141" i="56"/>
  <c r="D117" i="56"/>
  <c r="L117" i="56" s="1"/>
  <c r="D153" i="46"/>
  <c r="D117" i="46"/>
  <c r="D129" i="46"/>
  <c r="D61" i="46"/>
  <c r="D35" i="56"/>
  <c r="D35" i="46"/>
  <c r="E158" i="56"/>
  <c r="E146" i="56"/>
  <c r="E146" i="46"/>
  <c r="E158" i="46"/>
  <c r="E66" i="56"/>
  <c r="E75" i="56" s="1"/>
  <c r="E66" i="46"/>
  <c r="E122" i="56"/>
  <c r="M122" i="56" s="1"/>
  <c r="E134" i="46"/>
  <c r="E122" i="46"/>
  <c r="E36" i="56"/>
  <c r="D152" i="56"/>
  <c r="D152" i="46"/>
  <c r="F59" i="56"/>
  <c r="F59" i="46"/>
  <c r="F62" i="56"/>
  <c r="F142" i="56"/>
  <c r="F62" i="46"/>
  <c r="F154" i="46"/>
  <c r="F154" i="56"/>
  <c r="F142" i="46"/>
  <c r="F130" i="56"/>
  <c r="F118" i="56"/>
  <c r="N118" i="56" s="1"/>
  <c r="F130" i="46"/>
  <c r="F118" i="46"/>
  <c r="E51" i="56"/>
  <c r="M51" i="56" s="1"/>
  <c r="E51" i="46"/>
  <c r="D26" i="42"/>
  <c r="D58" i="56"/>
  <c r="D73" i="56" s="1"/>
  <c r="D140" i="46"/>
  <c r="D58" i="46"/>
  <c r="E50" i="56"/>
  <c r="M50" i="56" s="1"/>
  <c r="E134" i="56"/>
  <c r="E50" i="46"/>
  <c r="G15" i="42"/>
  <c r="F43" i="56"/>
  <c r="N43" i="56" s="1"/>
  <c r="F43" i="46"/>
  <c r="G18" i="42"/>
  <c r="F46" i="56"/>
  <c r="N46" i="56" s="1"/>
  <c r="F46" i="46"/>
  <c r="D17" i="42"/>
  <c r="D45" i="56"/>
  <c r="L45" i="56" s="1"/>
  <c r="D129" i="56"/>
  <c r="D45" i="46"/>
  <c r="D13" i="47"/>
  <c r="E28" i="42"/>
  <c r="F22" i="42"/>
  <c r="E17" i="42"/>
  <c r="E14" i="42"/>
  <c r="M36" i="56"/>
  <c r="C13" i="47"/>
  <c r="G7" i="46"/>
  <c r="N62" i="50"/>
  <c r="G16" i="42" s="1"/>
  <c r="N64" i="50"/>
  <c r="N63" i="50"/>
  <c r="N61" i="50"/>
  <c r="G7" i="56"/>
  <c r="N65" i="50"/>
  <c r="F5" i="47"/>
  <c r="F12" i="47" s="1"/>
  <c r="G8" i="42"/>
  <c r="I7" i="56"/>
  <c r="I7" i="46"/>
  <c r="P61" i="50"/>
  <c r="I8" i="42"/>
  <c r="H5" i="47"/>
  <c r="H10" i="47" s="1"/>
  <c r="P65" i="50"/>
  <c r="P64" i="50"/>
  <c r="P63" i="50"/>
  <c r="I21" i="42" s="1"/>
  <c r="P62" i="50"/>
  <c r="I16" i="42" s="1"/>
  <c r="G5" i="47"/>
  <c r="G11" i="47" s="1"/>
  <c r="O65" i="50"/>
  <c r="O62" i="50"/>
  <c r="O64" i="50"/>
  <c r="O63" i="50"/>
  <c r="H21" i="42" s="1"/>
  <c r="H8" i="42"/>
  <c r="O61" i="50"/>
  <c r="H7" i="56"/>
  <c r="H7" i="46"/>
  <c r="F8" i="42"/>
  <c r="F7" i="46"/>
  <c r="M61" i="50"/>
  <c r="M64" i="50"/>
  <c r="F7" i="56"/>
  <c r="M65" i="50"/>
  <c r="M62" i="50"/>
  <c r="M63" i="50"/>
  <c r="E5" i="47"/>
  <c r="E10" i="47" s="1"/>
  <c r="H13" i="42"/>
  <c r="D128" i="46"/>
  <c r="D34" i="56"/>
  <c r="D116" i="46"/>
  <c r="D128" i="56"/>
  <c r="D42" i="56"/>
  <c r="L42" i="56" s="1"/>
  <c r="D116" i="56"/>
  <c r="D42" i="46"/>
  <c r="D34" i="46"/>
  <c r="C7" i="47"/>
  <c r="D109" i="56" l="1"/>
  <c r="H66" i="56"/>
  <c r="H158" i="46"/>
  <c r="H66" i="46"/>
  <c r="H158" i="56"/>
  <c r="H146" i="56"/>
  <c r="H146" i="46"/>
  <c r="H122" i="56"/>
  <c r="P122" i="56" s="1"/>
  <c r="H122" i="46"/>
  <c r="H134" i="46"/>
  <c r="H36" i="56"/>
  <c r="P36" i="56" s="1"/>
  <c r="H19" i="42"/>
  <c r="G119" i="46"/>
  <c r="G143" i="56"/>
  <c r="G63" i="56"/>
  <c r="G155" i="56"/>
  <c r="G131" i="46"/>
  <c r="G143" i="46"/>
  <c r="G63" i="46"/>
  <c r="G155" i="46"/>
  <c r="G131" i="56"/>
  <c r="G119" i="56"/>
  <c r="O119" i="56" s="1"/>
  <c r="G60" i="56"/>
  <c r="G60" i="46"/>
  <c r="N66" i="50"/>
  <c r="E17" i="47"/>
  <c r="F67" i="56"/>
  <c r="F67" i="46"/>
  <c r="I153" i="56"/>
  <c r="I117" i="56"/>
  <c r="Q117" i="56" s="1"/>
  <c r="I141" i="46"/>
  <c r="I153" i="46"/>
  <c r="I61" i="56"/>
  <c r="I141" i="56"/>
  <c r="I117" i="46"/>
  <c r="I61" i="46"/>
  <c r="I129" i="46"/>
  <c r="I35" i="46"/>
  <c r="I35" i="56"/>
  <c r="I66" i="46"/>
  <c r="I158" i="56"/>
  <c r="I146" i="56"/>
  <c r="I158" i="46"/>
  <c r="I146" i="46"/>
  <c r="I66" i="56"/>
  <c r="I122" i="56"/>
  <c r="Q122" i="56" s="1"/>
  <c r="I134" i="46"/>
  <c r="I122" i="46"/>
  <c r="I36" i="56"/>
  <c r="Q36" i="56" s="1"/>
  <c r="H140" i="56"/>
  <c r="H152" i="46"/>
  <c r="H58" i="56"/>
  <c r="H152" i="56"/>
  <c r="H140" i="46"/>
  <c r="H116" i="56"/>
  <c r="P116" i="56" s="1"/>
  <c r="H128" i="46"/>
  <c r="H58" i="46"/>
  <c r="H116" i="46"/>
  <c r="G141" i="46"/>
  <c r="G117" i="56"/>
  <c r="O117" i="56" s="1"/>
  <c r="G153" i="56"/>
  <c r="G61" i="56"/>
  <c r="G153" i="46"/>
  <c r="G141" i="56"/>
  <c r="G117" i="46"/>
  <c r="G61" i="46"/>
  <c r="G129" i="46"/>
  <c r="G35" i="46"/>
  <c r="G35" i="56"/>
  <c r="F11" i="47"/>
  <c r="D15" i="47"/>
  <c r="E59" i="46"/>
  <c r="E59" i="56"/>
  <c r="E154" i="56"/>
  <c r="E154" i="46"/>
  <c r="E142" i="56"/>
  <c r="E62" i="56"/>
  <c r="E62" i="46"/>
  <c r="E142" i="46"/>
  <c r="E130" i="56"/>
  <c r="E118" i="56"/>
  <c r="M118" i="56" s="1"/>
  <c r="E130" i="46"/>
  <c r="E118" i="46"/>
  <c r="G13" i="42"/>
  <c r="G42" i="56" s="1"/>
  <c r="O42" i="56" s="1"/>
  <c r="D142" i="56"/>
  <c r="D62" i="46"/>
  <c r="D154" i="56"/>
  <c r="D154" i="46"/>
  <c r="D62" i="56"/>
  <c r="D142" i="46"/>
  <c r="D118" i="56"/>
  <c r="L118" i="56" s="1"/>
  <c r="D130" i="46"/>
  <c r="D118" i="46"/>
  <c r="E75" i="46"/>
  <c r="E109" i="46" s="1"/>
  <c r="D107" i="56"/>
  <c r="I50" i="56"/>
  <c r="Q50" i="56" s="1"/>
  <c r="I134" i="56"/>
  <c r="I50" i="46"/>
  <c r="E109" i="56"/>
  <c r="F51" i="56"/>
  <c r="N51" i="56" s="1"/>
  <c r="F51" i="46"/>
  <c r="D73" i="46"/>
  <c r="H134" i="56"/>
  <c r="H50" i="56"/>
  <c r="P50" i="56" s="1"/>
  <c r="H50" i="46"/>
  <c r="E43" i="56"/>
  <c r="M43" i="56" s="1"/>
  <c r="E43" i="46"/>
  <c r="I45" i="56"/>
  <c r="Q45" i="56" s="1"/>
  <c r="I129" i="56"/>
  <c r="I45" i="46"/>
  <c r="G44" i="56"/>
  <c r="O44" i="56" s="1"/>
  <c r="G44" i="46"/>
  <c r="F18" i="42"/>
  <c r="E46" i="56"/>
  <c r="M46" i="56" s="1"/>
  <c r="E46" i="46"/>
  <c r="G129" i="56"/>
  <c r="G45" i="56"/>
  <c r="O45" i="56" s="1"/>
  <c r="G45" i="46"/>
  <c r="D18" i="42"/>
  <c r="E18" i="42"/>
  <c r="D46" i="56"/>
  <c r="L46" i="56" s="1"/>
  <c r="D130" i="56"/>
  <c r="D46" i="46"/>
  <c r="G47" i="56"/>
  <c r="O47" i="56" s="1"/>
  <c r="G47" i="46"/>
  <c r="H12" i="47"/>
  <c r="I22" i="42"/>
  <c r="I14" i="42"/>
  <c r="H14" i="42"/>
  <c r="H17" i="42"/>
  <c r="F15" i="42"/>
  <c r="E26" i="42"/>
  <c r="E37" i="56"/>
  <c r="H11" i="47"/>
  <c r="H16" i="42"/>
  <c r="G21" i="42"/>
  <c r="D37" i="46"/>
  <c r="P66" i="50"/>
  <c r="O66" i="50"/>
  <c r="I13" i="42"/>
  <c r="E11" i="47"/>
  <c r="G10" i="47"/>
  <c r="E12" i="47"/>
  <c r="F16" i="42"/>
  <c r="G12" i="47"/>
  <c r="F13" i="42"/>
  <c r="F10" i="47"/>
  <c r="F21" i="42"/>
  <c r="M66" i="50"/>
  <c r="H128" i="56"/>
  <c r="G128" i="56"/>
  <c r="L116" i="56"/>
  <c r="G34" i="56"/>
  <c r="G42" i="46"/>
  <c r="H34" i="56"/>
  <c r="H42" i="46"/>
  <c r="L34" i="56"/>
  <c r="D37" i="56"/>
  <c r="L75" i="56"/>
  <c r="L36" i="56"/>
  <c r="L35" i="56"/>
  <c r="G34" i="46"/>
  <c r="D140" i="56"/>
  <c r="I152" i="46" l="1"/>
  <c r="I152" i="56"/>
  <c r="I58" i="56"/>
  <c r="I140" i="46"/>
  <c r="I140" i="56"/>
  <c r="I116" i="56"/>
  <c r="Q116" i="56" s="1"/>
  <c r="I128" i="46"/>
  <c r="I58" i="46"/>
  <c r="I116" i="46"/>
  <c r="H17" i="47"/>
  <c r="I67" i="46"/>
  <c r="I75" i="46" s="1"/>
  <c r="I67" i="56"/>
  <c r="I75" i="56" s="1"/>
  <c r="Q75" i="56" s="1"/>
  <c r="F146" i="56"/>
  <c r="F66" i="56"/>
  <c r="F66" i="46"/>
  <c r="F75" i="46" s="1"/>
  <c r="F109" i="46" s="1"/>
  <c r="F146" i="46"/>
  <c r="F158" i="46"/>
  <c r="F158" i="56"/>
  <c r="F122" i="56"/>
  <c r="N122" i="56" s="1"/>
  <c r="F134" i="46"/>
  <c r="F122" i="46"/>
  <c r="F36" i="56"/>
  <c r="N36" i="56" s="1"/>
  <c r="F140" i="56"/>
  <c r="F152" i="46"/>
  <c r="F140" i="46"/>
  <c r="F58" i="56"/>
  <c r="F152" i="56"/>
  <c r="F116" i="56"/>
  <c r="N116" i="56" s="1"/>
  <c r="F58" i="46"/>
  <c r="F128" i="46"/>
  <c r="F116" i="46"/>
  <c r="G19" i="42"/>
  <c r="F63" i="46"/>
  <c r="F119" i="46"/>
  <c r="F155" i="56"/>
  <c r="F143" i="46"/>
  <c r="F131" i="46"/>
  <c r="F63" i="56"/>
  <c r="F143" i="56"/>
  <c r="F155" i="46"/>
  <c r="F131" i="56"/>
  <c r="F119" i="56"/>
  <c r="N119" i="56" s="1"/>
  <c r="G158" i="46"/>
  <c r="G146" i="56"/>
  <c r="G66" i="56"/>
  <c r="G146" i="46"/>
  <c r="G158" i="56"/>
  <c r="G66" i="46"/>
  <c r="G122" i="56"/>
  <c r="O122" i="56" s="1"/>
  <c r="G134" i="46"/>
  <c r="G122" i="46"/>
  <c r="G36" i="56"/>
  <c r="F13" i="47"/>
  <c r="H142" i="46"/>
  <c r="H62" i="46"/>
  <c r="H154" i="46"/>
  <c r="H62" i="56"/>
  <c r="H154" i="56"/>
  <c r="H142" i="56"/>
  <c r="H118" i="56"/>
  <c r="P118" i="56" s="1"/>
  <c r="H130" i="56"/>
  <c r="H118" i="46"/>
  <c r="H130" i="46"/>
  <c r="G140" i="56"/>
  <c r="G58" i="56"/>
  <c r="G152" i="56"/>
  <c r="G152" i="46"/>
  <c r="G140" i="46"/>
  <c r="G116" i="56"/>
  <c r="O116" i="56" s="1"/>
  <c r="G58" i="46"/>
  <c r="G128" i="46"/>
  <c r="G116" i="46"/>
  <c r="H153" i="56"/>
  <c r="H61" i="56"/>
  <c r="H117" i="56"/>
  <c r="P117" i="56" s="1"/>
  <c r="H153" i="46"/>
  <c r="H141" i="46"/>
  <c r="H141" i="56"/>
  <c r="H61" i="46"/>
  <c r="H129" i="46"/>
  <c r="H117" i="46"/>
  <c r="H35" i="46"/>
  <c r="H35" i="56"/>
  <c r="F141" i="56"/>
  <c r="F153" i="46"/>
  <c r="F141" i="46"/>
  <c r="F117" i="56"/>
  <c r="N117" i="56" s="1"/>
  <c r="F153" i="56"/>
  <c r="F61" i="56"/>
  <c r="F117" i="46"/>
  <c r="F129" i="46"/>
  <c r="F61" i="46"/>
  <c r="F35" i="56"/>
  <c r="N35" i="56" s="1"/>
  <c r="F35" i="46"/>
  <c r="F19" i="42"/>
  <c r="E63" i="56"/>
  <c r="E143" i="56"/>
  <c r="E119" i="46"/>
  <c r="E63" i="46"/>
  <c r="E155" i="46"/>
  <c r="E143" i="46"/>
  <c r="E131" i="46"/>
  <c r="E155" i="56"/>
  <c r="E119" i="56"/>
  <c r="M119" i="56" s="1"/>
  <c r="E131" i="56"/>
  <c r="H59" i="46"/>
  <c r="H59" i="56"/>
  <c r="I20" i="42"/>
  <c r="H120" i="56"/>
  <c r="P120" i="56" s="1"/>
  <c r="H144" i="46"/>
  <c r="H48" i="46"/>
  <c r="H64" i="46"/>
  <c r="H132" i="56"/>
  <c r="H156" i="56"/>
  <c r="H144" i="56"/>
  <c r="H120" i="46"/>
  <c r="H64" i="56"/>
  <c r="H132" i="46"/>
  <c r="H156" i="46"/>
  <c r="H48" i="56"/>
  <c r="P48" i="56" s="1"/>
  <c r="H15" i="47"/>
  <c r="I59" i="56"/>
  <c r="I59" i="46"/>
  <c r="F60" i="56"/>
  <c r="F60" i="46"/>
  <c r="E15" i="47"/>
  <c r="E19" i="42"/>
  <c r="D19" i="42"/>
  <c r="D143" i="56"/>
  <c r="D131" i="46"/>
  <c r="D155" i="56"/>
  <c r="D63" i="56"/>
  <c r="D119" i="46"/>
  <c r="D155" i="46"/>
  <c r="D143" i="46"/>
  <c r="D63" i="46"/>
  <c r="D131" i="56"/>
  <c r="D119" i="56"/>
  <c r="L119" i="56" s="1"/>
  <c r="F47" i="56"/>
  <c r="N47" i="56" s="1"/>
  <c r="F47" i="46"/>
  <c r="D47" i="56"/>
  <c r="L47" i="56" s="1"/>
  <c r="D47" i="46"/>
  <c r="E73" i="56"/>
  <c r="I28" i="42"/>
  <c r="I51" i="56"/>
  <c r="Q51" i="56" s="1"/>
  <c r="I51" i="46"/>
  <c r="H129" i="56"/>
  <c r="H45" i="56"/>
  <c r="P45" i="56" s="1"/>
  <c r="H45" i="46"/>
  <c r="E47" i="56"/>
  <c r="M47" i="56" s="1"/>
  <c r="E47" i="46"/>
  <c r="F28" i="42"/>
  <c r="F134" i="56"/>
  <c r="F50" i="56"/>
  <c r="N50" i="56" s="1"/>
  <c r="F75" i="56"/>
  <c r="N75" i="56" s="1"/>
  <c r="F50" i="46"/>
  <c r="F129" i="56"/>
  <c r="F45" i="56"/>
  <c r="N45" i="56" s="1"/>
  <c r="F45" i="46"/>
  <c r="F44" i="56"/>
  <c r="N44" i="56" s="1"/>
  <c r="F44" i="46"/>
  <c r="D107" i="46"/>
  <c r="I18" i="42"/>
  <c r="H46" i="56"/>
  <c r="P46" i="56" s="1"/>
  <c r="H46" i="46"/>
  <c r="I43" i="56"/>
  <c r="Q43" i="56" s="1"/>
  <c r="I43" i="46"/>
  <c r="E73" i="46"/>
  <c r="G50" i="56"/>
  <c r="O50" i="56" s="1"/>
  <c r="G134" i="56"/>
  <c r="G50" i="46"/>
  <c r="I15" i="42"/>
  <c r="H43" i="56"/>
  <c r="P43" i="56" s="1"/>
  <c r="H43" i="46"/>
  <c r="E13" i="47"/>
  <c r="H13" i="47"/>
  <c r="H22" i="42"/>
  <c r="G22" i="42"/>
  <c r="F42" i="46"/>
  <c r="F26" i="42"/>
  <c r="G17" i="42"/>
  <c r="I17" i="42"/>
  <c r="F34" i="56"/>
  <c r="N34" i="56" s="1"/>
  <c r="G14" i="42"/>
  <c r="I42" i="46"/>
  <c r="I34" i="56"/>
  <c r="Q34" i="56" s="1"/>
  <c r="O36" i="56"/>
  <c r="G13" i="47"/>
  <c r="I128" i="56"/>
  <c r="F128" i="56"/>
  <c r="L37" i="56"/>
  <c r="L10" i="56" s="1"/>
  <c r="D10" i="56"/>
  <c r="D11" i="56" s="1"/>
  <c r="E34" i="46"/>
  <c r="L73" i="56"/>
  <c r="F42" i="56"/>
  <c r="N42" i="56" s="1"/>
  <c r="O35" i="56"/>
  <c r="P34" i="56"/>
  <c r="H42" i="56"/>
  <c r="P42" i="56" s="1"/>
  <c r="I42" i="56"/>
  <c r="Q42" i="56" s="1"/>
  <c r="M75" i="56"/>
  <c r="Q35" i="56"/>
  <c r="M35" i="56"/>
  <c r="E42" i="56"/>
  <c r="M42" i="56" s="1"/>
  <c r="M34" i="56"/>
  <c r="F36" i="46"/>
  <c r="H36" i="46"/>
  <c r="E36" i="46"/>
  <c r="G36" i="46"/>
  <c r="F34" i="46"/>
  <c r="H34" i="46"/>
  <c r="I34" i="46"/>
  <c r="I36" i="46"/>
  <c r="D10" i="46"/>
  <c r="E7" i="47"/>
  <c r="O34" i="56"/>
  <c r="D7" i="47"/>
  <c r="G7" i="47"/>
  <c r="H7" i="47"/>
  <c r="F7" i="47"/>
  <c r="F17" i="47" l="1"/>
  <c r="G67" i="56"/>
  <c r="G75" i="56" s="1"/>
  <c r="G67" i="46"/>
  <c r="I60" i="46"/>
  <c r="I73" i="46" s="1"/>
  <c r="I60" i="56"/>
  <c r="D20" i="42"/>
  <c r="E20" i="42"/>
  <c r="D22" i="62" s="1"/>
  <c r="D132" i="46"/>
  <c r="D120" i="46"/>
  <c r="D144" i="56"/>
  <c r="D48" i="46"/>
  <c r="D48" i="56"/>
  <c r="L48" i="56" s="1"/>
  <c r="D132" i="56"/>
  <c r="D156" i="46"/>
  <c r="D64" i="46"/>
  <c r="D64" i="56"/>
  <c r="D120" i="56"/>
  <c r="L120" i="56" s="1"/>
  <c r="D156" i="56"/>
  <c r="D144" i="46"/>
  <c r="C16" i="47"/>
  <c r="C18" i="47" s="1"/>
  <c r="C20" i="47" s="1"/>
  <c r="H20" i="42"/>
  <c r="G132" i="56"/>
  <c r="G120" i="46"/>
  <c r="G144" i="56"/>
  <c r="G156" i="46"/>
  <c r="G120" i="56"/>
  <c r="O120" i="56" s="1"/>
  <c r="G48" i="46"/>
  <c r="G48" i="56"/>
  <c r="O48" i="56" s="1"/>
  <c r="G156" i="56"/>
  <c r="G132" i="46"/>
  <c r="G64" i="46"/>
  <c r="G64" i="56"/>
  <c r="G144" i="46"/>
  <c r="I49" i="46"/>
  <c r="I157" i="46"/>
  <c r="I145" i="56"/>
  <c r="I65" i="56"/>
  <c r="I133" i="46"/>
  <c r="I145" i="46"/>
  <c r="I49" i="56"/>
  <c r="Q49" i="56" s="1"/>
  <c r="I65" i="46"/>
  <c r="I121" i="46"/>
  <c r="I121" i="56"/>
  <c r="Q121" i="56" s="1"/>
  <c r="I133" i="56"/>
  <c r="I157" i="56"/>
  <c r="F15" i="47"/>
  <c r="G59" i="46"/>
  <c r="G59" i="56"/>
  <c r="F20" i="42"/>
  <c r="E64" i="46"/>
  <c r="E132" i="56"/>
  <c r="E144" i="46"/>
  <c r="E64" i="56"/>
  <c r="E144" i="56"/>
  <c r="E156" i="46"/>
  <c r="E132" i="46"/>
  <c r="E120" i="56"/>
  <c r="M120" i="56" s="1"/>
  <c r="E48" i="56"/>
  <c r="M48" i="56" s="1"/>
  <c r="E48" i="46"/>
  <c r="E156" i="56"/>
  <c r="E120" i="46"/>
  <c r="D21" i="62"/>
  <c r="D30" i="62" s="1"/>
  <c r="D18" i="62"/>
  <c r="D27" i="62" s="1"/>
  <c r="D16" i="47"/>
  <c r="D18" i="47" s="1"/>
  <c r="D20" i="47" s="1"/>
  <c r="G154" i="46"/>
  <c r="G62" i="56"/>
  <c r="G154" i="56"/>
  <c r="G142" i="56"/>
  <c r="G62" i="46"/>
  <c r="G142" i="46"/>
  <c r="G130" i="56"/>
  <c r="G118" i="56"/>
  <c r="O118" i="56" s="1"/>
  <c r="G130" i="46"/>
  <c r="G118" i="46"/>
  <c r="G20" i="42"/>
  <c r="F144" i="46"/>
  <c r="F48" i="56"/>
  <c r="N48" i="56" s="1"/>
  <c r="F64" i="46"/>
  <c r="F120" i="56"/>
  <c r="N120" i="56" s="1"/>
  <c r="F156" i="46"/>
  <c r="F132" i="46"/>
  <c r="F132" i="56"/>
  <c r="F156" i="56"/>
  <c r="F144" i="56"/>
  <c r="F120" i="46"/>
  <c r="F64" i="56"/>
  <c r="F48" i="46"/>
  <c r="F21" i="62"/>
  <c r="F30" i="62" s="1"/>
  <c r="C19" i="62"/>
  <c r="C28" i="62" s="1"/>
  <c r="G17" i="47"/>
  <c r="H67" i="56"/>
  <c r="H75" i="56" s="1"/>
  <c r="H67" i="46"/>
  <c r="H75" i="46" s="1"/>
  <c r="I155" i="46"/>
  <c r="I63" i="56"/>
  <c r="I63" i="46"/>
  <c r="I143" i="46"/>
  <c r="I119" i="46"/>
  <c r="I155" i="56"/>
  <c r="I143" i="56"/>
  <c r="I131" i="46"/>
  <c r="I131" i="56"/>
  <c r="I119" i="56"/>
  <c r="Q119" i="56" s="1"/>
  <c r="I62" i="56"/>
  <c r="I154" i="46"/>
  <c r="I62" i="46"/>
  <c r="I142" i="56"/>
  <c r="I154" i="56"/>
  <c r="I142" i="46"/>
  <c r="I130" i="56"/>
  <c r="I118" i="56"/>
  <c r="Q118" i="56" s="1"/>
  <c r="I130" i="46"/>
  <c r="I118" i="46"/>
  <c r="F18" i="62"/>
  <c r="F27" i="62" s="1"/>
  <c r="F20" i="62"/>
  <c r="F29" i="62" s="1"/>
  <c r="I109" i="46"/>
  <c r="E107" i="56"/>
  <c r="M73" i="56"/>
  <c r="G43" i="56"/>
  <c r="G43" i="46"/>
  <c r="I46" i="56"/>
  <c r="Q46" i="56" s="1"/>
  <c r="I46" i="46"/>
  <c r="G28" i="42"/>
  <c r="G51" i="56"/>
  <c r="G75" i="46"/>
  <c r="G51" i="46"/>
  <c r="I44" i="56"/>
  <c r="Q44" i="56" s="1"/>
  <c r="I44" i="46"/>
  <c r="I109" i="56"/>
  <c r="G46" i="56"/>
  <c r="O46" i="56" s="1"/>
  <c r="G46" i="46"/>
  <c r="H28" i="42"/>
  <c r="H51" i="56"/>
  <c r="P51" i="56" s="1"/>
  <c r="H51" i="46"/>
  <c r="E107" i="46"/>
  <c r="F73" i="46"/>
  <c r="I47" i="56"/>
  <c r="Q47" i="56" s="1"/>
  <c r="I47" i="46"/>
  <c r="F109" i="56"/>
  <c r="I26" i="42"/>
  <c r="F73" i="56"/>
  <c r="I37" i="56"/>
  <c r="H18" i="42"/>
  <c r="H15" i="42"/>
  <c r="G26" i="42"/>
  <c r="H37" i="56"/>
  <c r="G37" i="56"/>
  <c r="P35" i="56"/>
  <c r="P37" i="56" s="1"/>
  <c r="F37" i="56"/>
  <c r="M37" i="56"/>
  <c r="F37" i="46"/>
  <c r="F10" i="46" s="1"/>
  <c r="E48" i="47" s="1"/>
  <c r="N37" i="56"/>
  <c r="O37" i="56"/>
  <c r="Q37" i="56"/>
  <c r="G37" i="46"/>
  <c r="G10" i="46" s="1"/>
  <c r="F48" i="47" s="1"/>
  <c r="E37" i="46"/>
  <c r="E10" i="46" s="1"/>
  <c r="I37" i="46"/>
  <c r="I10" i="46" s="1"/>
  <c r="H48" i="47" s="1"/>
  <c r="H37" i="46"/>
  <c r="H10" i="46" s="1"/>
  <c r="G48" i="47" s="1"/>
  <c r="D31" i="62" l="1"/>
  <c r="L29" i="62"/>
  <c r="N123" i="56"/>
  <c r="N20" i="56" s="1"/>
  <c r="F49" i="46"/>
  <c r="F52" i="46" s="1"/>
  <c r="F12" i="46" s="1"/>
  <c r="F133" i="56"/>
  <c r="F135" i="56" s="1"/>
  <c r="F157" i="46"/>
  <c r="F159" i="46" s="1"/>
  <c r="F121" i="46"/>
  <c r="F123" i="46" s="1"/>
  <c r="F20" i="46" s="1"/>
  <c r="F21" i="46" s="1"/>
  <c r="N21" i="46" s="1"/>
  <c r="F133" i="46"/>
  <c r="F135" i="46" s="1"/>
  <c r="F157" i="56"/>
  <c r="F159" i="56" s="1"/>
  <c r="F65" i="46"/>
  <c r="F65" i="56"/>
  <c r="F145" i="46"/>
  <c r="F147" i="46" s="1"/>
  <c r="F121" i="56"/>
  <c r="N121" i="56" s="1"/>
  <c r="F49" i="56"/>
  <c r="N49" i="56" s="1"/>
  <c r="N52" i="56" s="1"/>
  <c r="F145" i="56"/>
  <c r="F147" i="56" s="1"/>
  <c r="F24" i="56" s="1"/>
  <c r="F25" i="56" s="1"/>
  <c r="E20" i="62"/>
  <c r="E16" i="47"/>
  <c r="E18" i="47" s="1"/>
  <c r="E20" i="47" s="1"/>
  <c r="E19" i="62"/>
  <c r="E22" i="62"/>
  <c r="E18" i="62"/>
  <c r="G65" i="46"/>
  <c r="G74" i="46" s="1"/>
  <c r="G49" i="56"/>
  <c r="O49" i="56" s="1"/>
  <c r="G133" i="46"/>
  <c r="G135" i="46" s="1"/>
  <c r="G22" i="46" s="1"/>
  <c r="G145" i="56"/>
  <c r="G147" i="56" s="1"/>
  <c r="G24" i="56" s="1"/>
  <c r="G25" i="56" s="1"/>
  <c r="G145" i="46"/>
  <c r="G157" i="46"/>
  <c r="G159" i="46" s="1"/>
  <c r="G121" i="56"/>
  <c r="O121" i="56" s="1"/>
  <c r="G65" i="56"/>
  <c r="G74" i="56" s="1"/>
  <c r="G157" i="56"/>
  <c r="G159" i="56" s="1"/>
  <c r="G121" i="46"/>
  <c r="G123" i="46" s="1"/>
  <c r="G20" i="46" s="1"/>
  <c r="G21" i="46" s="1"/>
  <c r="O21" i="46" s="1"/>
  <c r="G49" i="46"/>
  <c r="G52" i="46" s="1"/>
  <c r="G12" i="46" s="1"/>
  <c r="G13" i="46" s="1"/>
  <c r="G133" i="56"/>
  <c r="G135" i="56" s="1"/>
  <c r="G22" i="56" s="1"/>
  <c r="G23" i="56" s="1"/>
  <c r="F22" i="62"/>
  <c r="H60" i="56"/>
  <c r="H60" i="46"/>
  <c r="G21" i="62"/>
  <c r="G19" i="62"/>
  <c r="G20" i="62"/>
  <c r="H23" i="42"/>
  <c r="G22" i="62"/>
  <c r="G15" i="47"/>
  <c r="G18" i="62"/>
  <c r="F27" i="42"/>
  <c r="F29" i="42" s="1"/>
  <c r="F31" i="42" s="1"/>
  <c r="F32" i="42" s="1"/>
  <c r="F16" i="47"/>
  <c r="F18" i="47" s="1"/>
  <c r="F20" i="47" s="1"/>
  <c r="E157" i="46"/>
  <c r="E159" i="46" s="1"/>
  <c r="E157" i="56"/>
  <c r="E159" i="56" s="1"/>
  <c r="E49" i="46"/>
  <c r="E52" i="46" s="1"/>
  <c r="E12" i="46" s="1"/>
  <c r="E133" i="46"/>
  <c r="E135" i="46" s="1"/>
  <c r="E22" i="46" s="1"/>
  <c r="E23" i="46" s="1"/>
  <c r="E49" i="56"/>
  <c r="E121" i="56"/>
  <c r="M121" i="56" s="1"/>
  <c r="M123" i="56" s="1"/>
  <c r="E65" i="46"/>
  <c r="E68" i="46" s="1"/>
  <c r="E145" i="46"/>
  <c r="E147" i="46" s="1"/>
  <c r="E24" i="46" s="1"/>
  <c r="E133" i="56"/>
  <c r="E135" i="56" s="1"/>
  <c r="E145" i="56"/>
  <c r="E147" i="56" s="1"/>
  <c r="E121" i="46"/>
  <c r="E123" i="46" s="1"/>
  <c r="E65" i="56"/>
  <c r="D145" i="46"/>
  <c r="D147" i="46" s="1"/>
  <c r="D24" i="46" s="1"/>
  <c r="D25" i="46" s="1"/>
  <c r="L25" i="46" s="1"/>
  <c r="D157" i="56"/>
  <c r="D159" i="56" s="1"/>
  <c r="D26" i="56" s="1"/>
  <c r="D27" i="56" s="1"/>
  <c r="D65" i="46"/>
  <c r="D68" i="46" s="1"/>
  <c r="D133" i="46"/>
  <c r="D65" i="56"/>
  <c r="D121" i="46"/>
  <c r="D123" i="46" s="1"/>
  <c r="D49" i="56"/>
  <c r="D121" i="56"/>
  <c r="L121" i="56" s="1"/>
  <c r="L123" i="56" s="1"/>
  <c r="L20" i="56" s="1"/>
  <c r="D133" i="56"/>
  <c r="D145" i="56"/>
  <c r="D147" i="56" s="1"/>
  <c r="D49" i="46"/>
  <c r="D52" i="46" s="1"/>
  <c r="D12" i="46" s="1"/>
  <c r="D13" i="46" s="1"/>
  <c r="L13" i="46" s="1"/>
  <c r="D157" i="46"/>
  <c r="D159" i="46" s="1"/>
  <c r="D26" i="46" s="1"/>
  <c r="D27" i="46" s="1"/>
  <c r="L27" i="46" s="1"/>
  <c r="C22" i="62"/>
  <c r="C31" i="62" s="1"/>
  <c r="C20" i="62"/>
  <c r="C29" i="62" s="1"/>
  <c r="C21" i="62"/>
  <c r="C18" i="62"/>
  <c r="D27" i="42"/>
  <c r="D29" i="42" s="1"/>
  <c r="C25" i="47" s="1"/>
  <c r="D23" i="42"/>
  <c r="I19" i="42"/>
  <c r="H155" i="56"/>
  <c r="H63" i="46"/>
  <c r="H143" i="56"/>
  <c r="H147" i="56" s="1"/>
  <c r="H119" i="46"/>
  <c r="H143" i="46"/>
  <c r="H155" i="46"/>
  <c r="H63" i="56"/>
  <c r="H131" i="46"/>
  <c r="H119" i="56"/>
  <c r="P119" i="56" s="1"/>
  <c r="H131" i="56"/>
  <c r="G16" i="47"/>
  <c r="H27" i="42"/>
  <c r="D19" i="62"/>
  <c r="D23" i="62" s="1"/>
  <c r="G27" i="42"/>
  <c r="G29" i="42" s="1"/>
  <c r="G31" i="42" s="1"/>
  <c r="G32" i="42" s="1"/>
  <c r="F19" i="62"/>
  <c r="D135" i="56"/>
  <c r="D22" i="56" s="1"/>
  <c r="D23" i="56" s="1"/>
  <c r="E21" i="62"/>
  <c r="E23" i="42"/>
  <c r="F52" i="56"/>
  <c r="E27" i="42"/>
  <c r="E29" i="42" s="1"/>
  <c r="E31" i="42" s="1"/>
  <c r="H121" i="46"/>
  <c r="H49" i="56"/>
  <c r="P49" i="56" s="1"/>
  <c r="H133" i="46"/>
  <c r="H157" i="46"/>
  <c r="H145" i="56"/>
  <c r="H121" i="56"/>
  <c r="P121" i="56" s="1"/>
  <c r="H145" i="46"/>
  <c r="H65" i="56"/>
  <c r="H49" i="46"/>
  <c r="H65" i="46"/>
  <c r="H157" i="56"/>
  <c r="H133" i="56"/>
  <c r="G23" i="42"/>
  <c r="D135" i="46"/>
  <c r="D22" i="46" s="1"/>
  <c r="D23" i="46" s="1"/>
  <c r="L23" i="46" s="1"/>
  <c r="L20" i="62"/>
  <c r="D20" i="62"/>
  <c r="F23" i="42"/>
  <c r="O51" i="56"/>
  <c r="O43" i="56"/>
  <c r="O123" i="56"/>
  <c r="G147" i="46"/>
  <c r="G24" i="46" s="1"/>
  <c r="G123" i="56"/>
  <c r="O75" i="56"/>
  <c r="G109" i="56"/>
  <c r="F107" i="56"/>
  <c r="N73" i="56"/>
  <c r="G109" i="46"/>
  <c r="H44" i="56"/>
  <c r="P44" i="56" s="1"/>
  <c r="H44" i="46"/>
  <c r="H109" i="46"/>
  <c r="I73" i="56"/>
  <c r="G73" i="46"/>
  <c r="H47" i="56"/>
  <c r="P47" i="56" s="1"/>
  <c r="H47" i="46"/>
  <c r="F107" i="46"/>
  <c r="H109" i="56"/>
  <c r="P75" i="56"/>
  <c r="G73" i="56"/>
  <c r="G68" i="56"/>
  <c r="I107" i="46"/>
  <c r="H26" i="42"/>
  <c r="M20" i="56"/>
  <c r="M23" i="46"/>
  <c r="F38" i="56"/>
  <c r="F10" i="56"/>
  <c r="F11" i="56" s="1"/>
  <c r="H38" i="56"/>
  <c r="H10" i="56"/>
  <c r="H11" i="56" s="1"/>
  <c r="G38" i="56"/>
  <c r="G10" i="56"/>
  <c r="G11" i="56" s="1"/>
  <c r="I38" i="56"/>
  <c r="I10" i="56"/>
  <c r="I11" i="56" s="1"/>
  <c r="E38" i="56"/>
  <c r="E10" i="56"/>
  <c r="E11" i="56" s="1"/>
  <c r="P38" i="56"/>
  <c r="P10" i="56"/>
  <c r="N38" i="56"/>
  <c r="N10" i="56"/>
  <c r="N12" i="56"/>
  <c r="Q38" i="56"/>
  <c r="Q10" i="56"/>
  <c r="O38" i="56"/>
  <c r="O10" i="56"/>
  <c r="M38" i="56"/>
  <c r="M10" i="56"/>
  <c r="E25" i="47"/>
  <c r="E32" i="42"/>
  <c r="D25" i="47"/>
  <c r="H159" i="56" l="1"/>
  <c r="G108" i="56"/>
  <c r="H74" i="56"/>
  <c r="O74" i="56"/>
  <c r="E123" i="56"/>
  <c r="E20" i="56" s="1"/>
  <c r="E21" i="56" s="1"/>
  <c r="H74" i="46"/>
  <c r="F148" i="46"/>
  <c r="F22" i="46"/>
  <c r="F136" i="46"/>
  <c r="G68" i="46"/>
  <c r="F67" i="47"/>
  <c r="D74" i="46"/>
  <c r="E74" i="46"/>
  <c r="E108" i="46" s="1"/>
  <c r="E20" i="46"/>
  <c r="E124" i="46"/>
  <c r="D24" i="56"/>
  <c r="D25" i="56" s="1"/>
  <c r="F148" i="56"/>
  <c r="E148" i="56"/>
  <c r="E24" i="56"/>
  <c r="E25" i="56" s="1"/>
  <c r="E136" i="56"/>
  <c r="E22" i="56"/>
  <c r="E23" i="56" s="1"/>
  <c r="G26" i="46"/>
  <c r="G160" i="46"/>
  <c r="F26" i="56"/>
  <c r="F27" i="56" s="1"/>
  <c r="F160" i="56"/>
  <c r="F160" i="46"/>
  <c r="F26" i="46"/>
  <c r="G108" i="46"/>
  <c r="D20" i="46"/>
  <c r="F124" i="46"/>
  <c r="F53" i="56"/>
  <c r="E160" i="46"/>
  <c r="E26" i="46"/>
  <c r="G69" i="46"/>
  <c r="O52" i="56"/>
  <c r="O53" i="56" s="1"/>
  <c r="H160" i="56"/>
  <c r="H26" i="56"/>
  <c r="H27" i="56" s="1"/>
  <c r="E69" i="46"/>
  <c r="G31" i="62"/>
  <c r="M31" i="62" s="1"/>
  <c r="M22" i="62"/>
  <c r="G26" i="56"/>
  <c r="G27" i="56" s="1"/>
  <c r="G160" i="56"/>
  <c r="E28" i="62"/>
  <c r="K28" i="62" s="1"/>
  <c r="K19" i="62"/>
  <c r="E26" i="56"/>
  <c r="E27" i="56" s="1"/>
  <c r="E160" i="56"/>
  <c r="F123" i="56"/>
  <c r="F136" i="56"/>
  <c r="H148" i="56"/>
  <c r="F28" i="62"/>
  <c r="L19" i="62"/>
  <c r="F23" i="62"/>
  <c r="E74" i="56"/>
  <c r="E68" i="56"/>
  <c r="F53" i="46"/>
  <c r="L49" i="56"/>
  <c r="L52" i="56" s="1"/>
  <c r="D52" i="56"/>
  <c r="D12" i="56" s="1"/>
  <c r="D13" i="56" s="1"/>
  <c r="G18" i="47"/>
  <c r="G20" i="47" s="1"/>
  <c r="E31" i="62"/>
  <c r="K31" i="62" s="1"/>
  <c r="K22" i="62"/>
  <c r="E53" i="46"/>
  <c r="F24" i="46"/>
  <c r="F25" i="46" s="1"/>
  <c r="D74" i="56"/>
  <c r="D68" i="56"/>
  <c r="G69" i="56" s="1"/>
  <c r="M124" i="56"/>
  <c r="F74" i="56"/>
  <c r="F68" i="56"/>
  <c r="O124" i="56"/>
  <c r="E27" i="62"/>
  <c r="K18" i="62"/>
  <c r="E23" i="62"/>
  <c r="I156" i="46"/>
  <c r="I159" i="46" s="1"/>
  <c r="I120" i="56"/>
  <c r="I144" i="46"/>
  <c r="I147" i="46" s="1"/>
  <c r="I24" i="46" s="1"/>
  <c r="I25" i="46" s="1"/>
  <c r="I156" i="56"/>
  <c r="I159" i="56" s="1"/>
  <c r="I132" i="46"/>
  <c r="I135" i="46" s="1"/>
  <c r="I136" i="46" s="1"/>
  <c r="I132" i="56"/>
  <c r="I135" i="56" s="1"/>
  <c r="I22" i="56" s="1"/>
  <c r="I23" i="56" s="1"/>
  <c r="I144" i="56"/>
  <c r="I147" i="56" s="1"/>
  <c r="I148" i="56" s="1"/>
  <c r="I120" i="46"/>
  <c r="I123" i="46" s="1"/>
  <c r="I20" i="46" s="1"/>
  <c r="I21" i="46" s="1"/>
  <c r="Q21" i="46" s="1"/>
  <c r="I48" i="46"/>
  <c r="I52" i="46" s="1"/>
  <c r="I12" i="46" s="1"/>
  <c r="I13" i="46" s="1"/>
  <c r="I64" i="56"/>
  <c r="I64" i="46"/>
  <c r="I48" i="56"/>
  <c r="H18" i="62"/>
  <c r="H19" i="62"/>
  <c r="H20" i="62"/>
  <c r="H21" i="62"/>
  <c r="H22" i="62"/>
  <c r="I23" i="42"/>
  <c r="I27" i="42"/>
  <c r="I29" i="42" s="1"/>
  <c r="H16" i="47"/>
  <c r="H18" i="47" s="1"/>
  <c r="H20" i="47" s="1"/>
  <c r="C27" i="62"/>
  <c r="C23" i="62"/>
  <c r="L18" i="62"/>
  <c r="M49" i="56"/>
  <c r="M52" i="56" s="1"/>
  <c r="E52" i="56"/>
  <c r="G29" i="62"/>
  <c r="M29" i="62" s="1"/>
  <c r="M20" i="62"/>
  <c r="E29" i="62"/>
  <c r="K29" i="62" s="1"/>
  <c r="K20" i="62"/>
  <c r="J22" i="62"/>
  <c r="N124" i="56"/>
  <c r="F12" i="56"/>
  <c r="F13" i="56" s="1"/>
  <c r="F22" i="56"/>
  <c r="F23" i="56" s="1"/>
  <c r="F68" i="46"/>
  <c r="F69" i="46" s="1"/>
  <c r="F74" i="46"/>
  <c r="D28" i="62"/>
  <c r="J19" i="62"/>
  <c r="G27" i="62"/>
  <c r="M18" i="62"/>
  <c r="G23" i="62"/>
  <c r="E30" i="62"/>
  <c r="K30" i="62" s="1"/>
  <c r="K21" i="62"/>
  <c r="E136" i="46"/>
  <c r="D123" i="56"/>
  <c r="G124" i="56" s="1"/>
  <c r="C30" i="62"/>
  <c r="L21" i="62"/>
  <c r="J21" i="62"/>
  <c r="G28" i="62"/>
  <c r="M28" i="62" s="1"/>
  <c r="M19" i="62"/>
  <c r="J18" i="62"/>
  <c r="J23" i="62" s="1"/>
  <c r="D75" i="47" s="1"/>
  <c r="J31" i="62"/>
  <c r="E148" i="46"/>
  <c r="F31" i="62"/>
  <c r="L31" i="62" s="1"/>
  <c r="L22" i="62"/>
  <c r="D29" i="62"/>
  <c r="J29" i="62" s="1"/>
  <c r="J20" i="62"/>
  <c r="G52" i="56"/>
  <c r="G12" i="56" s="1"/>
  <c r="G13" i="56" s="1"/>
  <c r="D68" i="47"/>
  <c r="D67" i="47"/>
  <c r="H159" i="46"/>
  <c r="G30" i="62"/>
  <c r="M21" i="62"/>
  <c r="P52" i="56"/>
  <c r="P53" i="56" s="1"/>
  <c r="G53" i="56"/>
  <c r="H52" i="46"/>
  <c r="I148" i="46"/>
  <c r="G136" i="46"/>
  <c r="O20" i="56"/>
  <c r="G136" i="56"/>
  <c r="F65" i="47"/>
  <c r="F50" i="47"/>
  <c r="G148" i="46"/>
  <c r="G23" i="46"/>
  <c r="O23" i="46" s="1"/>
  <c r="G53" i="46"/>
  <c r="G124" i="46"/>
  <c r="G20" i="56"/>
  <c r="G21" i="56" s="1"/>
  <c r="G148" i="56"/>
  <c r="H123" i="46"/>
  <c r="H20" i="46" s="1"/>
  <c r="H21" i="46" s="1"/>
  <c r="P21" i="46" s="1"/>
  <c r="H52" i="56"/>
  <c r="H12" i="56" s="1"/>
  <c r="H13" i="56" s="1"/>
  <c r="H135" i="56"/>
  <c r="H22" i="56" s="1"/>
  <c r="H23" i="56" s="1"/>
  <c r="O73" i="56"/>
  <c r="O76" i="56" s="1"/>
  <c r="G107" i="56"/>
  <c r="G76" i="56"/>
  <c r="H108" i="46"/>
  <c r="H73" i="56"/>
  <c r="H68" i="56"/>
  <c r="H108" i="56"/>
  <c r="P74" i="56"/>
  <c r="H147" i="46"/>
  <c r="I107" i="56"/>
  <c r="Q73" i="56"/>
  <c r="F25" i="47"/>
  <c r="F27" i="47" s="1"/>
  <c r="H24" i="56"/>
  <c r="H25" i="56" s="1"/>
  <c r="G76" i="46"/>
  <c r="G107" i="46"/>
  <c r="H68" i="46"/>
  <c r="H69" i="46" s="1"/>
  <c r="H73" i="46"/>
  <c r="P123" i="56"/>
  <c r="H123" i="56"/>
  <c r="H135" i="46"/>
  <c r="H29" i="42"/>
  <c r="G25" i="47" s="1"/>
  <c r="E13" i="46"/>
  <c r="D50" i="47"/>
  <c r="F51" i="47"/>
  <c r="O13" i="46"/>
  <c r="F13" i="46"/>
  <c r="E50" i="47"/>
  <c r="E25" i="46"/>
  <c r="D69" i="47"/>
  <c r="G25" i="46"/>
  <c r="F69" i="47"/>
  <c r="D26" i="47"/>
  <c r="D27" i="47"/>
  <c r="E27" i="47"/>
  <c r="E26" i="47"/>
  <c r="I24" i="56" l="1"/>
  <c r="I25" i="56" s="1"/>
  <c r="I136" i="56"/>
  <c r="E76" i="46"/>
  <c r="I124" i="46"/>
  <c r="D108" i="46"/>
  <c r="D110" i="46" s="1"/>
  <c r="D18" i="46" s="1"/>
  <c r="H50" i="47"/>
  <c r="D76" i="46"/>
  <c r="D14" i="46" s="1"/>
  <c r="H65" i="47"/>
  <c r="E67" i="47"/>
  <c r="F23" i="46"/>
  <c r="D93" i="46"/>
  <c r="D16" i="46" s="1"/>
  <c r="L16" i="46" s="1"/>
  <c r="M23" i="62"/>
  <c r="G75" i="47" s="1"/>
  <c r="H28" i="62"/>
  <c r="N28" i="62" s="1"/>
  <c r="N19" i="62"/>
  <c r="H69" i="47"/>
  <c r="H30" i="62"/>
  <c r="N30" i="62" s="1"/>
  <c r="N21" i="62"/>
  <c r="H29" i="62"/>
  <c r="N29" i="62" s="1"/>
  <c r="N20" i="62"/>
  <c r="M27" i="62"/>
  <c r="M32" i="62" s="1"/>
  <c r="G32" i="62"/>
  <c r="Q120" i="56"/>
  <c r="Q123" i="56" s="1"/>
  <c r="I123" i="56"/>
  <c r="E12" i="56"/>
  <c r="E13" i="56" s="1"/>
  <c r="E53" i="56"/>
  <c r="K23" i="62"/>
  <c r="E75" i="47" s="1"/>
  <c r="P12" i="56"/>
  <c r="E85" i="46"/>
  <c r="E15" i="46" s="1"/>
  <c r="O12" i="56"/>
  <c r="D20" i="56"/>
  <c r="D21" i="56" s="1"/>
  <c r="E124" i="56"/>
  <c r="C32" i="62"/>
  <c r="L27" i="62"/>
  <c r="J27" i="62"/>
  <c r="L12" i="56"/>
  <c r="N53" i="56"/>
  <c r="E93" i="46"/>
  <c r="E16" i="46" s="1"/>
  <c r="I26" i="46"/>
  <c r="I160" i="46"/>
  <c r="M53" i="56"/>
  <c r="M12" i="56"/>
  <c r="L23" i="62"/>
  <c r="F75" i="47" s="1"/>
  <c r="L30" i="62"/>
  <c r="J30" i="62"/>
  <c r="I68" i="56"/>
  <c r="I69" i="56" s="1"/>
  <c r="I74" i="56"/>
  <c r="H31" i="62"/>
  <c r="N31" i="62" s="1"/>
  <c r="N22" i="62"/>
  <c r="D71" i="47"/>
  <c r="E27" i="46"/>
  <c r="I26" i="56"/>
  <c r="I27" i="56" s="1"/>
  <c r="I160" i="56"/>
  <c r="I22" i="46"/>
  <c r="I23" i="46" s="1"/>
  <c r="Q23" i="46" s="1"/>
  <c r="L28" i="62"/>
  <c r="F32" i="62"/>
  <c r="J28" i="62"/>
  <c r="D32" i="62"/>
  <c r="Q48" i="56"/>
  <c r="Q52" i="56" s="1"/>
  <c r="I52" i="56"/>
  <c r="D21" i="46"/>
  <c r="E65" i="47"/>
  <c r="F76" i="46"/>
  <c r="F108" i="46"/>
  <c r="I68" i="46"/>
  <c r="I69" i="46" s="1"/>
  <c r="I74" i="46"/>
  <c r="E32" i="62"/>
  <c r="K27" i="62"/>
  <c r="K32" i="62" s="1"/>
  <c r="H69" i="56"/>
  <c r="H66" i="47"/>
  <c r="E69" i="47"/>
  <c r="I53" i="46"/>
  <c r="H26" i="46"/>
  <c r="H160" i="46"/>
  <c r="I31" i="42"/>
  <c r="H25" i="47"/>
  <c r="H26" i="47" s="1"/>
  <c r="F108" i="56"/>
  <c r="F76" i="56"/>
  <c r="N74" i="56"/>
  <c r="N76" i="56" s="1"/>
  <c r="N14" i="56" s="1"/>
  <c r="E69" i="56"/>
  <c r="E14" i="46"/>
  <c r="D52" i="47" s="1"/>
  <c r="E77" i="46"/>
  <c r="E71" i="47"/>
  <c r="F27" i="46"/>
  <c r="D76" i="56"/>
  <c r="D14" i="56" s="1"/>
  <c r="D108" i="56"/>
  <c r="L74" i="56"/>
  <c r="L76" i="56" s="1"/>
  <c r="L14" i="56" s="1"/>
  <c r="L15" i="46"/>
  <c r="F71" i="47"/>
  <c r="G27" i="46"/>
  <c r="H27" i="62"/>
  <c r="N18" i="62"/>
  <c r="N23" i="62" s="1"/>
  <c r="H75" i="47" s="1"/>
  <c r="H23" i="62"/>
  <c r="F20" i="56"/>
  <c r="F21" i="56" s="1"/>
  <c r="F124" i="56"/>
  <c r="M30" i="62"/>
  <c r="F69" i="56"/>
  <c r="E101" i="46"/>
  <c r="E17" i="46" s="1"/>
  <c r="D101" i="46"/>
  <c r="D17" i="46" s="1"/>
  <c r="L17" i="46" s="1"/>
  <c r="M74" i="56"/>
  <c r="M76" i="56" s="1"/>
  <c r="E108" i="56"/>
  <c r="E76" i="56"/>
  <c r="E19" i="46"/>
  <c r="E110" i="46"/>
  <c r="D65" i="47"/>
  <c r="E21" i="46"/>
  <c r="F68" i="47"/>
  <c r="H124" i="46"/>
  <c r="H53" i="56"/>
  <c r="G65" i="47"/>
  <c r="H136" i="56"/>
  <c r="G27" i="47"/>
  <c r="G14" i="56"/>
  <c r="G77" i="56"/>
  <c r="G19" i="46"/>
  <c r="G110" i="46"/>
  <c r="H124" i="56"/>
  <c r="H20" i="56"/>
  <c r="H21" i="56" s="1"/>
  <c r="G14" i="46"/>
  <c r="G77" i="46"/>
  <c r="H12" i="46"/>
  <c r="H53" i="46"/>
  <c r="G85" i="56"/>
  <c r="G15" i="56" s="1"/>
  <c r="G101" i="56"/>
  <c r="G17" i="56" s="1"/>
  <c r="H85" i="46"/>
  <c r="H15" i="46" s="1"/>
  <c r="H107" i="46"/>
  <c r="H76" i="46"/>
  <c r="P124" i="56"/>
  <c r="P20" i="56"/>
  <c r="G85" i="46"/>
  <c r="G15" i="46" s="1"/>
  <c r="G93" i="56"/>
  <c r="G16" i="56" s="1"/>
  <c r="H22" i="46"/>
  <c r="H136" i="46"/>
  <c r="G93" i="46"/>
  <c r="G16" i="46" s="1"/>
  <c r="H107" i="56"/>
  <c r="H76" i="56"/>
  <c r="P73" i="56"/>
  <c r="P76" i="56" s="1"/>
  <c r="G110" i="56"/>
  <c r="G19" i="56"/>
  <c r="G101" i="46"/>
  <c r="G17" i="46" s="1"/>
  <c r="F26" i="47"/>
  <c r="H24" i="46"/>
  <c r="H148" i="46"/>
  <c r="G26" i="47"/>
  <c r="H27" i="47"/>
  <c r="H31" i="42"/>
  <c r="N13" i="46"/>
  <c r="E51" i="47"/>
  <c r="H70" i="47"/>
  <c r="Q25" i="46"/>
  <c r="H51" i="47"/>
  <c r="Q13" i="46"/>
  <c r="M25" i="46"/>
  <c r="D70" i="47"/>
  <c r="N25" i="46"/>
  <c r="E70" i="47"/>
  <c r="D51" i="47"/>
  <c r="M13" i="46"/>
  <c r="F70" i="47"/>
  <c r="O25" i="46"/>
  <c r="F52" i="47" l="1"/>
  <c r="D19" i="46"/>
  <c r="L19" i="46" s="1"/>
  <c r="E68" i="47"/>
  <c r="N23" i="46"/>
  <c r="H67" i="47"/>
  <c r="O27" i="46"/>
  <c r="F72" i="47"/>
  <c r="E102" i="46"/>
  <c r="Q53" i="56"/>
  <c r="Q12" i="56"/>
  <c r="D56" i="47"/>
  <c r="M16" i="46"/>
  <c r="F101" i="46"/>
  <c r="F17" i="46" s="1"/>
  <c r="N27" i="62"/>
  <c r="N32" i="62" s="1"/>
  <c r="H32" i="62"/>
  <c r="M14" i="56"/>
  <c r="M28" i="56" s="1"/>
  <c r="D34" i="47" s="1"/>
  <c r="D40" i="47" s="1"/>
  <c r="M77" i="56"/>
  <c r="F85" i="46"/>
  <c r="F15" i="46" s="1"/>
  <c r="F93" i="46"/>
  <c r="F16" i="46" s="1"/>
  <c r="D66" i="47"/>
  <c r="M21" i="46"/>
  <c r="L21" i="46"/>
  <c r="E66" i="47"/>
  <c r="F66" i="47"/>
  <c r="D55" i="47"/>
  <c r="M15" i="46"/>
  <c r="D61" i="47"/>
  <c r="M19" i="46"/>
  <c r="D19" i="56"/>
  <c r="D110" i="56"/>
  <c r="D18" i="56" s="1"/>
  <c r="F19" i="56"/>
  <c r="F110" i="56"/>
  <c r="E19" i="56"/>
  <c r="E110" i="56"/>
  <c r="E85" i="56"/>
  <c r="E15" i="56" s="1"/>
  <c r="F14" i="46"/>
  <c r="E52" i="47" s="1"/>
  <c r="F77" i="46"/>
  <c r="D72" i="47"/>
  <c r="M27" i="46"/>
  <c r="E86" i="46"/>
  <c r="N77" i="56"/>
  <c r="E111" i="46"/>
  <c r="E18" i="46"/>
  <c r="D60" i="47" s="1"/>
  <c r="E93" i="56"/>
  <c r="E16" i="56" s="1"/>
  <c r="F85" i="56"/>
  <c r="F15" i="56" s="1"/>
  <c r="I76" i="46"/>
  <c r="I108" i="46"/>
  <c r="I76" i="56"/>
  <c r="Q74" i="56"/>
  <c r="Q76" i="56" s="1"/>
  <c r="I108" i="56"/>
  <c r="L28" i="56"/>
  <c r="C34" i="47" s="1"/>
  <c r="C40" i="47" s="1"/>
  <c r="G71" i="47"/>
  <c r="H27" i="46"/>
  <c r="H68" i="47"/>
  <c r="I27" i="46"/>
  <c r="H71" i="47"/>
  <c r="E94" i="46"/>
  <c r="E14" i="56"/>
  <c r="E77" i="56"/>
  <c r="D85" i="56"/>
  <c r="D15" i="56" s="1"/>
  <c r="F93" i="56"/>
  <c r="F16" i="56" s="1"/>
  <c r="J32" i="62"/>
  <c r="I124" i="56"/>
  <c r="I20" i="56"/>
  <c r="I21" i="56" s="1"/>
  <c r="E72" i="47"/>
  <c r="N27" i="46"/>
  <c r="M17" i="46"/>
  <c r="D57" i="47"/>
  <c r="F77" i="56"/>
  <c r="F14" i="56"/>
  <c r="I53" i="56"/>
  <c r="I12" i="56"/>
  <c r="I13" i="56" s="1"/>
  <c r="D93" i="56"/>
  <c r="D16" i="56" s="1"/>
  <c r="F101" i="56"/>
  <c r="F17" i="56" s="1"/>
  <c r="G66" i="47"/>
  <c r="E101" i="56"/>
  <c r="E17" i="56" s="1"/>
  <c r="D101" i="56"/>
  <c r="D17" i="56" s="1"/>
  <c r="F19" i="46"/>
  <c r="F110" i="46"/>
  <c r="L32" i="62"/>
  <c r="Q124" i="56"/>
  <c r="Q20" i="56"/>
  <c r="N28" i="56"/>
  <c r="E34" i="47" s="1"/>
  <c r="H101" i="46"/>
  <c r="G55" i="47"/>
  <c r="G18" i="56"/>
  <c r="G111" i="56"/>
  <c r="H86" i="46"/>
  <c r="F61" i="47"/>
  <c r="O19" i="46"/>
  <c r="H25" i="46"/>
  <c r="G69" i="47"/>
  <c r="G94" i="46"/>
  <c r="H19" i="46"/>
  <c r="H110" i="46"/>
  <c r="G86" i="46"/>
  <c r="F57" i="47"/>
  <c r="O17" i="46"/>
  <c r="G50" i="47"/>
  <c r="H13" i="46"/>
  <c r="H14" i="46"/>
  <c r="G52" i="47" s="1"/>
  <c r="H77" i="46"/>
  <c r="H19" i="56"/>
  <c r="H110" i="56"/>
  <c r="G102" i="46"/>
  <c r="H85" i="56"/>
  <c r="H15" i="56" s="1"/>
  <c r="G18" i="46"/>
  <c r="F60" i="47" s="1"/>
  <c r="G111" i="46"/>
  <c r="H93" i="46"/>
  <c r="H16" i="46" s="1"/>
  <c r="H14" i="56"/>
  <c r="H77" i="56"/>
  <c r="F55" i="47"/>
  <c r="O15" i="46"/>
  <c r="H93" i="56"/>
  <c r="H16" i="56" s="1"/>
  <c r="H101" i="56"/>
  <c r="H17" i="56" s="1"/>
  <c r="O16" i="46"/>
  <c r="F56" i="47"/>
  <c r="H23" i="46"/>
  <c r="G67" i="47"/>
  <c r="I32" i="42"/>
  <c r="H32" i="42"/>
  <c r="O14" i="56"/>
  <c r="O77" i="56"/>
  <c r="H17" i="46" l="1"/>
  <c r="G94" i="56"/>
  <c r="H94" i="56"/>
  <c r="D41" i="47"/>
  <c r="N19" i="46"/>
  <c r="E61" i="47"/>
  <c r="F102" i="46"/>
  <c r="E102" i="56"/>
  <c r="F94" i="46"/>
  <c r="I19" i="46"/>
  <c r="I110" i="46"/>
  <c r="Q27" i="46"/>
  <c r="H72" i="47"/>
  <c r="I93" i="46"/>
  <c r="I16" i="46" s="1"/>
  <c r="I93" i="56"/>
  <c r="I16" i="56" s="1"/>
  <c r="I101" i="56"/>
  <c r="I17" i="56" s="1"/>
  <c r="I14" i="56"/>
  <c r="I77" i="56"/>
  <c r="I85" i="46"/>
  <c r="I15" i="46" s="1"/>
  <c r="E55" i="47"/>
  <c r="N15" i="46"/>
  <c r="F111" i="46"/>
  <c r="F18" i="46"/>
  <c r="E60" i="47" s="1"/>
  <c r="I85" i="56"/>
  <c r="I15" i="56" s="1"/>
  <c r="E86" i="56"/>
  <c r="E18" i="56"/>
  <c r="E111" i="56"/>
  <c r="N17" i="46"/>
  <c r="E57" i="47"/>
  <c r="F111" i="56"/>
  <c r="F18" i="56"/>
  <c r="F102" i="56"/>
  <c r="F86" i="46"/>
  <c r="D36" i="47"/>
  <c r="P27" i="46"/>
  <c r="G72" i="47"/>
  <c r="I101" i="46"/>
  <c r="I17" i="46" s="1"/>
  <c r="E94" i="56"/>
  <c r="I19" i="56"/>
  <c r="I110" i="56"/>
  <c r="E56" i="47"/>
  <c r="N16" i="46"/>
  <c r="G102" i="56"/>
  <c r="D35" i="47"/>
  <c r="F94" i="56"/>
  <c r="I77" i="46"/>
  <c r="I14" i="46"/>
  <c r="H52" i="47" s="1"/>
  <c r="D42" i="47"/>
  <c r="G86" i="56"/>
  <c r="F86" i="56"/>
  <c r="E40" i="47"/>
  <c r="E36" i="47"/>
  <c r="E35" i="47"/>
  <c r="O28" i="56"/>
  <c r="F34" i="47" s="1"/>
  <c r="P15" i="46"/>
  <c r="H102" i="46"/>
  <c r="H94" i="46"/>
  <c r="H86" i="56"/>
  <c r="G61" i="47"/>
  <c r="P19" i="46"/>
  <c r="G51" i="47"/>
  <c r="P13" i="46"/>
  <c r="G56" i="47"/>
  <c r="P16" i="46"/>
  <c r="H102" i="56"/>
  <c r="H111" i="46"/>
  <c r="H18" i="46"/>
  <c r="G60" i="47" s="1"/>
  <c r="G68" i="47"/>
  <c r="P23" i="46"/>
  <c r="H18" i="56"/>
  <c r="H111" i="56"/>
  <c r="G70" i="47"/>
  <c r="P25" i="46"/>
  <c r="P14" i="56"/>
  <c r="P77" i="56"/>
  <c r="Q14" i="56"/>
  <c r="Q77" i="56"/>
  <c r="F38" i="46"/>
  <c r="I38" i="46"/>
  <c r="E38" i="46"/>
  <c r="H38" i="46"/>
  <c r="G38" i="46"/>
  <c r="D11" i="46"/>
  <c r="L11" i="46" s="1"/>
  <c r="L28" i="46" s="1"/>
  <c r="H11" i="46"/>
  <c r="D48" i="47"/>
  <c r="E11" i="46"/>
  <c r="F11" i="46"/>
  <c r="I11" i="46"/>
  <c r="G11" i="46"/>
  <c r="P17" i="46" l="1"/>
  <c r="G57" i="47"/>
  <c r="I86" i="46"/>
  <c r="I102" i="46"/>
  <c r="I102" i="56"/>
  <c r="I86" i="56"/>
  <c r="I94" i="56"/>
  <c r="Q15" i="46"/>
  <c r="H55" i="47"/>
  <c r="I18" i="46"/>
  <c r="H60" i="47" s="1"/>
  <c r="I111" i="46"/>
  <c r="Q17" i="46"/>
  <c r="H57" i="47"/>
  <c r="Q19" i="46"/>
  <c r="H61" i="47"/>
  <c r="Q16" i="46"/>
  <c r="H56" i="47"/>
  <c r="I18" i="56"/>
  <c r="I111" i="56"/>
  <c r="I94" i="46"/>
  <c r="F40" i="47"/>
  <c r="F36" i="47"/>
  <c r="F35" i="47"/>
  <c r="E41" i="47"/>
  <c r="E42" i="47"/>
  <c r="Q28" i="56"/>
  <c r="H34" i="47" s="1"/>
  <c r="P28" i="56"/>
  <c r="G34" i="47" s="1"/>
  <c r="F49" i="47"/>
  <c r="O11" i="46"/>
  <c r="O28" i="46" s="1"/>
  <c r="N11" i="46"/>
  <c r="N28" i="46" s="1"/>
  <c r="E49" i="47"/>
  <c r="D49" i="47"/>
  <c r="M11" i="46"/>
  <c r="M28" i="46" s="1"/>
  <c r="G49" i="47"/>
  <c r="P11" i="46"/>
  <c r="P28" i="46" s="1"/>
  <c r="H49" i="47"/>
  <c r="Q11" i="46"/>
  <c r="Q28" i="46" l="1"/>
  <c r="G40" i="47"/>
  <c r="G41" i="47" s="1"/>
  <c r="G36" i="47"/>
  <c r="G35" i="47"/>
  <c r="H40" i="47"/>
  <c r="H36" i="47"/>
  <c r="H35" i="47"/>
  <c r="F42" i="47"/>
  <c r="F41" i="47"/>
  <c r="H41" i="47"/>
  <c r="H42" i="47" l="1"/>
  <c r="G4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<sst xmlns="http://schemas.openxmlformats.org/spreadsheetml/2006/main" count="4856" uniqueCount="2304">
  <si>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</si>
  <si>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</si>
  <si>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</si>
  <si>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</si>
  <si>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</si>
  <si>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</si>
  <si>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</si>
  <si>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</si>
  <si>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</si>
  <si>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</si>
  <si>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</si>
  <si>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</si>
  <si>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</si>
  <si>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</si>
  <si>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</si>
  <si>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</si>
  <si>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</si>
  <si>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</si>
  <si>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</si>
  <si>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</si>
  <si>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</si>
  <si>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</si>
  <si>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</si>
  <si>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</si>
  <si>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</si>
  <si>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</si>
  <si>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</si>
  <si>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</si>
  <si>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</si>
  <si>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</si>
  <si>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</si>
  <si>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</si>
  <si>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</si>
  <si>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</si>
  <si>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</si>
  <si>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</si>
  <si>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</si>
  <si>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</si>
  <si>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</si>
  <si>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</si>
  <si>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</si>
  <si>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</si>
  <si>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</si>
  <si>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</si>
  <si>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</si>
  <si>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</si>
  <si>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</si>
  <si>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</si>
  <si>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</si>
  <si>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</si>
  <si>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</si>
  <si>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</si>
  <si>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</si>
  <si>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</si>
  <si>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</si>
  <si>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</si>
  <si>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</si>
  <si>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</si>
  <si>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</si>
  <si>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</si>
  <si>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</si>
  <si>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</si>
  <si>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</si>
  <si>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</si>
  <si>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</si>
  <si>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</si>
  <si>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</si>
  <si>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</si>
  <si>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</si>
  <si>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</si>
  <si>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</si>
  <si>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</si>
  <si>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</si>
  <si>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</si>
  <si>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</si>
  <si>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</si>
  <si>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</si>
  <si>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</si>
  <si>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</si>
  <si>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</si>
  <si>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</si>
  <si>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</si>
  <si>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</si>
  <si>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</si>
  <si>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</si>
  <si>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</si>
  <si>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</si>
  <si>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</si>
  <si>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</si>
  <si>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</si>
  <si>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</si>
  <si>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</si>
  <si>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</si>
  <si>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</si>
  <si>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</si>
  <si>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</si>
  <si>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</si>
  <si>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</si>
  <si>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</si>
  <si>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</si>
  <si>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</si>
  <si>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</si>
  <si>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</si>
  <si>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</si>
  <si>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</si>
  <si>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</si>
  <si>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</si>
  <si>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</si>
  <si>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</si>
  <si>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</si>
  <si>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</si>
  <si>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</si>
  <si>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</si>
  <si>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</si>
  <si>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</si>
  <si>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</si>
  <si>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</si>
  <si>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</si>
  <si>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</si>
  <si>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</si>
  <si>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</si>
  <si>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</si>
  <si>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</si>
  <si>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</si>
  <si>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</si>
  <si>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</si>
  <si>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</si>
  <si>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</si>
  <si>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</si>
  <si>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</si>
  <si>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</si>
  <si>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</si>
  <si>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</si>
  <si>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</si>
  <si>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</si>
  <si>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</si>
  <si>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</si>
  <si>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</si>
  <si>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</si>
  <si>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</si>
  <si>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</si>
  <si>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</si>
  <si>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</si>
  <si>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</si>
  <si>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</si>
  <si>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</si>
  <si>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</si>
  <si>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</si>
  <si>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</si>
  <si>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</si>
  <si>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</si>
  <si>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</si>
  <si>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</si>
  <si>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</si>
  <si>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</si>
  <si>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</si>
  <si>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</si>
  <si>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</si>
  <si>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</si>
  <si>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</si>
  <si>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</si>
  <si>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</si>
  <si>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</si>
  <si>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</si>
  <si>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</si>
  <si>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</si>
  <si>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</si>
  <si>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</si>
  <si>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</si>
  <si>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</si>
  <si>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</si>
  <si>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</si>
  <si>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</si>
  <si>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</si>
  <si>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</si>
  <si>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</si>
  <si>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</si>
  <si>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</si>
  <si>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</si>
  <si>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</si>
  <si>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</si>
  <si>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</si>
  <si>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</si>
  <si>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</si>
  <si>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</si>
  <si>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</si>
  <si>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</si>
  <si>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</si>
  <si>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</si>
  <si>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</si>
  <si>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</si>
  <si>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</si>
  <si>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</si>
  <si>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</si>
  <si>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</si>
  <si>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</si>
  <si>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</si>
  <si>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</si>
  <si>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</si>
  <si>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</si>
  <si>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</si>
  <si>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</si>
  <si>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</si>
  <si>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</si>
  <si>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</si>
  <si>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</si>
  <si>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</si>
  <si>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</si>
  <si>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</si>
  <si>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</si>
  <si>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</si>
  <si>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</si>
  <si>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</si>
  <si>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</si>
  <si>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</si>
  <si>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</si>
  <si>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</si>
  <si>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</si>
  <si>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</si>
  <si>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</si>
  <si>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</si>
  <si>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</si>
  <si>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</si>
  <si>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</si>
  <si>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</si>
  <si>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</si>
  <si>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</si>
  <si>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</si>
  <si>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</si>
  <si>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</si>
  <si>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</si>
  <si>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</si>
  <si>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</si>
  <si>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</si>
  <si>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</si>
  <si>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</si>
  <si>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</si>
  <si>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</si>
  <si>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</si>
  <si>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</si>
  <si>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</si>
  <si>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</si>
  <si>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</si>
  <si>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</si>
  <si>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</si>
  <si>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</si>
  <si>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</si>
  <si>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</si>
  <si>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</si>
  <si>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</si>
  <si>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</si>
  <si>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</si>
  <si>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</si>
  <si>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</si>
  <si>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</si>
  <si>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</si>
  <si>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</si>
  <si>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</si>
  <si>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</si>
  <si>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</si>
  <si>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</si>
  <si>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</si>
  <si>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</si>
  <si>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</si>
  <si>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</si>
  <si>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</si>
  <si>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</si>
  <si>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</si>
  <si>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</si>
  <si>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</si>
  <si>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</si>
  <si>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</si>
  <si>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</si>
  <si>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</si>
  <si>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</si>
  <si>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</si>
  <si>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</si>
  <si>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</si>
  <si>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</si>
  <si>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</si>
  <si>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</si>
  <si>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</si>
  <si>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</si>
  <si>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</si>
  <si>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</si>
  <si>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</si>
  <si>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</si>
  <si>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</si>
  <si>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</si>
  <si>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</si>
  <si>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</si>
  <si>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</si>
  <si>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</si>
  <si>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</si>
  <si>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</si>
  <si>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</si>
  <si>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</si>
  <si>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</si>
  <si>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</si>
  <si>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</si>
  <si>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</si>
  <si>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</si>
  <si>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</si>
  <si>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</si>
  <si>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</si>
  <si>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</si>
  <si>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</si>
  <si>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</si>
  <si>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</si>
  <si>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</si>
  <si>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</si>
  <si>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</si>
  <si>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</si>
  <si>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</si>
  <si>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</si>
  <si>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</si>
  <si>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</si>
  <si>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</si>
  <si>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</si>
  <si>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</si>
  <si>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</si>
  <si>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</si>
  <si>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</si>
  <si>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</si>
  <si>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</si>
  <si>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</si>
  <si>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</si>
  <si>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</si>
  <si>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</si>
  <si>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</si>
  <si>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</si>
  <si>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</si>
  <si>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</si>
  <si>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</si>
  <si>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</si>
  <si>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</si>
  <si>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</si>
  <si>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</si>
  <si>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</si>
  <si>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</si>
  <si>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</si>
  <si>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</si>
  <si>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</si>
  <si>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</si>
  <si>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</si>
  <si>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</si>
  <si>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</si>
  <si>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</si>
  <si>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</si>
  <si>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</si>
  <si>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</si>
  <si>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</si>
  <si>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</si>
  <si>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</si>
  <si>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</si>
  <si>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</si>
  <si>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</si>
  <si>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</si>
  <si>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</si>
  <si>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</si>
  <si>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</si>
  <si>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</si>
  <si>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</si>
  <si>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</si>
  <si>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</si>
  <si>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</si>
  <si>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</si>
  <si>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</si>
  <si>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</si>
  <si>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</si>
  <si>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</si>
  <si>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</si>
  <si>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</si>
  <si>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</si>
  <si>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</si>
  <si>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</si>
  <si>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</si>
  <si>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</si>
  <si>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</si>
  <si>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</si>
  <si>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</si>
  <si>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</si>
  <si>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</si>
  <si>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</si>
  <si>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</si>
  <si>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</si>
  <si>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</si>
  <si>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</si>
  <si>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</si>
  <si>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</si>
  <si>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</si>
  <si>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</si>
  <si>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</si>
  <si>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</si>
  <si>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</si>
  <si>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</si>
  <si>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</si>
  <si>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</si>
  <si>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</si>
  <si>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</si>
  <si>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</si>
  <si>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</si>
  <si>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</si>
  <si>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</si>
  <si>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</si>
  <si>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</si>
  <si>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</si>
  <si>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</si>
  <si>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</si>
  <si>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</si>
  <si>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</si>
  <si>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</si>
  <si>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</si>
  <si>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</si>
  <si>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</si>
  <si>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</si>
  <si>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</si>
  <si>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</si>
  <si>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</si>
  <si>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</si>
  <si>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</si>
  <si>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</si>
  <si>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</si>
  <si>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</si>
  <si>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</si>
  <si>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</si>
  <si>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</si>
  <si>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</si>
  <si>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</si>
  <si>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</si>
  <si>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</si>
  <si>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</si>
  <si>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</si>
  <si>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</si>
  <si>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</si>
  <si>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</si>
  <si>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</si>
  <si>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</si>
  <si>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</si>
  <si>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</si>
  <si>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</si>
  <si>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</si>
  <si>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</si>
  <si>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</si>
  <si>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</si>
  <si>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</si>
  <si>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</si>
  <si>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</si>
  <si>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</si>
  <si>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</si>
  <si>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</si>
  <si>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</si>
  <si>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</si>
  <si>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</si>
  <si>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</si>
  <si>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</si>
  <si>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</si>
  <si>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</si>
  <si>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</si>
  <si>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</si>
  <si>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</si>
  <si>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</si>
  <si>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</si>
  <si>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</si>
  <si>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</si>
  <si>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</si>
  <si>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</si>
  <si>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</si>
  <si>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</si>
  <si>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</si>
  <si>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</si>
  <si>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</si>
  <si>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</si>
  <si>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</si>
  <si>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</si>
  <si>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</si>
  <si>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</si>
  <si>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</si>
  <si>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</si>
  <si>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</si>
  <si>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</si>
  <si>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</si>
  <si>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</si>
  <si>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</si>
  <si>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</si>
  <si>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</si>
  <si>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</si>
  <si>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</si>
  <si>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</si>
  <si>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</si>
  <si>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</si>
  <si>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</si>
  <si>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</si>
  <si>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</si>
  <si>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</si>
  <si>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</si>
  <si>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</si>
  <si>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</si>
  <si>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</si>
  <si>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</si>
  <si>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</si>
  <si>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</si>
  <si>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</si>
  <si>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</si>
  <si>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</si>
  <si>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</si>
  <si>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</si>
  <si>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</si>
  <si>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</si>
  <si>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</si>
  <si>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</si>
  <si>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</si>
  <si>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</si>
  <si>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</si>
  <si>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</si>
  <si>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</si>
  <si>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</si>
  <si>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</si>
  <si>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</si>
  <si>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</si>
  <si>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</si>
  <si>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</si>
  <si>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</si>
  <si>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</si>
  <si>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</si>
  <si>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</si>
  <si>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</si>
  <si>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</si>
  <si>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</si>
  <si>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</si>
  <si>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</si>
  <si>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</si>
  <si>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</si>
  <si>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</si>
  <si>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</si>
  <si>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</si>
  <si>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</si>
  <si>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</si>
  <si>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</si>
  <si>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</si>
  <si>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</si>
  <si>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</si>
  <si>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</si>
  <si>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</si>
  <si>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</si>
  <si>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</si>
  <si>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</si>
  <si>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</si>
  <si>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</si>
  <si>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</si>
  <si>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</si>
  <si>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</si>
  <si>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</si>
  <si>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</si>
  <si>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</si>
  <si>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</si>
  <si>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</si>
  <si>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</si>
  <si>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</si>
  <si>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</si>
  <si>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</si>
  <si>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</si>
  <si>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</si>
  <si>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</si>
  <si>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</si>
  <si>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</si>
  <si>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</si>
  <si>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</si>
  <si>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</si>
  <si>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</si>
  <si>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</si>
  <si>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</si>
  <si>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</si>
  <si>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</si>
  <si>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</si>
  <si>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</si>
  <si>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</si>
  <si>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</si>
  <si>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</si>
  <si>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</si>
  <si>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</si>
  <si>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</si>
  <si>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</si>
  <si>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</si>
  <si>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</si>
  <si>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</si>
  <si>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</si>
  <si>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</si>
  <si>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</si>
  <si>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</si>
  <si>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</si>
  <si>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</si>
  <si>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</si>
  <si>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</si>
  <si>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</si>
  <si>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</si>
  <si>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</si>
  <si>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</si>
  <si>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</si>
  <si>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</si>
  <si>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</si>
  <si>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</si>
  <si>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</si>
  <si>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</si>
  <si>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</si>
  <si>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</si>
  <si>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</si>
  <si>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</si>
  <si>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</si>
  <si>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</si>
  <si>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</si>
  <si>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</si>
  <si>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</si>
  <si>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</si>
  <si>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</si>
  <si>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</si>
  <si>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</si>
  <si>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</si>
  <si>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</si>
  <si>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</si>
  <si>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</si>
  <si>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</si>
  <si>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</si>
  <si>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</si>
  <si>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</si>
  <si>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</si>
  <si>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</si>
  <si>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</si>
  <si>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</si>
  <si>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</si>
  <si>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</si>
  <si>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</si>
  <si>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</si>
  <si>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</si>
  <si>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</si>
  <si>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</si>
  <si>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</si>
  <si>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</si>
  <si>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</si>
  <si>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</si>
  <si>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</si>
  <si>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</si>
  <si>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</si>
  <si>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</si>
  <si>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</si>
  <si>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</si>
  <si>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</si>
  <si>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</si>
  <si>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</si>
  <si>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</si>
  <si>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</si>
  <si>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</si>
  <si>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</si>
  <si>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</si>
  <si>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</si>
  <si>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</si>
  <si>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</si>
  <si>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</si>
  <si>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</si>
  <si>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</si>
  <si>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</si>
  <si>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</si>
  <si>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</si>
  <si>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</si>
  <si>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</si>
  <si>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</si>
  <si>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</si>
  <si>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</si>
  <si>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</si>
  <si>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</si>
  <si>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</si>
  <si>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</si>
  <si>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</si>
  <si>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</si>
  <si>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</si>
  <si>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</si>
  <si>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</si>
  <si>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</si>
  <si>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</si>
  <si>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</si>
  <si>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</si>
  <si>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</si>
  <si>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</si>
  <si>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</si>
  <si>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</si>
  <si>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</si>
  <si>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</si>
  <si>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</si>
  <si>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</si>
  <si>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</si>
  <si>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</si>
  <si>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</si>
  <si>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</si>
  <si>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</si>
  <si>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</si>
  <si>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</si>
  <si>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</si>
  <si>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</si>
  <si>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</si>
  <si>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</si>
  <si>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</si>
  <si>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</si>
  <si>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</si>
  <si>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</si>
  <si>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</si>
  <si>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</si>
  <si>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</si>
  <si>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</si>
  <si>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</si>
  <si>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</si>
  <si>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</si>
  <si>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</si>
  <si>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</si>
  <si>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</si>
  <si>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</si>
  <si>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</si>
  <si>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</si>
  <si>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</si>
  <si>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</si>
  <si>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</si>
  <si>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</si>
  <si>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</si>
  <si>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</si>
  <si>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</si>
  <si>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</si>
  <si>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</si>
  <si>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</si>
  <si>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</si>
  <si>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</si>
  <si>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</si>
  <si>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</si>
  <si>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</si>
  <si>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</si>
  <si>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</si>
  <si>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</si>
  <si>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</si>
  <si>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</si>
  <si>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</si>
  <si>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</si>
  <si>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</si>
  <si>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</si>
  <si>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</si>
  <si>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</si>
  <si>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</si>
  <si>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</si>
  <si>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</si>
  <si>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</si>
  <si>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</si>
  <si>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</si>
  <si>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</si>
  <si>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</si>
  <si>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</si>
  <si>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</si>
  <si>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</si>
  <si>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</si>
  <si>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</si>
  <si>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</si>
  <si>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</si>
  <si>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</si>
  <si>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</si>
  <si>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</si>
  <si>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</si>
  <si>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</si>
  <si>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</si>
  <si>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</si>
  <si>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</si>
  <si>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</si>
  <si>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</si>
  <si>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</si>
  <si>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</si>
  <si>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</si>
  <si>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</si>
  <si>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</si>
  <si>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</si>
  <si>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</si>
  <si>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</si>
  <si>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</si>
  <si>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</si>
  <si>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</si>
  <si>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</si>
  <si>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</si>
  <si>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</si>
  <si>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</si>
  <si>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</si>
  <si>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</si>
  <si>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</si>
  <si>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</si>
  <si>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</si>
  <si>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</si>
  <si>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</si>
  <si>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</si>
  <si>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</si>
  <si>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</si>
  <si>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</si>
  <si>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</si>
  <si>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</si>
  <si>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</si>
  <si>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</si>
  <si>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</si>
  <si>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</si>
  <si>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</si>
  <si>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</si>
  <si>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</si>
  <si>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</si>
  <si>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</si>
  <si>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</si>
  <si>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</si>
  <si>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</si>
  <si>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</si>
  <si>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</si>
  <si>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</si>
  <si>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</si>
  <si>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</si>
  <si>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</si>
  <si>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</si>
  <si>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</si>
  <si>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</si>
  <si>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</si>
  <si>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</si>
  <si>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</si>
  <si>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</si>
  <si>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</si>
  <si>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</si>
  <si>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</si>
  <si>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</si>
  <si>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</si>
  <si>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</si>
  <si>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</si>
  <si>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</si>
  <si>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</si>
  <si>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</si>
  <si>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</si>
  <si>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</si>
  <si>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</si>
  <si>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</si>
  <si>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</si>
  <si>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</si>
  <si>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</si>
  <si>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</si>
  <si>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</si>
  <si>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</si>
  <si>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</si>
  <si>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</si>
  <si>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</si>
  <si>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</si>
  <si>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</si>
  <si>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</si>
  <si>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</si>
  <si>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</si>
  <si>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</si>
  <si>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</si>
  <si>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</si>
  <si>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</si>
  <si>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</si>
  <si>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</si>
  <si>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</si>
  <si>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</si>
  <si>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</si>
  <si>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</si>
  <si>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</si>
  <si>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</si>
  <si>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</si>
  <si>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</si>
  <si>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</si>
  <si>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</si>
  <si>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</si>
  <si>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</si>
  <si>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</si>
  <si>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</si>
  <si>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</si>
  <si>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</si>
  <si>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</si>
  <si>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</si>
  <si>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</si>
  <si>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</si>
  <si>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</si>
  <si>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</si>
  <si>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</si>
  <si>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</si>
  <si>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</si>
  <si>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</si>
  <si>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</si>
  <si>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</si>
  <si>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</si>
  <si>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</si>
  <si>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</si>
  <si>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</si>
  <si>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</si>
  <si>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</si>
  <si>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</si>
  <si>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</si>
  <si>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</si>
  <si>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</si>
  <si>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</si>
  <si>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</si>
  <si>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</si>
  <si>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</si>
  <si>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</si>
  <si>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</si>
  <si>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</si>
  <si>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</si>
  <si>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</si>
  <si>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</si>
  <si>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</si>
  <si>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</si>
  <si>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</si>
  <si>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</si>
  <si>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</si>
  <si>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</si>
  <si>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</si>
  <si>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</si>
  <si>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</si>
  <si>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</si>
  <si>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</si>
  <si>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</si>
  <si>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</si>
  <si>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</si>
  <si>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</si>
  <si>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</si>
  <si>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</si>
  <si>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</si>
  <si>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</si>
  <si>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</si>
  <si>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</si>
  <si>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</si>
  <si>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</si>
  <si>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</si>
  <si>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</si>
  <si>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</si>
  <si>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</si>
  <si>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</si>
  <si>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</si>
  <si>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</si>
  <si>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</si>
  <si>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</si>
  <si>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</si>
  <si>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</si>
  <si>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</si>
  <si>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</si>
  <si>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</si>
  <si>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</si>
  <si>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</si>
  <si>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</si>
  <si>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</si>
  <si>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</si>
  <si>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</si>
  <si>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</si>
  <si>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</si>
  <si>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</si>
  <si>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</si>
  <si>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</si>
  <si>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</si>
  <si>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</si>
  <si>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</si>
  <si>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</si>
  <si>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</si>
  <si>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</si>
  <si>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</si>
  <si>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</si>
  <si>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</si>
  <si>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</si>
  <si>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</si>
  <si>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</si>
  <si>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</si>
  <si>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</si>
  <si>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</si>
  <si>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</si>
  <si>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</si>
  <si>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</si>
  <si>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</si>
  <si>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</si>
  <si>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</si>
  <si>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</si>
  <si>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</si>
  <si>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</si>
  <si>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</si>
  <si>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</si>
  <si>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</si>
  <si>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</si>
  <si>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</si>
  <si>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</si>
  <si>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</si>
  <si>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</si>
  <si>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</si>
  <si>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</si>
  <si>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</si>
  <si>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</si>
  <si>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</si>
  <si>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</si>
  <si>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</si>
  <si>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</si>
  <si>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</si>
  <si>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</si>
  <si>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</si>
  <si>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</si>
  <si>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</si>
  <si>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</si>
  <si>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</si>
  <si>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</si>
  <si>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</si>
  <si>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</si>
  <si>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</si>
  <si>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</si>
  <si>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</si>
  <si>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</si>
  <si>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</si>
  <si>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</si>
  <si>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</si>
  <si>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</si>
  <si>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</si>
  <si>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</si>
  <si>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</si>
  <si>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</si>
  <si>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</si>
  <si>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</si>
  <si>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</si>
  <si>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</si>
  <si>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</si>
  <si>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</si>
  <si>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</si>
  <si>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</si>
  <si>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</si>
  <si>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</si>
  <si>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</si>
  <si>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</si>
  <si>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</si>
  <si>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</si>
  <si>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</si>
  <si>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</si>
  <si>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</si>
  <si>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</si>
  <si>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</si>
  <si>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</si>
  <si>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</si>
  <si>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</si>
  <si>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</si>
  <si>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</si>
  <si>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</si>
  <si>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</si>
  <si>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</si>
  <si>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</si>
  <si>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</si>
  <si>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</si>
  <si>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</si>
  <si>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</si>
  <si>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</si>
  <si>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</si>
  <si>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</si>
  <si>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</si>
  <si>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</si>
  <si>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</si>
  <si>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</si>
  <si>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</si>
  <si>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</si>
  <si>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</si>
  <si>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</si>
  <si>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</si>
  <si>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</si>
  <si>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</si>
  <si>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</si>
  <si>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</si>
  <si>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</si>
  <si>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</si>
  <si>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</si>
  <si>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</si>
  <si>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</si>
  <si>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</si>
  <si>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</si>
  <si>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</si>
  <si>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</si>
  <si>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</si>
  <si>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</si>
  <si>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</si>
  <si>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</si>
  <si>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</si>
  <si>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</si>
  <si>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</si>
  <si>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</si>
  <si>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</si>
  <si>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</si>
  <si>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</si>
  <si>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</si>
  <si>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</si>
  <si>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</si>
  <si>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</si>
  <si>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</si>
  <si>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</si>
  <si>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</si>
  <si>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</si>
  <si>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</si>
  <si>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</si>
  <si>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</si>
  <si>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</si>
  <si>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</si>
  <si>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</si>
  <si>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</si>
  <si>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</si>
  <si>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</si>
  <si>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</si>
  <si>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</si>
  <si>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</si>
  <si>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</si>
  <si>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</si>
  <si>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</si>
  <si>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</si>
  <si>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</si>
  <si>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</si>
  <si>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</si>
  <si>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</si>
  <si>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</si>
  <si>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</si>
  <si>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</si>
  <si>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</si>
  <si>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</si>
  <si>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</si>
  <si>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</si>
  <si>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</si>
  <si>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</si>
  <si>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</si>
  <si>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</si>
  <si>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</si>
  <si>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</si>
  <si>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</si>
  <si>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</si>
  <si>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</si>
  <si>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</si>
  <si>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</si>
  <si>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</si>
  <si>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</si>
  <si>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</si>
  <si>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</si>
  <si>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</si>
  <si>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</si>
  <si>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</si>
  <si>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</si>
  <si>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</si>
  <si>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</si>
  <si>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</si>
  <si>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</si>
  <si>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</si>
  <si>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</si>
  <si>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</si>
  <si>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</si>
  <si>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</si>
  <si>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</si>
  <si>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</si>
  <si>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</si>
  <si>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</si>
  <si>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</si>
  <si>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</si>
  <si>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</si>
  <si>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</si>
  <si>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</si>
  <si>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</si>
  <si>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</si>
  <si>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</si>
  <si>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</si>
  <si>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</si>
  <si>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</si>
  <si>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</si>
  <si>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</si>
  <si>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</si>
  <si>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</si>
  <si>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</si>
  <si>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</si>
  <si>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</si>
  <si>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</si>
  <si>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</si>
  <si>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</si>
  <si>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</si>
  <si>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</si>
  <si>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</si>
  <si>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</si>
  <si>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</si>
  <si>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</si>
  <si>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</si>
  <si>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</si>
  <si>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</si>
  <si>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</si>
  <si>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</si>
  <si>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</si>
  <si>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</si>
  <si>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</si>
  <si>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</si>
  <si>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</si>
  <si>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</si>
  <si>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</si>
  <si>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</si>
  <si>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</si>
  <si>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</si>
  <si>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</si>
  <si>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</si>
  <si>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</si>
  <si>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</si>
  <si>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</si>
  <si>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</si>
  <si>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</si>
  <si>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</si>
  <si>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</si>
  <si>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</si>
  <si>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</si>
  <si>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</si>
  <si>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</si>
  <si>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</si>
  <si>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</si>
  <si>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</si>
  <si>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</si>
  <si>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</si>
  <si>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</si>
  <si>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</si>
  <si>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</si>
  <si>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</si>
  <si>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</si>
  <si>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</si>
  <si>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</si>
  <si>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</si>
  <si>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</si>
  <si>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</si>
  <si>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</si>
  <si>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</si>
  <si>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</si>
  <si>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</si>
  <si>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</si>
  <si>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</si>
  <si>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</si>
  <si>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</si>
  <si>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</si>
  <si>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</si>
  <si>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</si>
  <si>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</si>
  <si>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</si>
  <si>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</si>
  <si>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</si>
  <si>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</si>
  <si>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</si>
  <si>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</si>
  <si>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</si>
  <si>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</si>
  <si>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</si>
  <si>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</si>
  <si>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</si>
  <si>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</si>
  <si>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</si>
  <si>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</si>
  <si>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</si>
  <si>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</si>
  <si>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</si>
  <si>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</si>
  <si>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</si>
  <si>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</si>
  <si>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</si>
  <si>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</si>
  <si>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</si>
  <si>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</si>
  <si>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</si>
  <si>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</si>
  <si>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</si>
  <si>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</si>
  <si>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</si>
  <si>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</si>
  <si>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</si>
  <si>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</si>
  <si>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</si>
  <si>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</si>
  <si>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</si>
  <si>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</si>
  <si>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</si>
  <si>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</si>
  <si>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</si>
  <si>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</si>
  <si>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</si>
  <si>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</si>
  <si>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</si>
  <si>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</si>
  <si>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</si>
  <si>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</si>
  <si>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</si>
  <si>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</si>
  <si>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</si>
  <si>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</si>
  <si>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</si>
  <si>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</si>
  <si>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</si>
  <si>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</si>
  <si>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</si>
  <si>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</si>
  <si>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</si>
  <si>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</si>
  <si>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</si>
  <si>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</si>
  <si>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</si>
  <si>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</si>
  <si>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</si>
  <si>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</si>
  <si>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</si>
  <si>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</si>
  <si>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</si>
  <si>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</si>
  <si>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</si>
  <si>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</si>
  <si>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</si>
  <si>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</si>
  <si>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</si>
  <si>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</si>
  <si>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</si>
  <si>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</si>
  <si>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</si>
  <si>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</si>
  <si>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</si>
  <si>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</si>
  <si>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</si>
  <si>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</si>
  <si>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</si>
  <si>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</si>
  <si>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</si>
  <si>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</si>
  <si>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</si>
  <si>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</si>
  <si>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</si>
  <si>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</si>
  <si>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</si>
  <si>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</si>
  <si>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</si>
  <si>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</si>
  <si>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</si>
  <si>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</si>
  <si>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</si>
  <si>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</si>
  <si>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</si>
  <si>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</si>
  <si>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</si>
  <si>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</si>
  <si>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</si>
  <si>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</si>
  <si>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</si>
  <si>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</si>
  <si>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</si>
  <si>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</si>
  <si>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</si>
  <si>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</si>
  <si>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</si>
  <si>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</si>
  <si>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</si>
  <si>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</si>
  <si>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</si>
  <si>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</si>
  <si>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</si>
  <si>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</si>
  <si>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</si>
  <si>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</si>
  <si>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</si>
  <si>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</si>
  <si>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</si>
  <si>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</si>
  <si>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</si>
  <si>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</si>
  <si>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</si>
  <si>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</si>
  <si>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</si>
  <si>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</si>
  <si>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</si>
  <si>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</si>
  <si>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</si>
  <si>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</si>
  <si>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</si>
  <si>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</si>
  <si>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</si>
  <si>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</si>
  <si>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</si>
  <si>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</si>
  <si>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</si>
  <si>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</si>
  <si>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</si>
  <si>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</si>
  <si>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</si>
  <si>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</si>
  <si>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</si>
  <si>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</si>
  <si>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</si>
  <si>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</si>
  <si>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</si>
  <si>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</si>
  <si>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</si>
  <si>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</si>
  <si>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</si>
  <si>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</si>
  <si>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</si>
  <si>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</si>
  <si>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</si>
  <si>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</si>
  <si>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</si>
  <si>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</si>
  <si>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</si>
  <si>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</si>
  <si>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</si>
  <si>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</si>
  <si>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</si>
  <si>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</si>
  <si>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</si>
  <si>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</si>
  <si>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</si>
  <si>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</si>
  <si>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</si>
  <si>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</si>
  <si>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</si>
  <si>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</si>
  <si>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</si>
  <si>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</si>
  <si>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</si>
  <si>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</si>
  <si>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</si>
  <si>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</si>
  <si>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</si>
  <si>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</si>
  <si>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</si>
  <si>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</si>
  <si>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</si>
  <si>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</si>
  <si>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</si>
  <si>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</si>
  <si>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</si>
  <si>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</si>
  <si>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</si>
  <si>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</si>
  <si>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</si>
  <si>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</si>
  <si>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</si>
  <si>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</si>
  <si>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</si>
  <si>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</si>
  <si>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</si>
  <si>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</si>
  <si>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</si>
  <si>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</si>
  <si>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</si>
  <si>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</si>
  <si>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</si>
  <si>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</si>
  <si>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</si>
  <si>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</si>
  <si>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</si>
  <si>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</si>
  <si>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</si>
  <si>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</si>
  <si>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</si>
  <si>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</si>
  <si>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</si>
  <si>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</si>
  <si>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</si>
  <si>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</si>
  <si>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</si>
  <si>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</si>
  <si>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</si>
  <si>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</si>
  <si>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</si>
  <si>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</si>
  <si>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</si>
  <si>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</si>
  <si>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</si>
  <si>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</si>
  <si>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</si>
  <si>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</si>
  <si>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</si>
  <si>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</si>
  <si>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</si>
  <si>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</si>
  <si>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</si>
  <si>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</si>
  <si>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</si>
  <si>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</si>
  <si>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</si>
  <si>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</si>
  <si>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</si>
  <si>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</si>
  <si>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</si>
  <si>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</si>
  <si>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</si>
  <si>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</si>
  <si>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</si>
  <si>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</si>
  <si>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</si>
  <si>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</si>
  <si>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</si>
  <si>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</si>
  <si>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</si>
  <si>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</si>
  <si>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</si>
  <si>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</si>
  <si>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</si>
  <si>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</si>
  <si>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</si>
  <si>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</si>
  <si>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</si>
  <si>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</si>
  <si>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</si>
  <si>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</si>
  <si>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</si>
  <si>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</si>
  <si>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</si>
  <si>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</si>
  <si>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</si>
  <si>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</si>
  <si>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</si>
  <si>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</si>
  <si>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</si>
  <si>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</si>
  <si>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</si>
  <si>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</si>
  <si>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</si>
  <si>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</si>
  <si>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</si>
  <si>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</si>
  <si>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</si>
  <si>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</si>
  <si>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</si>
  <si>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</si>
  <si>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</si>
  <si>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</si>
  <si>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</si>
  <si>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</si>
  <si>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</si>
  <si>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</si>
  <si>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</si>
  <si>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</si>
  <si>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</si>
  <si>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</si>
  <si>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</si>
  <si>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</si>
  <si>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</si>
  <si>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</si>
  <si>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</si>
  <si>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</si>
  <si>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</si>
  <si>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</si>
  <si>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</si>
  <si>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</si>
  <si>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</si>
  <si>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</si>
  <si>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</si>
  <si>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</si>
  <si>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</si>
  <si>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</si>
  <si>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</si>
  <si>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</si>
  <si>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</si>
  <si>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</si>
  <si>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</si>
  <si>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</si>
  <si>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</si>
  <si>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</si>
  <si>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</si>
  <si>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</si>
  <si>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</si>
  <si>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</si>
  <si>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</si>
  <si>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</si>
  <si>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</si>
  <si>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</si>
  <si>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</si>
  <si>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</si>
  <si>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</si>
  <si>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</si>
  <si>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</si>
  <si>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</si>
  <si>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</si>
  <si>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</si>
  <si>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</si>
  <si>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</si>
  <si>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</si>
  <si>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</si>
  <si>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</si>
  <si>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</si>
  <si>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</si>
  <si>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</si>
  <si>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</si>
  <si>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</si>
  <si>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</si>
  <si>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</si>
  <si>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</si>
  <si>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</si>
  <si>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</si>
  <si>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</si>
  <si>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</si>
  <si>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</si>
  <si>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</si>
  <si>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</si>
  <si>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</si>
  <si>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</si>
  <si>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</si>
  <si>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</si>
  <si>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</si>
  <si>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</si>
  <si>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</si>
  <si>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</si>
  <si>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</si>
  <si>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</si>
  <si>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</si>
  <si>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</si>
  <si>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</si>
  <si>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</si>
  <si>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</si>
  <si>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</si>
  <si>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</si>
  <si>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</si>
  <si>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</si>
  <si>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</si>
  <si>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</si>
  <si>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</si>
  <si>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</si>
  <si>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</si>
  <si>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</si>
  <si>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</si>
  <si>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</si>
  <si>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</si>
  <si>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</si>
  <si>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</si>
  <si>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</si>
  <si>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</si>
  <si>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</si>
  <si>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</si>
  <si>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</si>
  <si>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</si>
  <si>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</si>
  <si>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</si>
  <si>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</si>
  <si>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</si>
  <si>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</si>
  <si>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</si>
  <si>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</si>
  <si>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</si>
  <si>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</si>
  <si>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</si>
  <si>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</si>
  <si>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</si>
  <si>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</si>
  <si>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</si>
  <si>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</si>
  <si>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</si>
  <si>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</si>
  <si>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</si>
  <si>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</si>
  <si>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</si>
  <si>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</si>
  <si>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</si>
  <si>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</si>
  <si>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</si>
  <si>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</si>
  <si>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</si>
  <si>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</si>
  <si>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</si>
  <si>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</si>
  <si>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</si>
  <si>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</si>
  <si>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</si>
  <si>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</si>
  <si>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</si>
  <si>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</si>
  <si>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</si>
  <si>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</si>
  <si>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</si>
  <si>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</si>
  <si>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</si>
  <si>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</si>
  <si>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</si>
  <si>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</si>
  <si>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</si>
  <si>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</si>
  <si>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</si>
  <si>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</si>
  <si>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</si>
  <si>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</si>
  <si>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</si>
  <si>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</si>
  <si>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</si>
  <si>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</si>
  <si>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</si>
  <si>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</si>
  <si>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</si>
  <si>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</si>
  <si>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</si>
  <si>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</si>
  <si>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</si>
  <si>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</si>
  <si>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</si>
  <si>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</si>
  <si>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</si>
  <si>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</si>
  <si>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</si>
  <si>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</si>
  <si>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</si>
  <si>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</si>
  <si>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</si>
  <si>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</si>
  <si>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</si>
  <si>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</si>
  <si>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</si>
  <si>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</si>
  <si>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</si>
  <si>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</si>
  <si>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</si>
  <si>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</si>
  <si>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</si>
  <si>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</si>
  <si>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</si>
  <si>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</si>
  <si>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</si>
  <si>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</si>
  <si>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</si>
  <si>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</si>
  <si>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</si>
  <si>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</si>
  <si>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</si>
  <si>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</si>
  <si>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</si>
  <si>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</si>
  <si>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</si>
  <si>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</si>
  <si>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</si>
  <si>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</si>
  <si>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</si>
  <si>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</si>
  <si>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</si>
  <si>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</si>
  <si>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</si>
  <si>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</si>
  <si>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</si>
  <si>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</si>
  <si>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</si>
  <si>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</si>
  <si>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</si>
  <si>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</si>
  <si>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</si>
  <si>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</si>
  <si>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</si>
  <si>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</si>
  <si>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</si>
  <si>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</si>
  <si>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</si>
  <si>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</si>
  <si>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</si>
  <si>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</si>
  <si>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</si>
  <si>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</si>
  <si>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</si>
  <si>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</si>
  <si>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</si>
  <si>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</si>
  <si>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</si>
  <si>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</si>
  <si>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</si>
  <si>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</si>
  <si>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</si>
  <si>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</si>
  <si>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</si>
  <si>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</si>
  <si>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</si>
  <si>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</si>
  <si>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</si>
  <si>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</si>
  <si>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</si>
  <si>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</si>
  <si>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</si>
  <si>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</si>
  <si>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</si>
  <si>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</si>
  <si>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</si>
  <si>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</si>
  <si>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</si>
  <si>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</si>
  <si>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</si>
  <si>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</si>
  <si>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</si>
  <si>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</si>
  <si>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</si>
  <si>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</si>
  <si>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</si>
  <si>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</si>
  <si>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</si>
  <si>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</si>
  <si>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</si>
  <si>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</si>
  <si>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</si>
  <si>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</si>
  <si>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</si>
  <si>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</si>
  <si>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</si>
  <si>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</si>
  <si>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</si>
  <si>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</si>
  <si>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</si>
  <si>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</si>
  <si>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</si>
  <si>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</si>
  <si>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</si>
  <si>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</si>
  <si>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</si>
  <si>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</si>
  <si>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</si>
  <si>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</si>
  <si>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</si>
  <si>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</si>
  <si>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</si>
  <si>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</si>
  <si>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</si>
  <si>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</si>
  <si>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</si>
  <si>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</si>
  <si>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</si>
  <si>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</si>
  <si>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</si>
  <si>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</si>
  <si>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</si>
  <si>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</si>
  <si>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</si>
  <si>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</si>
  <si>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</si>
  <si>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</si>
  <si>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</si>
  <si>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</si>
  <si>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</si>
  <si>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</si>
  <si>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</si>
  <si>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</si>
  <si>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</si>
  <si>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</si>
  <si>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</si>
  <si>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</si>
  <si>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</si>
  <si>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</si>
  <si>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</si>
  <si>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 xml:space="preserve">Ribociclib with an aromatase inhibitor for adjuvant </t>
  </si>
  <si>
    <t xml:space="preserve">treatment of hormone receptor-positive, </t>
  </si>
  <si>
    <t>HER2-negative early breast cancer</t>
  </si>
  <si>
    <t>Published: August 2025</t>
  </si>
  <si>
    <t>TA1086</t>
  </si>
  <si>
    <t>Time from publication to routine commissioning funding</t>
  </si>
  <si>
    <t>90 days</t>
  </si>
  <si>
    <t>Programme budget category</t>
  </si>
  <si>
    <t>02F cancers and tumours, breast</t>
  </si>
  <si>
    <t>Commissioner</t>
  </si>
  <si>
    <t>NHS England</t>
  </si>
  <si>
    <t>Provider</t>
  </si>
  <si>
    <t>NHS Hospital trusts</t>
  </si>
  <si>
    <t>Pathway position</t>
  </si>
  <si>
    <t>Adjuvant treatment</t>
  </si>
  <si>
    <t>Specialty area</t>
  </si>
  <si>
    <t>Breast cancer</t>
  </si>
  <si>
    <t>Disease area</t>
  </si>
  <si>
    <t>Cancer</t>
  </si>
  <si>
    <t>Administration method</t>
  </si>
  <si>
    <t>Oral</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</si>
  <si>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</si>
  <si>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</si>
  <si>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</si>
  <si>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</si>
  <si>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</si>
  <si>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</si>
  <si>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</si>
  <si>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</si>
  <si>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</si>
  <si>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</si>
  <si>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</si>
  <si>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</si>
  <si>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</si>
  <si>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</si>
  <si>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</si>
  <si>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</si>
  <si>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</si>
  <si>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</si>
  <si>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</si>
  <si>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</si>
  <si>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</si>
  <si>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</si>
  <si>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</si>
  <si>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</si>
  <si>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</si>
  <si>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</si>
  <si>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</si>
  <si>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</si>
  <si>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Ribociclib with an aromatase inhibitor for adjuvant treatment of hormone receptor-positive, HER2-negative early breast cancer</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</si>
  <si>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</si>
  <si>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</si>
  <si>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</si>
  <si>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</si>
  <si>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</si>
  <si>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</si>
  <si>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</si>
  <si>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</si>
  <si>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</si>
  <si>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</si>
  <si>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</si>
  <si>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</si>
  <si>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</si>
  <si>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</si>
  <si>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</si>
  <si>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</si>
  <si>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</si>
  <si>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</si>
  <si>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</si>
  <si>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</si>
  <si>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</si>
  <si>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</si>
  <si>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</si>
  <si>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</si>
  <si>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</si>
  <si>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Incidence of breast cancer</t>
  </si>
  <si>
    <t>NHS Digital. Cancer Registration Statistics, England 2022. C50 Malignant neoplasm of breast.</t>
  </si>
  <si>
    <t>Proportion of early breast cancer; defined as stages I, II, III.</t>
  </si>
  <si>
    <t>Early Diagnosis Data Hub, Cancer Research UK. Breast cancer, England, 2021</t>
  </si>
  <si>
    <t>Proportion of patients with HR+/HER2- tumours</t>
  </si>
  <si>
    <t>NHSE expert opinion</t>
  </si>
  <si>
    <t>Proportion of people having surgery</t>
  </si>
  <si>
    <t>Company budget impact submission based on expert clinical opinion</t>
  </si>
  <si>
    <t>Proportion choosing endocrine treatment (ET) in adjuvant setting</t>
  </si>
  <si>
    <t>Company estimate</t>
  </si>
  <si>
    <t>Proportion at high risk of recurrence (as per TA rec that is based on SmPC)</t>
  </si>
  <si>
    <t>Tarantino P, Rugo HS, Curigliano G, et al. 245P Characteristics of real-world (RW) NATALEE and monarchE eligible populations: A US electronic health records (EHR) database analysis. Annals of Oncology 2024;35:S317-S318.</t>
  </si>
  <si>
    <t>Eligible population - adjust locally if required</t>
  </si>
  <si>
    <r>
      <t xml:space="preserve">Calculated from % assumptions. </t>
    </r>
    <r>
      <rPr>
        <b/>
        <sz val="11"/>
        <color theme="1"/>
        <rFont val="Calibri"/>
        <family val="2"/>
        <scheme val="minor"/>
      </rPr>
      <t>Adjust locally if required</t>
    </r>
  </si>
  <si>
    <t>Eligible population adjusted for forecast disease rate change</t>
  </si>
  <si>
    <t>Interventions</t>
  </si>
  <si>
    <t>length of a cycle (days)</t>
  </si>
  <si>
    <t>Day(s) in cycle taken</t>
  </si>
  <si>
    <t>Number of days per cycle</t>
  </si>
  <si>
    <t>cycles 
current year 0</t>
  </si>
  <si>
    <t>cycles 
year 1</t>
  </si>
  <si>
    <t>cycles 
year 2</t>
  </si>
  <si>
    <t>cycles 
year 3</t>
  </si>
  <si>
    <t>cycles 
year 4</t>
  </si>
  <si>
    <t>cycles 
year 5</t>
  </si>
  <si>
    <t>Ribociclib + Aromatase Inhibitor (AI)</t>
  </si>
  <si>
    <t>1 to 21</t>
  </si>
  <si>
    <t>Endocrine Therapy (ET)</t>
  </si>
  <si>
    <t>various</t>
  </si>
  <si>
    <t>Abemaciclib + ET</t>
  </si>
  <si>
    <t>1 to 28</t>
  </si>
  <si>
    <t>Treatment option D - Drug D</t>
  </si>
  <si>
    <t>Treatment option E - Drug E</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</si>
  <si>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</si>
  <si>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</si>
  <si>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</si>
  <si>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</si>
  <si>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</si>
  <si>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</si>
  <si>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</si>
  <si>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</si>
  <si>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</si>
  <si>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</si>
  <si>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</si>
  <si>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</si>
  <si>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</si>
  <si>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Ribociclib</t>
  </si>
  <si>
    <t>Tablet</t>
  </si>
  <si>
    <t>Aromatase Inhibitor (AI)</t>
  </si>
  <si>
    <t>Various</t>
  </si>
  <si>
    <t xml:space="preserve">Abemaciclib </t>
  </si>
  <si>
    <t xml:space="preserve">Oral </t>
  </si>
  <si>
    <t>Drug D</t>
  </si>
  <si>
    <t>Drug E</t>
  </si>
  <si>
    <t xml:space="preserve">For both AI and ET, various drugs options may be used.  </t>
  </si>
  <si>
    <t>The costs of these elements are broadly similar. For simplicity the costs for AI elements and ET elements have been excluded.</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</si>
  <si>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</si>
  <si>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</si>
  <si>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</si>
  <si>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</si>
  <si>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</si>
  <si>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Market Shares</t>
  </si>
  <si>
    <t>Current, year 0</t>
  </si>
  <si>
    <t>year 1</t>
  </si>
  <si>
    <t>year 2</t>
  </si>
  <si>
    <t>year 3</t>
  </si>
  <si>
    <t>year 4</t>
  </si>
  <si>
    <t>year 5</t>
  </si>
  <si>
    <t>Ribociclib + AI</t>
  </si>
  <si>
    <t>Treatment option D</t>
  </si>
  <si>
    <t>Treatment option E</t>
  </si>
  <si>
    <t>Market share estimates are as per NHSE expert opinion, assumes rapid uptake of new option due to oral drug and clinician familiarity</t>
  </si>
  <si>
    <t>Costs for AI and ET are not included as the proportion of people receiving each constituent drug is CIC in company model and the drugs are broadly similar in AI and ET</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</si>
  <si>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</si>
  <si>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</si>
  <si>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</si>
  <si>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</si>
  <si>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</si>
  <si>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</si>
  <si>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</si>
  <si>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</si>
  <si>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</si>
  <si>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</si>
  <si>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</si>
  <si>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</si>
  <si>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</si>
  <si>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</si>
  <si>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</si>
  <si>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</si>
  <si>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</si>
  <si>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</si>
  <si>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</si>
  <si>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</si>
  <si>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</si>
  <si>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</si>
  <si>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ET</t>
  </si>
  <si>
    <t>Treatment D</t>
  </si>
  <si>
    <t>Treatment E</t>
  </si>
  <si>
    <t>Staff grade</t>
  </si>
  <si>
    <t>Hourly cost</t>
  </si>
  <si>
    <t>specialty appointments</t>
  </si>
  <si>
    <t>Number of first attendances</t>
  </si>
  <si>
    <t>per patient per visit</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</si>
  <si>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</si>
  <si>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</si>
  <si>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</si>
  <si>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</si>
  <si>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</si>
  <si>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</si>
  <si>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</si>
  <si>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</si>
  <si>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</si>
  <si>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</si>
  <si>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</si>
  <si>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radiology - ECG</t>
  </si>
  <si>
    <t>Observational test</t>
  </si>
  <si>
    <t>per patient/year</t>
  </si>
  <si>
    <t>pathology - complete blood count</t>
  </si>
  <si>
    <t>Lab test</t>
  </si>
  <si>
    <t>Band 6 Mid</t>
  </si>
  <si>
    <t>pathology - liver function test</t>
  </si>
  <si>
    <t>pathology - serum electrolytes</t>
  </si>
  <si>
    <t>HCAS rate is selected on the payscales worksheet</t>
  </si>
  <si>
    <t>Notes</t>
  </si>
  <si>
    <t>Appointments with specialist assumed to take place quarterly and be a 20 minute follow up outpatient attendance</t>
  </si>
  <si>
    <t>Preparation time before and post administration based on consensus of expert clinical opinions.  Band 7 nurse assumed, amend where necessary</t>
  </si>
  <si>
    <t>Summary of product characteristics for ribociclib states:</t>
  </si>
  <si>
    <t xml:space="preserve">ECG should be assessed before initiating treatment with Kisqali. ECG should be repeated at approximately day 14 of the first cycle then as clinically indicated. </t>
  </si>
  <si>
    <t>Complete blood counts (CBC) should be performed before initiating treatment with Kisqali. Then monitored every 2 weeks for the first 2 cycles, at the beginning of each of the subsequent 4 cycles, then as clinically indicated.</t>
  </si>
  <si>
    <t>Liver function tests (LFTs) should be performed before initiating treatment with Kisqali. Then performed every 2 weeks for the first 2 cycles, at the beginning of each of the subsequent 4 cycles, then as clinically indicated.</t>
  </si>
  <si>
    <t>Monitoring of serum electrolytes (including potassium, calcium, phosphorus and magnesium) should be performed before initiating treatment, at the beginning of the first 6 cycles and then as clinically indicated</t>
  </si>
  <si>
    <t>Summary of Ppoduct characteristics for abemaciclib states:</t>
  </si>
  <si>
    <t>Complete blood counts should be monitored prior to the start of Verzenios therapy, every two weeks for the first two months, monthly for the next two months, and as clinically indicated</t>
  </si>
  <si>
    <t>Alanine aminotransferase (ALT) and aspartate aminotransferase (AST) should be monitored prior to the start of Verzenios therapy, every two weeks for the first two months, monthly for the next two months, and as clinically indicated.</t>
  </si>
  <si>
    <t>Adverse events, annual costs and rates</t>
  </si>
  <si>
    <t>Annual rate of events</t>
  </si>
  <si>
    <t>Event</t>
  </si>
  <si>
    <t>Abemaciclib</t>
  </si>
  <si>
    <t>Cost of event</t>
  </si>
  <si>
    <t>Alanine aminotransferase increased</t>
  </si>
  <si>
    <t>Diarrhoea</t>
  </si>
  <si>
    <t>Leukopenia</t>
  </si>
  <si>
    <t>Lymphopenia</t>
  </si>
  <si>
    <t>Neutropenia</t>
  </si>
  <si>
    <t>Enter an annual per person percentage likelihood rate of each event occuring in blue cells above.  Data is marked commercial in confidence in the company submission</t>
  </si>
  <si>
    <t>The cost of the event is based on an oncology follow-up attendance WF01A 370 Medical Oncology Service, WF01A Follow Up Attendance - Single Professional</t>
  </si>
  <si>
    <t>www.england.nhs.uk/pay-syst/nhs-payment-scheme/</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</si>
  <si>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</si>
  <si>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</si>
  <si>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</si>
  <si>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</si>
  <si>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</si>
  <si>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</si>
  <si>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</si>
  <si>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Treatment option A</t>
  </si>
  <si>
    <t>Treatment option B</t>
  </si>
  <si>
    <t>Treatment option C</t>
  </si>
  <si>
    <t>Dose per administration (mg)</t>
  </si>
  <si>
    <t>Cost per dose</t>
  </si>
  <si>
    <t>Year</t>
  </si>
  <si>
    <t>Drug cost per year per patient</t>
  </si>
  <si>
    <t>Average admins per year per patient</t>
  </si>
  <si>
    <t xml:space="preserve">Year 1 </t>
  </si>
  <si>
    <t>See tables below for the calculatios for each treatment option</t>
  </si>
  <si>
    <t>Drug cost</t>
  </si>
  <si>
    <t>Dosage and cost</t>
  </si>
  <si>
    <t>Drug name</t>
  </si>
  <si>
    <t>Dose (mg)</t>
  </si>
  <si>
    <t>Dose per admin</t>
  </si>
  <si>
    <t>Frequency per cycle (days)</t>
  </si>
  <si>
    <t>Number of cycles</t>
  </si>
  <si>
    <t>Total dosage required (mg)</t>
  </si>
  <si>
    <t>Total number of packs required</t>
  </si>
  <si>
    <t>Cost per pack</t>
  </si>
  <si>
    <t>VAT rate</t>
  </si>
  <si>
    <t>Annual cost</t>
  </si>
  <si>
    <t>&lt;spare row&gt;</t>
  </si>
  <si>
    <t>All components</t>
  </si>
  <si>
    <t>Administration cost</t>
  </si>
  <si>
    <t>Treatment option</t>
  </si>
  <si>
    <t>HRG code</t>
  </si>
  <si>
    <t>HRG description</t>
  </si>
  <si>
    <t>day(s)</t>
  </si>
  <si>
    <t>No. times per cycle</t>
  </si>
  <si>
    <t>Tariff</t>
  </si>
  <si>
    <t>SB11Z</t>
  </si>
  <si>
    <t>Deliver exclusively oral chemotherapy</t>
  </si>
  <si>
    <t>A maximum duration of treatment of 3 years is modelled inline with company expected prescribing and the NATALEE trial</t>
  </si>
  <si>
    <t>Dosing as per Summary of Product Characteristics</t>
  </si>
  <si>
    <t>Administration cost as per NHS England national tariff payment system</t>
  </si>
  <si>
    <t>Dose per admin (mg)</t>
  </si>
  <si>
    <t>A maximum duration of treatment of 5 years is modelled inline with the NATALEE trial</t>
  </si>
  <si>
    <t>A maximum duration of treatment of 2 years is modelled inline with company expected prescribing and the monarchE trial</t>
  </si>
  <si>
    <t>Appointments with specialist</t>
  </si>
  <si>
    <t xml:space="preserve">National  </t>
  </si>
  <si>
    <t>Local</t>
  </si>
  <si>
    <t>First attendance</t>
  </si>
  <si>
    <t>WF01B</t>
  </si>
  <si>
    <t>370 Medical Oncology Service, First Attendance - Single Professional</t>
  </si>
  <si>
    <t xml:space="preserve">prices </t>
  </si>
  <si>
    <t>prices</t>
  </si>
  <si>
    <t>Follow up attendance</t>
  </si>
  <si>
    <t>WF01A</t>
  </si>
  <si>
    <t>370 Medical Oncology Service, Follow Up Attendance - Single Professional</t>
  </si>
  <si>
    <t>are</t>
  </si>
  <si>
    <t xml:space="preserve">can be </t>
  </si>
  <si>
    <t>Based on National Tariff Payment System</t>
  </si>
  <si>
    <t>used</t>
  </si>
  <si>
    <t xml:space="preserve">used as </t>
  </si>
  <si>
    <t xml:space="preserve">as an </t>
  </si>
  <si>
    <t>alternative.</t>
  </si>
  <si>
    <t>ECG imaging</t>
  </si>
  <si>
    <t>RD51A</t>
  </si>
  <si>
    <t>Simple echocardiogram, 19 years and over</t>
  </si>
  <si>
    <t>Pathology</t>
  </si>
  <si>
    <t>Test</t>
  </si>
  <si>
    <t>DAPS05</t>
  </si>
  <si>
    <t>Haematology.370 Medical Oncology Service</t>
  </si>
  <si>
    <t>complete blood count</t>
  </si>
  <si>
    <t>DAPS04</t>
  </si>
  <si>
    <t>Clinical biochemistry. 370 Medical Oncology Service</t>
  </si>
  <si>
    <t>liver function test</t>
  </si>
  <si>
    <t>serum electrolytes</t>
  </si>
  <si>
    <t>NHS England, National Cost Collection, National Schedule 2023/24 [online, accessed 04.07.25]</t>
  </si>
  <si>
    <t>Eligible population and uptake</t>
  </si>
  <si>
    <t>Future practice -year 3</t>
  </si>
  <si>
    <t>Future practice - year 4</t>
  </si>
  <si>
    <t>Future practice - year 5</t>
  </si>
  <si>
    <t>Eligible population</t>
  </si>
  <si>
    <t>Ribociclib uptake</t>
  </si>
  <si>
    <t>People choosing ribociclib</t>
  </si>
  <si>
    <t>New in-year people receiving the treatment options</t>
  </si>
  <si>
    <t>Prior year people receiving the treatment options</t>
  </si>
  <si>
    <t>All people receiving the treatment options</t>
  </si>
  <si>
    <t>All treatments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</si>
  <si>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</si>
  <si>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</si>
  <si>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</si>
  <si>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</si>
  <si>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</si>
  <si>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</si>
  <si>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</si>
  <si>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</si>
  <si>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</si>
  <si>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</si>
  <si>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</si>
  <si>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</si>
  <si>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</si>
  <si>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</si>
  <si>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</si>
  <si>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</si>
  <si>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Capacity impact on pathology/ radiology</t>
  </si>
  <si>
    <t>Capacity impact due to adverse events</t>
  </si>
  <si>
    <t>Total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</si>
  <si>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</si>
  <si>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</si>
  <si>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</si>
  <si>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</si>
  <si>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</si>
  <si>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Ribociclib + AI year 1</t>
  </si>
  <si>
    <t>Ribociclib + AI year 2</t>
  </si>
  <si>
    <t>Ribociclib + AI year 3</t>
  </si>
  <si>
    <t>Endocrine Therapy (ET) year 1</t>
  </si>
  <si>
    <t>Endocrine Therapy (ET) year 2</t>
  </si>
  <si>
    <t>Endocrine Therapy (ET) year 3</t>
  </si>
  <si>
    <t>Endocrine Therapy (ET) year 4</t>
  </si>
  <si>
    <t>Endocrine Therapy (ET) year 5</t>
  </si>
  <si>
    <t>Abemaciclib + ET year 1</t>
  </si>
  <si>
    <t>Abemaciclib + ET year 2</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</si>
  <si>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</si>
  <si>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</si>
  <si>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</si>
  <si>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</si>
  <si>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</si>
  <si>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</si>
  <si>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</si>
  <si>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</si>
  <si>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</si>
  <si>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</si>
  <si>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</si>
  <si>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</si>
  <si>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</si>
  <si>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Ribociclib year 1</t>
  </si>
  <si>
    <t>ET year 1</t>
  </si>
  <si>
    <t>Abemaciclib year 1</t>
  </si>
  <si>
    <t>Attendances - change in number of attendances current practice</t>
  </si>
  <si>
    <t>Follow up attendances</t>
  </si>
  <si>
    <t>Ribociclib + Aromatase Inhibitor (AI) Year 1</t>
  </si>
  <si>
    <t>Ribociclib + Aromatase Inhibitor (AI) Year 2</t>
  </si>
  <si>
    <t>Ribociclib + Aromatase Inhibitor (AI) Year 3</t>
  </si>
  <si>
    <t>Follow up attendances - change in number of attendances current practice</t>
  </si>
  <si>
    <t xml:space="preserve">Administrations  </t>
  </si>
  <si>
    <t>Administrations - number of cycles</t>
  </si>
  <si>
    <t>Cycles per year - change to current practice</t>
  </si>
  <si>
    <t>Number of administrations</t>
  </si>
  <si>
    <t xml:space="preserve">Abemaciclib + ET </t>
  </si>
  <si>
    <t>Administrations - change in number to current practice</t>
  </si>
  <si>
    <t>Nursing staffing</t>
  </si>
  <si>
    <t>Nursing - administrations (hours)</t>
  </si>
  <si>
    <t>Nursing administrations - change in number to current practice</t>
  </si>
  <si>
    <t>Nursing patient preparation time (hours)</t>
  </si>
  <si>
    <t>Nursing patient preparation - change in number to current practice</t>
  </si>
  <si>
    <t>Post administration nursing time (hours)</t>
  </si>
  <si>
    <t>Nursing post administration - change in number to current practice</t>
  </si>
  <si>
    <t>Pharmacy</t>
  </si>
  <si>
    <t>Pharmacy support</t>
  </si>
  <si>
    <t>Pharmacy support activities - change in number to current practice</t>
  </si>
  <si>
    <t xml:space="preserve">Radiology / pathology </t>
  </si>
  <si>
    <t>ECG</t>
  </si>
  <si>
    <t>Imaging scans - change in number to current practice</t>
  </si>
  <si>
    <t>Blood count</t>
  </si>
  <si>
    <t>Pathology tests - change in number to current practice</t>
  </si>
  <si>
    <t>Liver function tests</t>
  </si>
  <si>
    <t>Serum electrolytes tests</t>
  </si>
  <si>
    <t>Capacity impact (national prices)</t>
  </si>
  <si>
    <t>This sheet shows the capacity impact of the guidance.  Some are costed using national prices where they exist</t>
  </si>
  <si>
    <t>Unit cost</t>
  </si>
  <si>
    <t xml:space="preserve">Ribociclib + Aromatase Inhibitor (AI) </t>
  </si>
  <si>
    <t xml:space="preserve">Endocrine Therapy (ET) </t>
  </si>
  <si>
    <t>All options</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</si>
  <si>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</si>
  <si>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</si>
  <si>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</si>
  <si>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</si>
  <si>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</si>
  <si>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</si>
  <si>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</si>
  <si>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</si>
  <si>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</si>
  <si>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</si>
  <si>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</si>
  <si>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AfC Salary with 2025/26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</si>
  <si>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</si>
  <si>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</si>
  <si>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</si>
  <si>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</si>
  <si>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</si>
  <si>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</si>
  <si>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</si>
  <si>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</si>
  <si>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</si>
  <si>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</si>
  <si>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</si>
  <si>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</si>
  <si>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</si>
  <si>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</si>
  <si>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</si>
  <si>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</si>
  <si>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</si>
  <si>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</si>
  <si>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</si>
  <si>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</si>
  <si>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</si>
  <si>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</si>
  <si>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</si>
  <si>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</si>
  <si>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</si>
  <si>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</si>
  <si>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</si>
  <si>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</si>
  <si>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</si>
  <si>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</si>
  <si>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</si>
  <si>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</si>
  <si>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</si>
  <si>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</si>
  <si>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</si>
  <si>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</si>
  <si>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</si>
  <si>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</si>
  <si>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</si>
  <si>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Band 8a Mid</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</si>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</sst>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u/>
      <sz val="11"/>
      <color rgb="FF0563C1"/>
      <name val="Calibri"/>
      <family val="2"/>
      <scheme val="minor"/>
    </font>
    <font>
      <sz val="11"/>
      <color rgb="FF4472C4"/>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02">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5"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8" xfId="0" applyBorder="1"/>
    <xf numFmtId="169" fontId="46" fillId="0" borderId="28" xfId="82" applyNumberFormat="1" applyFont="1" applyBorder="1"/>
    <xf numFmtId="169" fontId="46" fillId="0" borderId="26"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6"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6" borderId="11" xfId="0" applyNumberFormat="1" applyFont="1" applyFill="1" applyBorder="1" applyAlignment="1">
      <alignment horizontal="center"/>
    </xf>
    <xf numFmtId="0" fontId="29" fillId="46"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9" fontId="46" fillId="0" borderId="15" xfId="82" applyNumberFormat="1" applyFont="1" applyBorder="1"/>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8" xfId="0" applyFill="1" applyBorder="1" applyAlignment="1">
      <alignment horizontal="center"/>
    </xf>
    <xf numFmtId="3" fontId="0" fillId="39" borderId="31" xfId="0" applyNumberFormat="1" applyFill="1" applyBorder="1" applyAlignment="1">
      <alignment horizontal="right"/>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6"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168" fontId="0" fillId="39" borderId="32" xfId="0" applyNumberFormat="1" applyFill="1" applyBorder="1" applyProtection="1">
      <protection locked="0"/>
    </xf>
    <xf numFmtId="168" fontId="0" fillId="39" borderId="33" xfId="0" applyNumberFormat="1" applyFill="1" applyBorder="1" applyProtection="1">
      <protection locked="0"/>
    </xf>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44" borderId="0" xfId="0" applyFont="1" applyFill="1"/>
    <xf numFmtId="0" fontId="68" fillId="44" borderId="20" xfId="0" applyFont="1" applyFill="1" applyBorder="1" applyAlignment="1">
      <alignment horizontal="center"/>
    </xf>
    <xf numFmtId="4" fontId="68" fillId="44" borderId="20" xfId="0" applyNumberFormat="1" applyFont="1" applyFill="1" applyBorder="1"/>
    <xf numFmtId="164" fontId="68" fillId="44" borderId="20" xfId="0" applyNumberFormat="1" applyFont="1" applyFill="1" applyBorder="1"/>
    <xf numFmtId="0" fontId="68" fillId="44" borderId="20" xfId="0" applyFont="1" applyFill="1" applyBorder="1"/>
    <xf numFmtId="0" fontId="68" fillId="44" borderId="17" xfId="0" applyFont="1" applyFill="1" applyBorder="1"/>
    <xf numFmtId="0" fontId="48" fillId="44" borderId="12" xfId="0" applyFont="1" applyFill="1" applyBorder="1" applyAlignment="1">
      <alignment horizontal="left" vertical="center"/>
    </xf>
    <xf numFmtId="0" fontId="70"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71"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44" fillId="46" borderId="45" xfId="0" applyFont="1" applyFill="1" applyBorder="1" applyAlignment="1">
      <alignment horizontal="center" wrapText="1"/>
    </xf>
    <xf numFmtId="0" fontId="44" fillId="24" borderId="45" xfId="0" applyFont="1" applyFill="1" applyBorder="1" applyAlignment="1">
      <alignment horizontal="center" wrapText="1"/>
    </xf>
    <xf numFmtId="0" fontId="44" fillId="24" borderId="46"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169" fontId="46" fillId="0" borderId="19" xfId="82" applyNumberFormat="1" applyFont="1" applyBorder="1"/>
    <xf numFmtId="3" fontId="46" fillId="0" borderId="19" xfId="82" applyNumberFormat="1" applyFont="1" applyBorder="1" applyAlignment="1">
      <alignment horizontal="right"/>
    </xf>
    <xf numFmtId="169" fontId="46" fillId="0" borderId="24"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8" xfId="0" applyBorder="1" applyAlignment="1">
      <alignment horizontal="center"/>
    </xf>
    <xf numFmtId="0" fontId="0" fillId="0" borderId="15" xfId="0" applyBorder="1"/>
    <xf numFmtId="3" fontId="46" fillId="0" borderId="28" xfId="82" applyNumberFormat="1" applyFont="1" applyBorder="1" applyAlignment="1">
      <alignment horizontal="right"/>
    </xf>
    <xf numFmtId="169" fontId="46" fillId="39" borderId="36" xfId="57" applyNumberFormat="1" applyFont="1" applyFill="1" applyBorder="1" applyAlignment="1" applyProtection="1">
      <alignment horizontal="right"/>
    </xf>
    <xf numFmtId="169" fontId="46" fillId="39" borderId="36" xfId="57" applyNumberFormat="1" applyFont="1" applyFill="1" applyBorder="1" applyProtection="1"/>
    <xf numFmtId="10" fontId="46" fillId="39" borderId="36"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72" fillId="47" borderId="0" xfId="0" applyFont="1" applyFill="1" applyAlignment="1">
      <alignment horizontal="left" vertical="center"/>
    </xf>
    <xf numFmtId="0" fontId="39" fillId="47" borderId="0" xfId="0" applyFont="1" applyFill="1" applyAlignment="1">
      <alignment horizontal="left" vertical="center"/>
    </xf>
    <xf numFmtId="0" fontId="73" fillId="47" borderId="0" xfId="0" applyFont="1" applyFill="1"/>
    <xf numFmtId="0" fontId="74" fillId="25" borderId="0" xfId="0" applyFont="1" applyFill="1"/>
    <xf numFmtId="0" fontId="74" fillId="0" borderId="0" xfId="0" applyFont="1"/>
    <xf numFmtId="0" fontId="74"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5"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5"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5"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8"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8"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4"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4" fillId="25" borderId="0" xfId="0" applyNumberFormat="1" applyFont="1" applyFill="1"/>
    <xf numFmtId="0" fontId="29" fillId="25" borderId="0" xfId="0" applyFont="1" applyFill="1" applyAlignment="1">
      <alignment horizontal="right"/>
    </xf>
    <xf numFmtId="0" fontId="74" fillId="25" borderId="0" xfId="0" applyFont="1" applyFill="1" applyAlignment="1">
      <alignment horizontal="right"/>
    </xf>
    <xf numFmtId="9" fontId="29" fillId="48" borderId="0" xfId="92" applyFont="1" applyFill="1"/>
    <xf numFmtId="173" fontId="76" fillId="25" borderId="0" xfId="92" applyNumberFormat="1" applyFont="1" applyFill="1" applyAlignment="1">
      <alignment horizontal="right"/>
    </xf>
    <xf numFmtId="9" fontId="76" fillId="25" borderId="0" xfId="92" applyFont="1" applyFill="1" applyAlignment="1">
      <alignment horizontal="right"/>
    </xf>
    <xf numFmtId="0" fontId="76"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4" fillId="0" borderId="0" xfId="0" applyNumberFormat="1" applyFont="1"/>
    <xf numFmtId="165" fontId="74" fillId="24" borderId="0" xfId="0" applyNumberFormat="1" applyFont="1" applyFill="1"/>
    <xf numFmtId="0" fontId="4" fillId="24" borderId="0" xfId="0" applyFont="1" applyFill="1" applyAlignment="1">
      <alignment horizontal="left" vertical="center" wrapText="1"/>
    </xf>
    <xf numFmtId="3" fontId="74" fillId="24" borderId="0" xfId="0" applyNumberFormat="1" applyFont="1" applyFill="1"/>
    <xf numFmtId="0" fontId="32" fillId="49" borderId="0" xfId="0" applyFont="1" applyFill="1" applyAlignment="1">
      <alignment horizontal="left"/>
    </xf>
    <xf numFmtId="0" fontId="29" fillId="49"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7"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2" fillId="24" borderId="17" xfId="82"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0" fillId="39" borderId="33" xfId="0" applyFill="1" applyBorder="1" applyAlignment="1" applyProtection="1">
      <alignment horizontal="right"/>
      <protection locked="0"/>
    </xf>
    <xf numFmtId="0" fontId="53" fillId="0" borderId="0" xfId="72" applyFont="1" applyFill="1" applyBorder="1" applyAlignment="1" applyProtection="1">
      <alignment horizontal="left"/>
    </xf>
    <xf numFmtId="0" fontId="78"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0" fontId="56"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9" xfId="0" applyBorder="1"/>
    <xf numFmtId="0" fontId="48" fillId="0" borderId="10" xfId="82" applyFont="1" applyBorder="1" applyAlignment="1">
      <alignment horizontal="center"/>
    </xf>
    <xf numFmtId="0" fontId="2" fillId="0" borderId="21" xfId="82" applyBorder="1"/>
    <xf numFmtId="171" fontId="6" fillId="46"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0" borderId="0" xfId="0" applyFont="1" applyFill="1" applyAlignment="1">
      <alignment horizontal="center"/>
    </xf>
    <xf numFmtId="0" fontId="29" fillId="50" borderId="11" xfId="0" applyFont="1" applyFill="1" applyBorder="1" applyAlignment="1">
      <alignment horizontal="center" wrapText="1"/>
    </xf>
    <xf numFmtId="170" fontId="29" fillId="50"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6" borderId="0" xfId="0" applyFont="1" applyFill="1"/>
    <xf numFmtId="3" fontId="42" fillId="51" borderId="0" xfId="0" applyNumberFormat="1" applyFont="1" applyFill="1"/>
    <xf numFmtId="0" fontId="75" fillId="51" borderId="0" xfId="0" applyFont="1" applyFill="1"/>
    <xf numFmtId="0" fontId="42" fillId="51" borderId="0" xfId="0" applyFont="1" applyFill="1"/>
    <xf numFmtId="0" fontId="42" fillId="51" borderId="0" xfId="0" applyFont="1" applyFill="1" applyAlignment="1">
      <alignment horizontal="left"/>
    </xf>
    <xf numFmtId="0" fontId="0" fillId="0" borderId="17" xfId="0" applyBorder="1" applyAlignment="1">
      <alignment wrapText="1"/>
    </xf>
    <xf numFmtId="168" fontId="0" fillId="39" borderId="12" xfId="0" applyNumberFormat="1" applyFill="1" applyBorder="1" applyProtection="1">
      <protection locked="0"/>
    </xf>
    <xf numFmtId="0" fontId="0" fillId="0" borderId="0" xfId="0" quotePrefix="1"/>
    <xf numFmtId="3" fontId="44" fillId="28"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9" xfId="92"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50" xfId="0" applyBorder="1" applyAlignment="1">
      <alignment horizontal="right"/>
    </xf>
    <xf numFmtId="0" fontId="0" fillId="0" borderId="50"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51" xfId="0" applyFill="1" applyBorder="1" applyProtection="1">
      <protection locked="0"/>
    </xf>
    <xf numFmtId="166" fontId="46" fillId="0" borderId="12" xfId="56" applyNumberFormat="1" applyFont="1" applyFill="1" applyBorder="1" applyProtection="1">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56"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50" xfId="82" applyFont="1" applyBorder="1"/>
    <xf numFmtId="0" fontId="79" fillId="24" borderId="12" xfId="82" applyFont="1" applyFill="1" applyBorder="1"/>
    <xf numFmtId="0" fontId="7" fillId="24" borderId="20" xfId="82" applyFont="1" applyFill="1" applyBorder="1"/>
    <xf numFmtId="0" fontId="79" fillId="24" borderId="12" xfId="82" applyFont="1" applyFill="1" applyBorder="1" applyAlignment="1">
      <alignment horizontal="center"/>
    </xf>
    <xf numFmtId="0" fontId="6" fillId="24" borderId="17" xfId="82" applyFont="1" applyFill="1" applyBorder="1"/>
    <xf numFmtId="0" fontId="0" fillId="24" borderId="50" xfId="0" applyFill="1" applyBorder="1"/>
    <xf numFmtId="0" fontId="0" fillId="24" borderId="49"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50" xfId="0" applyFont="1" applyFill="1" applyBorder="1" applyAlignment="1">
      <alignment horizontal="left"/>
    </xf>
    <xf numFmtId="0" fontId="29" fillId="26" borderId="50" xfId="0" applyFont="1" applyFill="1" applyBorder="1"/>
    <xf numFmtId="0" fontId="29" fillId="26" borderId="49" xfId="0" applyFont="1" applyFill="1" applyBorder="1"/>
    <xf numFmtId="0" fontId="32" fillId="30" borderId="50" xfId="0" applyFont="1" applyFill="1" applyBorder="1" applyAlignment="1">
      <alignment vertical="center" wrapText="1"/>
    </xf>
    <xf numFmtId="0" fontId="32" fillId="30" borderId="49" xfId="0" applyFont="1" applyFill="1" applyBorder="1" applyAlignment="1">
      <alignment vertical="center" wrapText="1"/>
    </xf>
    <xf numFmtId="0" fontId="32" fillId="27" borderId="50" xfId="0" applyFont="1" applyFill="1" applyBorder="1"/>
    <xf numFmtId="0" fontId="32" fillId="27" borderId="49" xfId="0" applyFont="1" applyFill="1" applyBorder="1"/>
    <xf numFmtId="0" fontId="6" fillId="0" borderId="49" xfId="0" applyFont="1" applyBorder="1"/>
    <xf numFmtId="0" fontId="29" fillId="0" borderId="49" xfId="0" applyFont="1" applyBorder="1"/>
    <xf numFmtId="0" fontId="29" fillId="0" borderId="50" xfId="0" applyFont="1" applyBorder="1"/>
    <xf numFmtId="0" fontId="7" fillId="0" borderId="49" xfId="0" applyFont="1" applyBorder="1"/>
    <xf numFmtId="3" fontId="7" fillId="0" borderId="49" xfId="0" applyNumberFormat="1" applyFont="1" applyBorder="1"/>
    <xf numFmtId="3" fontId="32" fillId="0" borderId="50" xfId="0" applyNumberFormat="1" applyFont="1" applyBorder="1"/>
    <xf numFmtId="3" fontId="32" fillId="0" borderId="49" xfId="0" applyNumberFormat="1" applyFont="1" applyBorder="1"/>
    <xf numFmtId="3" fontId="7" fillId="0" borderId="50" xfId="0" applyNumberFormat="1" applyFont="1" applyBorder="1"/>
    <xf numFmtId="3" fontId="6" fillId="0" borderId="49" xfId="0" applyNumberFormat="1" applyFont="1" applyBorder="1"/>
    <xf numFmtId="3" fontId="29" fillId="0" borderId="50" xfId="0" applyNumberFormat="1" applyFont="1" applyBorder="1"/>
    <xf numFmtId="3" fontId="29" fillId="0" borderId="49" xfId="0" applyNumberFormat="1" applyFont="1" applyBorder="1"/>
    <xf numFmtId="3" fontId="6" fillId="0" borderId="50" xfId="0" applyNumberFormat="1" applyFont="1" applyBorder="1"/>
    <xf numFmtId="0" fontId="6" fillId="0" borderId="50" xfId="0" applyFont="1" applyBorder="1"/>
    <xf numFmtId="173" fontId="32" fillId="25" borderId="50" xfId="92" applyNumberFormat="1" applyFont="1" applyFill="1" applyBorder="1"/>
    <xf numFmtId="9" fontId="0" fillId="0" borderId="50" xfId="0" applyNumberFormat="1" applyBorder="1" applyAlignment="1">
      <alignment horizontal="right"/>
    </xf>
    <xf numFmtId="0" fontId="39" fillId="0" borderId="49" xfId="82" applyFont="1" applyBorder="1"/>
    <xf numFmtId="0" fontId="39" fillId="37" borderId="50" xfId="0" applyFont="1" applyFill="1" applyBorder="1" applyAlignment="1">
      <alignment horizontal="center" wrapText="1"/>
    </xf>
    <xf numFmtId="165" fontId="27" fillId="0" borderId="49" xfId="0" applyNumberFormat="1" applyFont="1" applyBorder="1"/>
    <xf numFmtId="0" fontId="0" fillId="24" borderId="49" xfId="0" applyFill="1" applyBorder="1" applyAlignment="1">
      <alignment horizontal="center" wrapText="1"/>
    </xf>
    <xf numFmtId="0" fontId="44" fillId="40" borderId="50" xfId="0" applyFont="1" applyFill="1" applyBorder="1" applyAlignment="1">
      <alignment horizontal="left"/>
    </xf>
    <xf numFmtId="0" fontId="39" fillId="40" borderId="50" xfId="0" applyFont="1" applyFill="1" applyBorder="1"/>
    <xf numFmtId="0" fontId="44" fillId="40" borderId="49" xfId="0" applyFont="1" applyFill="1" applyBorder="1"/>
    <xf numFmtId="165" fontId="44" fillId="42" borderId="49" xfId="0" applyNumberFormat="1" applyFont="1" applyFill="1" applyBorder="1"/>
    <xf numFmtId="0" fontId="0" fillId="42" borderId="49" xfId="0" applyFill="1" applyBorder="1"/>
    <xf numFmtId="0" fontId="44" fillId="0" borderId="50" xfId="0" applyFont="1" applyBorder="1" applyAlignment="1">
      <alignment horizontal="right"/>
    </xf>
    <xf numFmtId="0" fontId="29" fillId="46" borderId="11" xfId="0" applyFont="1" applyFill="1" applyBorder="1" applyAlignment="1">
      <alignment horizontal="left"/>
    </xf>
    <xf numFmtId="0" fontId="28" fillId="24" borderId="0" xfId="72" applyFill="1" applyAlignment="1" applyProtection="1"/>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6" borderId="11" xfId="92" applyNumberFormat="1" applyFont="1" applyFill="1" applyBorder="1"/>
    <xf numFmtId="0" fontId="0" fillId="0" borderId="13" xfId="0" applyBorder="1" applyAlignment="1">
      <alignment wrapText="1"/>
    </xf>
    <xf numFmtId="0" fontId="28" fillId="0" borderId="0" xfId="72" applyFill="1" applyBorder="1" applyAlignment="1" applyProtection="1"/>
    <xf numFmtId="0" fontId="46" fillId="24" borderId="11" xfId="82" applyFont="1" applyFill="1" applyBorder="1" applyAlignment="1" applyProtection="1">
      <alignment horizontal="center"/>
      <protection locked="0"/>
    </xf>
    <xf numFmtId="166" fontId="46" fillId="24" borderId="11" xfId="56" applyNumberFormat="1" applyFont="1" applyFill="1" applyBorder="1" applyProtection="1">
      <protection locked="0"/>
    </xf>
    <xf numFmtId="166" fontId="46" fillId="24" borderId="20" xfId="56" applyNumberFormat="1" applyFont="1" applyFill="1" applyBorder="1" applyProtection="1">
      <protection locked="0"/>
    </xf>
    <xf numFmtId="166" fontId="46" fillId="24" borderId="12" xfId="56" applyNumberFormat="1" applyFont="1" applyFill="1" applyBorder="1" applyProtection="1">
      <protection locked="0"/>
    </xf>
    <xf numFmtId="164" fontId="56" fillId="24" borderId="11" xfId="82" applyNumberFormat="1" applyFont="1" applyFill="1" applyBorder="1" applyProtection="1">
      <protection locked="0"/>
    </xf>
    <xf numFmtId="9" fontId="56" fillId="24" borderId="12" xfId="92" applyFont="1" applyFill="1" applyBorder="1" applyProtection="1">
      <protection locked="0"/>
    </xf>
    <xf numFmtId="0" fontId="28" fillId="0" borderId="12" xfId="72" applyFill="1" applyBorder="1" applyAlignment="1" applyProtection="1"/>
    <xf numFmtId="9" fontId="0" fillId="39" borderId="57" xfId="0" applyNumberFormat="1" applyFill="1" applyBorder="1" applyAlignment="1" applyProtection="1">
      <alignment horizontal="right"/>
      <protection locked="0"/>
    </xf>
    <xf numFmtId="9" fontId="0" fillId="39" borderId="58" xfId="0" applyNumberFormat="1" applyFill="1" applyBorder="1" applyAlignment="1" applyProtection="1">
      <alignment horizontal="right"/>
      <protection locked="0"/>
    </xf>
    <xf numFmtId="9" fontId="0" fillId="39" borderId="11" xfId="0" applyNumberFormat="1" applyFill="1" applyBorder="1" applyAlignment="1" applyProtection="1">
      <alignment horizontal="right"/>
      <protection locked="0"/>
    </xf>
    <xf numFmtId="0" fontId="46" fillId="0" borderId="0" xfId="82" applyFont="1" applyAlignment="1">
      <alignment horizontal="left"/>
    </xf>
    <xf numFmtId="0" fontId="81" fillId="0" borderId="0" xfId="0" applyFont="1"/>
    <xf numFmtId="0" fontId="28" fillId="0" borderId="0" xfId="72" applyAlignment="1" applyProtection="1">
      <protection locked="0"/>
    </xf>
    <xf numFmtId="0" fontId="28" fillId="0" borderId="0" xfId="72" applyFill="1" applyAlignment="1" applyProtection="1">
      <protection locked="0"/>
    </xf>
    <xf numFmtId="0" fontId="39" fillId="44" borderId="50" xfId="0" applyFont="1" applyFill="1" applyBorder="1"/>
    <xf numFmtId="0" fontId="0" fillId="39" borderId="59" xfId="0" applyFill="1" applyBorder="1" applyProtection="1">
      <protection locked="0"/>
    </xf>
    <xf numFmtId="0" fontId="0" fillId="39" borderId="61" xfId="0" applyFill="1" applyBorder="1" applyProtection="1">
      <protection locked="0"/>
    </xf>
    <xf numFmtId="0" fontId="0" fillId="39" borderId="60" xfId="0" applyFill="1" applyBorder="1" applyProtection="1">
      <protection locked="0"/>
    </xf>
    <xf numFmtId="0" fontId="28" fillId="0" borderId="0" xfId="72" applyAlignment="1" applyProtection="1">
      <alignment horizontal="left"/>
    </xf>
    <xf numFmtId="164" fontId="46" fillId="39" borderId="11" xfId="82" applyNumberFormat="1" applyFont="1" applyFill="1" applyBorder="1" applyProtection="1">
      <protection locked="0"/>
    </xf>
    <xf numFmtId="0" fontId="0" fillId="0" borderId="0" xfId="82" applyFont="1" applyAlignment="1">
      <alignment vertical="top"/>
    </xf>
    <xf numFmtId="165" fontId="27" fillId="0" borderId="10" xfId="0" applyNumberFormat="1" applyFont="1" applyBorder="1"/>
    <xf numFmtId="164" fontId="46" fillId="0" borderId="18" xfId="0" applyNumberFormat="1" applyFont="1" applyBorder="1"/>
    <xf numFmtId="3" fontId="44" fillId="39" borderId="11" xfId="0" applyNumberFormat="1" applyFont="1" applyFill="1" applyBorder="1" applyProtection="1">
      <protection locked="0"/>
    </xf>
    <xf numFmtId="3" fontId="0" fillId="39" borderId="31" xfId="0" applyNumberFormat="1" applyFill="1" applyBorder="1" applyAlignment="1" applyProtection="1">
      <alignment horizontal="right"/>
      <protection locked="0"/>
    </xf>
    <xf numFmtId="0" fontId="0" fillId="0" borderId="0" xfId="0" applyProtection="1">
      <protection locked="0"/>
    </xf>
    <xf numFmtId="165" fontId="48" fillId="39" borderId="19" xfId="82" applyNumberFormat="1" applyFont="1" applyFill="1" applyBorder="1" applyProtection="1">
      <protection locked="0"/>
    </xf>
    <xf numFmtId="0" fontId="28" fillId="0" borderId="0" xfId="72" applyAlignment="1" applyProtection="1">
      <alignment vertical="top"/>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80" fillId="0" borderId="12" xfId="0" applyFont="1" applyBorder="1" applyAlignment="1">
      <alignment wrapText="1"/>
    </xf>
    <xf numFmtId="0" fontId="0" fillId="0" borderId="20" xfId="0" applyBorder="1" applyAlignment="1">
      <alignment wrapText="1"/>
    </xf>
    <xf numFmtId="0" fontId="0" fillId="0" borderId="17" xfId="0" applyBorder="1" applyAlignment="1">
      <alignment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england-2022" TargetMode="Externa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12" Type="http://schemas.openxmlformats.org/officeDocument/2006/relationships/comments" Target="../comments1.xml"/><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vmlDrawing" Target="../drawings/vmlDrawing2.vml"/><Relationship Id="rId5" Type="http://schemas.openxmlformats.org/officeDocument/2006/relationships/hyperlink" Target="https://www.nisra.gov.uk/publications/2023-mid-year-population-estimates-northern-ireland" TargetMode="External"/><Relationship Id="rId10" Type="http://schemas.openxmlformats.org/officeDocument/2006/relationships/printerSettings" Target="../printerSettings/printerSettings4.bin"/><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hyperlink" Target="https://crukcancerintelligence.shinyapps.io/EarlyDiagnosi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medicines.org.uk/emc/product/11047/smpc" TargetMode="External"/><Relationship Id="rId1" Type="http://schemas.openxmlformats.org/officeDocument/2006/relationships/hyperlink" Target="https://www.medicines.org.uk/emc/product/8110/smp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ngland.nhs.uk/costing-in-the-nhs/national-cost-collection/"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medicines.org.uk/emc/product/11047/smpc" TargetMode="External"/><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s://www.medicines.org.uk/emc/product/8110/smpc" TargetMode="External"/><Relationship Id="rId9"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698" zoomScale="40" zoomScaleNormal="40" workbookViewId="0">
      <selection activeCell="C1798" sqref="C1798"/>
    </sheetView>
  </sheetViews>
  <sheetFormatPr defaultColWidth="9.2187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77734375" style="10" customWidth="1"/>
    <col min="15" max="15" width="14.21875" style="10" customWidth="1"/>
    <col min="16" max="16" width="10.77734375" style="10" customWidth="1"/>
    <col min="17" max="17" width="15.21875" style="11" hidden="1" customWidth="1"/>
    <col min="18" max="18" width="20.21875" style="11" hidden="1" customWidth="1"/>
    <col min="19" max="42" width="10.77734375" style="11" hidden="1" customWidth="1"/>
    <col min="43" max="50" width="10.77734375" style="12" hidden="1" customWidth="1"/>
    <col min="51" max="100" width="10.77734375" style="1" hidden="1" customWidth="1"/>
    <col min="101" max="106" width="10.77734375" style="1" customWidth="1"/>
    <col min="107" max="189" width="10.77734375" style="10" hidden="1" customWidth="1"/>
    <col min="190" max="193" width="10.77734375" style="10" customWidth="1"/>
    <col min="194" max="194" width="10.44140625" style="10" customWidth="1"/>
    <col min="195" max="16384" width="9.21875" style="10"/>
  </cols>
  <sheetData>
    <row r="1" spans="2:106" x14ac:dyDescent="0.25">
      <c r="C1" s="677" t="s">
        <v>0</v>
      </c>
    </row>
    <row r="2" spans="2:106" x14ac:dyDescent="0.25">
      <c r="B2" s="9" t="s">
        <v>1</v>
      </c>
    </row>
    <row r="3" spans="2:106" x14ac:dyDescent="0.25">
      <c r="B3" s="84" t="s">
        <v>2</v>
      </c>
      <c r="C3" s="821"/>
      <c r="D3" s="822"/>
      <c r="E3" s="822"/>
      <c r="F3" s="822"/>
      <c r="G3" s="823"/>
    </row>
    <row r="4" spans="2:106" x14ac:dyDescent="0.25">
      <c r="B4" s="85"/>
      <c r="C4" s="86"/>
      <c r="D4" s="7"/>
      <c r="E4" s="7"/>
      <c r="F4" s="7"/>
      <c r="G4" s="87"/>
      <c r="L4" s="9" t="s">
        <v>3</v>
      </c>
      <c r="M4" s="9" t="s">
        <v>3</v>
      </c>
      <c r="N4" s="9" t="s">
        <v>4</v>
      </c>
      <c r="O4" s="9" t="s">
        <v>4</v>
      </c>
      <c r="P4" s="9" t="s">
        <v>5</v>
      </c>
      <c r="R4" s="156" t="s">
        <v>6</v>
      </c>
      <c r="S4" s="156" t="s">
        <v>7</v>
      </c>
      <c r="T4" s="156" t="s">
        <v>8</v>
      </c>
      <c r="V4" s="156" t="s">
        <v>9</v>
      </c>
    </row>
    <row r="5" spans="2:106" ht="27.6" x14ac:dyDescent="0.25">
      <c r="B5" s="88" t="s">
        <v>10</v>
      </c>
      <c r="C5" s="86"/>
      <c r="D5" s="7"/>
      <c r="E5" s="7"/>
      <c r="F5" s="7"/>
      <c r="G5" s="87"/>
      <c r="L5" s="15" t="s">
        <v>11</v>
      </c>
      <c r="M5" s="15" t="s">
        <v>12</v>
      </c>
      <c r="N5" s="15" t="s">
        <v>13</v>
      </c>
      <c r="O5" s="15" t="s">
        <v>14</v>
      </c>
      <c r="P5" s="18"/>
      <c r="Q5" s="16"/>
      <c r="R5" s="15" t="s">
        <v>14</v>
      </c>
      <c r="S5" s="126" t="s">
        <v>15</v>
      </c>
      <c r="V5" s="127">
        <v>4</v>
      </c>
    </row>
    <row r="6" spans="2:106"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2" t="s">
        <v>19</v>
      </c>
      <c r="S6" s="126" t="s">
        <v>20</v>
      </c>
      <c r="V6" s="127">
        <v>5</v>
      </c>
    </row>
    <row r="7" spans="2:106" x14ac:dyDescent="0.25">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2" t="s">
        <v>23</v>
      </c>
      <c r="S7" s="348"/>
      <c r="V7" s="127">
        <v>6</v>
      </c>
    </row>
    <row r="8" spans="2:106" ht="19.5" customHeight="1" x14ac:dyDescent="0.25">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5" customHeight="1" x14ac:dyDescent="0.3">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4" x14ac:dyDescent="0.3">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5">
      <c r="B12" s="14"/>
      <c r="D12" s="180" t="s">
        <v>37</v>
      </c>
      <c r="E12" s="180"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6.05" customHeight="1" x14ac:dyDescent="0.25">
      <c r="B13" s="181" t="s">
        <v>41</v>
      </c>
      <c r="C13" s="181" t="s">
        <v>42</v>
      </c>
      <c r="D13" s="25" t="s">
        <v>43</v>
      </c>
      <c r="E13" s="25" t="s">
        <v>44</v>
      </c>
      <c r="F13" s="181"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53">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82"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'Inputs and population'!$D$11</f>
        <v>National</v>
      </c>
      <c r="O14" s="20" t="str">
        <f>IFERROR(VLOOKUP('Inputs and population'!$D$11, $L$5:$M$14, 2, FALSE), "-")</f>
        <v>NATIONAL</v>
      </c>
      <c r="P14" s="15" t="b">
        <f>ISTEXT('Inputs and population'!$D$12)</f>
        <v>1</v>
      </c>
      <c r="V14" s="127" t="s">
        <v>50</v>
      </c>
    </row>
    <row r="15" spans="2:106" x14ac:dyDescent="0.25">
      <c r="B15" s="182"/>
      <c r="C15" s="19"/>
      <c r="D15" s="83"/>
      <c r="E15" s="83"/>
      <c r="F15" s="19"/>
      <c r="L15" s="20"/>
      <c r="M15" s="20"/>
      <c r="N15" s="20"/>
      <c r="O15" s="20"/>
      <c r="P15" s="20"/>
      <c r="V15" s="127" t="s">
        <v>51</v>
      </c>
    </row>
    <row r="16" spans="2:106" x14ac:dyDescent="0.25">
      <c r="B16" s="183" t="s">
        <v>52</v>
      </c>
      <c r="C16" s="184">
        <f>IF(C15&gt;0,C14,C15)</f>
        <v>0</v>
      </c>
      <c r="D16" s="184">
        <f>IF(D15&gt;0,D14,D15)</f>
        <v>0</v>
      </c>
      <c r="E16" s="184">
        <f>IF(E15&gt;0,E14,E15)</f>
        <v>0</v>
      </c>
      <c r="F16" s="184">
        <f>SUM(F15)</f>
        <v>0</v>
      </c>
      <c r="L16" s="21"/>
      <c r="M16" s="21"/>
      <c r="P16" s="346">
        <f>COUNTIF(P6:P14, TRUE)</f>
        <v>9</v>
      </c>
    </row>
    <row r="17" spans="1:194" x14ac:dyDescent="0.25">
      <c r="Q17" s="22"/>
      <c r="R17" s="22"/>
    </row>
    <row r="18" spans="1:194" ht="45.6" customHeight="1" x14ac:dyDescent="0.25">
      <c r="B18" s="82"/>
      <c r="C18" s="131"/>
      <c r="D18" s="25" t="s">
        <v>37</v>
      </c>
      <c r="E18" s="25" t="s">
        <v>37</v>
      </c>
      <c r="F18" s="82"/>
      <c r="I18" s="82"/>
      <c r="J18" s="82"/>
      <c r="K18" s="23"/>
      <c r="N18" s="23"/>
    </row>
    <row r="19" spans="1:194" ht="23.1" customHeight="1" x14ac:dyDescent="0.25">
      <c r="D19" s="185">
        <v>2</v>
      </c>
      <c r="E19" s="185">
        <v>3</v>
      </c>
      <c r="F19" s="185">
        <v>4</v>
      </c>
      <c r="G19" s="185">
        <v>5</v>
      </c>
      <c r="H19" s="185">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824"/>
      <c r="O20" s="824"/>
      <c r="P20" s="824"/>
      <c r="Q20" s="824"/>
      <c r="R20" s="824"/>
      <c r="S20" s="824"/>
      <c r="T20" s="824"/>
      <c r="U20" s="824"/>
      <c r="V20" s="824"/>
      <c r="W20" s="824"/>
      <c r="X20" s="824"/>
      <c r="Y20" s="824"/>
      <c r="Z20" s="824"/>
      <c r="AA20" s="824"/>
      <c r="AB20" s="824"/>
      <c r="AC20" s="824"/>
      <c r="AD20" s="824"/>
      <c r="AE20" s="824"/>
      <c r="AF20" s="824"/>
      <c r="AG20" s="824"/>
      <c r="AH20" s="824"/>
      <c r="AI20" s="824"/>
      <c r="AJ20" s="824"/>
      <c r="AK20" s="824"/>
      <c r="AL20" s="824"/>
      <c r="AM20" s="824"/>
      <c r="AN20" s="824"/>
      <c r="AO20" s="824"/>
      <c r="AP20" s="824"/>
      <c r="AQ20" s="824"/>
      <c r="AR20" s="824"/>
      <c r="AS20" s="824"/>
      <c r="AT20" s="824"/>
      <c r="AU20" s="824"/>
      <c r="AV20" s="824"/>
      <c r="AW20" s="824"/>
      <c r="AX20" s="824"/>
      <c r="AY20" s="824"/>
      <c r="AZ20" s="824"/>
      <c r="BA20" s="824"/>
      <c r="BB20" s="824"/>
      <c r="BC20" s="824"/>
      <c r="BD20" s="824"/>
      <c r="BE20" s="824"/>
      <c r="BF20" s="824"/>
      <c r="BG20" s="824"/>
      <c r="BH20" s="824"/>
      <c r="BI20" s="824"/>
      <c r="BJ20" s="824"/>
      <c r="BK20" s="824"/>
      <c r="BL20" s="824"/>
      <c r="BM20" s="824"/>
      <c r="BN20" s="824"/>
      <c r="BO20" s="824"/>
      <c r="BP20" s="824"/>
      <c r="BQ20" s="824"/>
      <c r="BR20" s="824"/>
      <c r="BS20" s="824"/>
      <c r="BT20" s="824"/>
      <c r="BU20" s="824"/>
      <c r="BV20" s="824"/>
      <c r="BW20" s="824"/>
      <c r="BX20" s="824"/>
      <c r="BY20" s="824"/>
      <c r="BZ20" s="824"/>
      <c r="CA20" s="824"/>
      <c r="CB20" s="824"/>
      <c r="CC20" s="824"/>
      <c r="CD20" s="824"/>
      <c r="CE20" s="824"/>
      <c r="CF20" s="824"/>
      <c r="CG20" s="824"/>
      <c r="CH20" s="824"/>
      <c r="CI20" s="824"/>
      <c r="CJ20" s="824"/>
      <c r="CK20" s="824"/>
      <c r="CL20" s="824"/>
      <c r="CM20" s="824"/>
      <c r="CN20" s="824"/>
      <c r="CO20" s="824"/>
      <c r="CP20" s="824"/>
      <c r="CQ20" s="824"/>
      <c r="CR20" s="824"/>
      <c r="CS20" s="824"/>
      <c r="CT20" s="824"/>
      <c r="CU20" s="824"/>
      <c r="CV20" s="824"/>
      <c r="CW20" s="824"/>
      <c r="CX20" s="824"/>
      <c r="CY20" s="825"/>
      <c r="CZ20" s="826" t="s">
        <v>59</v>
      </c>
      <c r="DA20" s="826"/>
      <c r="DB20" s="826"/>
      <c r="DC20" s="826"/>
      <c r="DD20" s="826"/>
      <c r="DE20" s="826"/>
      <c r="DF20" s="826"/>
      <c r="DG20" s="826"/>
      <c r="DH20" s="826"/>
      <c r="DI20" s="826"/>
      <c r="DJ20" s="826"/>
      <c r="DK20" s="826"/>
      <c r="DL20" s="826"/>
      <c r="DM20" s="826"/>
      <c r="DN20" s="826"/>
      <c r="DO20" s="826"/>
      <c r="DP20" s="826"/>
      <c r="DQ20" s="826"/>
      <c r="DR20" s="826"/>
      <c r="DS20" s="826"/>
      <c r="DT20" s="826"/>
      <c r="DU20" s="826"/>
      <c r="DV20" s="826"/>
      <c r="DW20" s="826"/>
      <c r="DX20" s="826"/>
      <c r="DY20" s="826"/>
      <c r="DZ20" s="826"/>
      <c r="EA20" s="826"/>
      <c r="EB20" s="826"/>
      <c r="EC20" s="826"/>
      <c r="ED20" s="826"/>
      <c r="EE20" s="826"/>
      <c r="EF20" s="826"/>
      <c r="EG20" s="826"/>
      <c r="EH20" s="826"/>
      <c r="EI20" s="826"/>
      <c r="EJ20" s="826"/>
      <c r="EK20" s="826"/>
      <c r="EL20" s="826"/>
      <c r="EM20" s="826"/>
      <c r="EN20" s="826"/>
      <c r="EO20" s="826"/>
      <c r="EP20" s="826"/>
      <c r="EQ20" s="826"/>
      <c r="ER20" s="826"/>
      <c r="ES20" s="826"/>
      <c r="ET20" s="826"/>
      <c r="EU20" s="826"/>
      <c r="EV20" s="826"/>
      <c r="EW20" s="826"/>
      <c r="EX20" s="826"/>
      <c r="EY20" s="826"/>
      <c r="EZ20" s="826"/>
      <c r="FA20" s="826"/>
      <c r="FB20" s="826"/>
      <c r="FC20" s="826"/>
      <c r="FD20" s="826"/>
      <c r="FE20" s="826"/>
      <c r="FF20" s="826"/>
      <c r="FG20" s="826"/>
      <c r="FH20" s="826"/>
      <c r="FI20" s="826"/>
      <c r="FJ20" s="826"/>
      <c r="FK20" s="826"/>
      <c r="FL20" s="826"/>
      <c r="FM20" s="826"/>
      <c r="FN20" s="826"/>
      <c r="FO20" s="826"/>
      <c r="FP20" s="826"/>
      <c r="FQ20" s="826"/>
      <c r="FR20" s="826"/>
      <c r="FS20" s="826"/>
      <c r="FT20" s="826"/>
      <c r="FU20" s="826"/>
      <c r="FV20" s="826"/>
      <c r="FW20" s="826"/>
      <c r="FX20" s="826"/>
      <c r="FY20" s="826"/>
      <c r="FZ20" s="826"/>
      <c r="GA20" s="826"/>
      <c r="GB20" s="826"/>
      <c r="GC20" s="826"/>
      <c r="GD20" s="826"/>
      <c r="GE20" s="826"/>
      <c r="GF20" s="826"/>
      <c r="GG20" s="826"/>
      <c r="GH20" s="826"/>
      <c r="GI20" s="826"/>
      <c r="GJ20" s="826"/>
      <c r="GK20" s="826"/>
      <c r="GL20" s="827"/>
    </row>
    <row r="21" spans="1:194" s="8" customFormat="1" ht="27.6"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5">
      <c r="A22" s="29"/>
      <c r="B22" s="68"/>
      <c r="C22" s="828"/>
      <c r="D22" s="829"/>
      <c r="E22" s="829"/>
      <c r="F22" s="830"/>
      <c r="G22" s="830"/>
      <c r="H22" s="829"/>
      <c r="I22" s="829"/>
      <c r="J22" s="829"/>
      <c r="K22" s="830"/>
      <c r="L22" s="829"/>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30"/>
      <c r="AP22" s="830"/>
      <c r="AQ22" s="830"/>
      <c r="AR22" s="830"/>
      <c r="AS22" s="830"/>
      <c r="AT22" s="830"/>
      <c r="AU22" s="830"/>
      <c r="AV22" s="830"/>
      <c r="AW22" s="830"/>
      <c r="AX22" s="830"/>
      <c r="AY22" s="830"/>
      <c r="AZ22" s="830"/>
      <c r="BA22" s="830"/>
      <c r="BB22" s="830"/>
      <c r="BC22" s="830"/>
      <c r="BD22" s="830"/>
      <c r="BE22" s="830"/>
      <c r="BF22" s="830"/>
      <c r="BG22" s="830"/>
      <c r="BH22" s="830"/>
      <c r="BI22" s="830"/>
      <c r="BJ22" s="830"/>
      <c r="BK22" s="830"/>
      <c r="BL22" s="830"/>
      <c r="BM22" s="830"/>
      <c r="BN22" s="830"/>
      <c r="BO22" s="830"/>
      <c r="BP22" s="830"/>
      <c r="BQ22" s="830"/>
      <c r="BR22" s="830"/>
      <c r="BS22" s="830"/>
      <c r="BT22" s="830"/>
      <c r="BU22" s="830"/>
      <c r="BV22" s="830"/>
      <c r="BW22" s="830"/>
      <c r="BX22" s="830"/>
      <c r="BY22" s="830"/>
      <c r="BZ22" s="830"/>
      <c r="CA22" s="830"/>
      <c r="CB22" s="830"/>
      <c r="CC22" s="830"/>
      <c r="CD22" s="830"/>
      <c r="CE22" s="830"/>
      <c r="CF22" s="830"/>
      <c r="CG22" s="830"/>
      <c r="CH22" s="830"/>
      <c r="CI22" s="830"/>
      <c r="CJ22" s="830"/>
      <c r="CK22" s="830"/>
      <c r="CL22" s="830"/>
      <c r="CM22" s="830"/>
      <c r="CN22" s="830"/>
      <c r="CO22" s="830"/>
      <c r="CP22" s="830"/>
      <c r="CQ22" s="830"/>
      <c r="CR22" s="830"/>
      <c r="CS22" s="830"/>
      <c r="CT22" s="830"/>
      <c r="CU22" s="830"/>
      <c r="CV22" s="830"/>
      <c r="CW22" s="830"/>
      <c r="CX22" s="830"/>
      <c r="CY22" s="829"/>
      <c r="CZ22" s="830"/>
      <c r="DA22" s="830"/>
      <c r="DB22" s="830"/>
      <c r="DC22" s="830"/>
      <c r="DD22" s="830"/>
      <c r="DE22" s="830"/>
      <c r="DF22" s="830"/>
      <c r="DG22" s="830"/>
      <c r="DH22" s="830"/>
      <c r="DI22" s="830"/>
      <c r="DJ22" s="830"/>
      <c r="DK22" s="830"/>
      <c r="DL22" s="830"/>
      <c r="DM22" s="830"/>
      <c r="DN22" s="830"/>
      <c r="DO22" s="830"/>
      <c r="DP22" s="830"/>
      <c r="DQ22" s="830"/>
      <c r="DR22" s="830"/>
      <c r="DS22" s="830"/>
      <c r="DT22" s="830"/>
      <c r="DU22" s="830"/>
      <c r="DV22" s="830"/>
      <c r="DW22" s="830"/>
      <c r="DX22" s="830"/>
      <c r="DY22" s="830"/>
      <c r="DZ22" s="830"/>
      <c r="EA22" s="830"/>
      <c r="EB22" s="830"/>
      <c r="EC22" s="830"/>
      <c r="ED22" s="830"/>
      <c r="EE22" s="830"/>
      <c r="EF22" s="830"/>
      <c r="EG22" s="830"/>
      <c r="EH22" s="830"/>
      <c r="EI22" s="830"/>
      <c r="EJ22" s="830"/>
      <c r="EK22" s="830"/>
      <c r="EL22" s="830"/>
      <c r="EM22" s="830"/>
      <c r="EN22" s="830"/>
      <c r="EO22" s="830"/>
      <c r="EP22" s="830"/>
      <c r="EQ22" s="830"/>
      <c r="ER22" s="830"/>
      <c r="ES22" s="830"/>
      <c r="ET22" s="830"/>
      <c r="EU22" s="830"/>
      <c r="EV22" s="830"/>
      <c r="EW22" s="830"/>
      <c r="EX22" s="830"/>
      <c r="EY22" s="830"/>
      <c r="EZ22" s="830"/>
      <c r="FA22" s="830"/>
      <c r="FB22" s="830"/>
      <c r="FC22" s="830"/>
      <c r="FD22" s="830"/>
      <c r="FE22" s="830"/>
      <c r="FF22" s="830"/>
      <c r="FG22" s="830"/>
      <c r="FH22" s="830"/>
      <c r="FI22" s="830"/>
      <c r="FJ22" s="830"/>
      <c r="FK22" s="830"/>
      <c r="FL22" s="830"/>
      <c r="FM22" s="830"/>
      <c r="FN22" s="830"/>
      <c r="FO22" s="830"/>
      <c r="FP22" s="830"/>
      <c r="FQ22" s="830"/>
      <c r="FR22" s="830"/>
      <c r="FS22" s="830"/>
      <c r="FT22" s="830"/>
      <c r="FU22" s="830"/>
      <c r="FV22" s="830"/>
      <c r="FW22" s="830"/>
      <c r="FX22" s="830"/>
      <c r="FY22" s="830"/>
      <c r="FZ22" s="830"/>
      <c r="GA22" s="830"/>
      <c r="GB22" s="830"/>
      <c r="GC22" s="830"/>
      <c r="GD22" s="830"/>
      <c r="GE22" s="830"/>
      <c r="GF22" s="830"/>
      <c r="GG22" s="830"/>
      <c r="GH22" s="830"/>
      <c r="GI22" s="830"/>
      <c r="GJ22" s="830"/>
      <c r="GK22" s="830"/>
      <c r="GL22" s="829"/>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469" t="s">
        <v>62</v>
      </c>
      <c r="C25" s="831" t="s">
        <v>63</v>
      </c>
      <c r="D25" s="832">
        <f t="shared" ref="D25:E27" si="3">I25</f>
        <v>22137472</v>
      </c>
      <c r="E25" s="832">
        <f t="shared" si="3"/>
        <v>23554205</v>
      </c>
      <c r="F25" s="833">
        <f>G25+H25</f>
        <v>57690323</v>
      </c>
      <c r="G25" s="833">
        <f>SUM(M25:CY25)</f>
        <v>28283074</v>
      </c>
      <c r="H25" s="834">
        <f>SUM(CZ25:GL25)</f>
        <v>29407249</v>
      </c>
      <c r="I25" s="834">
        <f>SUM(AE25:CY25)</f>
        <v>22137472</v>
      </c>
      <c r="J25" s="834">
        <f>SUM(DR25:GL25)</f>
        <v>23554205</v>
      </c>
      <c r="K25" s="835">
        <f>SUM(M25:AD25)</f>
        <v>6145602</v>
      </c>
      <c r="L25" s="832">
        <f>SUM(CZ25:DQ25)</f>
        <v>5853044</v>
      </c>
      <c r="M25" s="833">
        <v>293933</v>
      </c>
      <c r="N25" s="833">
        <v>312995</v>
      </c>
      <c r="O25" s="833">
        <v>311501</v>
      </c>
      <c r="P25" s="833">
        <v>322067</v>
      </c>
      <c r="Q25" s="833">
        <v>328129</v>
      </c>
      <c r="R25" s="833">
        <v>331735</v>
      </c>
      <c r="S25" s="833">
        <v>339328</v>
      </c>
      <c r="T25" s="833">
        <v>348942</v>
      </c>
      <c r="U25" s="833">
        <v>345591</v>
      </c>
      <c r="V25" s="833">
        <v>347329</v>
      </c>
      <c r="W25" s="833">
        <v>356650</v>
      </c>
      <c r="X25" s="833">
        <v>365469</v>
      </c>
      <c r="Y25" s="833">
        <v>366063</v>
      </c>
      <c r="Z25" s="833">
        <v>360895</v>
      </c>
      <c r="AA25" s="833">
        <v>358117</v>
      </c>
      <c r="AB25" s="833">
        <v>361691</v>
      </c>
      <c r="AC25" s="833">
        <v>349931</v>
      </c>
      <c r="AD25" s="833">
        <v>345236</v>
      </c>
      <c r="AE25" s="833">
        <v>346661</v>
      </c>
      <c r="AF25" s="833">
        <v>349313</v>
      </c>
      <c r="AG25" s="833">
        <v>347749</v>
      </c>
      <c r="AH25" s="833">
        <v>345536</v>
      </c>
      <c r="AI25" s="833">
        <v>345643</v>
      </c>
      <c r="AJ25" s="833">
        <v>355934</v>
      </c>
      <c r="AK25" s="833">
        <v>368759</v>
      </c>
      <c r="AL25" s="833">
        <v>370911</v>
      </c>
      <c r="AM25" s="833">
        <v>376733</v>
      </c>
      <c r="AN25" s="833">
        <v>370426</v>
      </c>
      <c r="AO25" s="833">
        <v>373327</v>
      </c>
      <c r="AP25" s="833">
        <v>380776</v>
      </c>
      <c r="AQ25" s="833">
        <v>380078</v>
      </c>
      <c r="AR25" s="833">
        <v>390686</v>
      </c>
      <c r="AS25" s="833">
        <v>395074</v>
      </c>
      <c r="AT25" s="833">
        <v>392740</v>
      </c>
      <c r="AU25" s="833">
        <v>389629</v>
      </c>
      <c r="AV25" s="833">
        <v>392507</v>
      </c>
      <c r="AW25" s="833">
        <v>383002</v>
      </c>
      <c r="AX25" s="833">
        <v>382093</v>
      </c>
      <c r="AY25" s="833">
        <v>380825</v>
      </c>
      <c r="AZ25" s="833">
        <v>368755</v>
      </c>
      <c r="BA25" s="833">
        <v>368886</v>
      </c>
      <c r="BB25" s="833">
        <v>368552</v>
      </c>
      <c r="BC25" s="833">
        <v>371001</v>
      </c>
      <c r="BD25" s="833">
        <v>373542</v>
      </c>
      <c r="BE25" s="833">
        <v>358913</v>
      </c>
      <c r="BF25" s="833">
        <v>335009</v>
      </c>
      <c r="BG25" s="833">
        <v>329186</v>
      </c>
      <c r="BH25" s="833">
        <v>336077</v>
      </c>
      <c r="BI25" s="833">
        <v>342724</v>
      </c>
      <c r="BJ25" s="833">
        <v>346555</v>
      </c>
      <c r="BK25" s="833">
        <v>359694</v>
      </c>
      <c r="BL25" s="833">
        <v>372431</v>
      </c>
      <c r="BM25" s="833">
        <v>383893</v>
      </c>
      <c r="BN25" s="833">
        <v>374199</v>
      </c>
      <c r="BO25" s="833">
        <v>382036</v>
      </c>
      <c r="BP25" s="833">
        <v>380548</v>
      </c>
      <c r="BQ25" s="833">
        <v>383158</v>
      </c>
      <c r="BR25" s="833">
        <v>379113</v>
      </c>
      <c r="BS25" s="833">
        <v>379303</v>
      </c>
      <c r="BT25" s="833">
        <v>373318</v>
      </c>
      <c r="BU25" s="833">
        <v>363989</v>
      </c>
      <c r="BV25" s="833">
        <v>354500</v>
      </c>
      <c r="BW25" s="833">
        <v>341604</v>
      </c>
      <c r="BX25" s="833">
        <v>326378</v>
      </c>
      <c r="BY25" s="833">
        <v>315915</v>
      </c>
      <c r="BZ25" s="833">
        <v>305908</v>
      </c>
      <c r="CA25" s="833">
        <v>290478</v>
      </c>
      <c r="CB25" s="833">
        <v>278154</v>
      </c>
      <c r="CC25" s="833">
        <v>264200</v>
      </c>
      <c r="CD25" s="833">
        <v>261871</v>
      </c>
      <c r="CE25" s="833">
        <v>255543</v>
      </c>
      <c r="CF25" s="833">
        <v>244170</v>
      </c>
      <c r="CG25" s="833">
        <v>243498</v>
      </c>
      <c r="CH25" s="833">
        <v>242922</v>
      </c>
      <c r="CI25" s="833">
        <v>246267</v>
      </c>
      <c r="CJ25" s="833">
        <v>255937</v>
      </c>
      <c r="CK25" s="833">
        <v>273876</v>
      </c>
      <c r="CL25" s="833">
        <v>203760</v>
      </c>
      <c r="CM25" s="833">
        <v>192397</v>
      </c>
      <c r="CN25" s="833">
        <v>186010</v>
      </c>
      <c r="CO25" s="833">
        <v>165062</v>
      </c>
      <c r="CP25" s="833">
        <v>140882</v>
      </c>
      <c r="CQ25" s="833">
        <v>119224</v>
      </c>
      <c r="CR25" s="833">
        <v>117844</v>
      </c>
      <c r="CS25" s="833">
        <v>110353</v>
      </c>
      <c r="CT25" s="833">
        <v>99978</v>
      </c>
      <c r="CU25" s="833">
        <v>87281</v>
      </c>
      <c r="CV25" s="833">
        <v>74936</v>
      </c>
      <c r="CW25" s="833">
        <v>63762</v>
      </c>
      <c r="CX25" s="833">
        <v>52022</v>
      </c>
      <c r="CY25" s="833">
        <v>173456</v>
      </c>
      <c r="CZ25" s="833">
        <v>279167</v>
      </c>
      <c r="DA25" s="833">
        <v>298988</v>
      </c>
      <c r="DB25" s="833">
        <v>297423</v>
      </c>
      <c r="DC25" s="833">
        <v>307905</v>
      </c>
      <c r="DD25" s="833">
        <v>312529</v>
      </c>
      <c r="DE25" s="833">
        <v>316813</v>
      </c>
      <c r="DF25" s="833">
        <v>324426</v>
      </c>
      <c r="DG25" s="833">
        <v>332617</v>
      </c>
      <c r="DH25" s="833">
        <v>330045</v>
      </c>
      <c r="DI25" s="833">
        <v>331941</v>
      </c>
      <c r="DJ25" s="833">
        <v>339519</v>
      </c>
      <c r="DK25" s="833">
        <v>348893</v>
      </c>
      <c r="DL25" s="833">
        <v>348165</v>
      </c>
      <c r="DM25" s="833">
        <v>343885</v>
      </c>
      <c r="DN25" s="833">
        <v>341284</v>
      </c>
      <c r="DO25" s="833">
        <v>344315</v>
      </c>
      <c r="DP25" s="833">
        <v>330622</v>
      </c>
      <c r="DQ25" s="833">
        <v>324507</v>
      </c>
      <c r="DR25" s="833">
        <v>324547</v>
      </c>
      <c r="DS25" s="833">
        <v>328240</v>
      </c>
      <c r="DT25" s="833">
        <v>325534</v>
      </c>
      <c r="DU25" s="833">
        <v>329081</v>
      </c>
      <c r="DV25" s="833">
        <v>331235</v>
      </c>
      <c r="DW25" s="833">
        <v>345013</v>
      </c>
      <c r="DX25" s="833">
        <v>361888</v>
      </c>
      <c r="DY25" s="833">
        <v>369890</v>
      </c>
      <c r="DZ25" s="833">
        <v>379188</v>
      </c>
      <c r="EA25" s="833">
        <v>375004</v>
      </c>
      <c r="EB25" s="833">
        <v>384557</v>
      </c>
      <c r="EC25" s="833">
        <v>397037</v>
      </c>
      <c r="ED25" s="833">
        <v>399178</v>
      </c>
      <c r="EE25" s="833">
        <v>412384</v>
      </c>
      <c r="EF25" s="833">
        <v>417512</v>
      </c>
      <c r="EG25" s="833">
        <v>419044</v>
      </c>
      <c r="EH25" s="833">
        <v>417098</v>
      </c>
      <c r="EI25" s="833">
        <v>422891</v>
      </c>
      <c r="EJ25" s="833">
        <v>413850</v>
      </c>
      <c r="EK25" s="833">
        <v>408208</v>
      </c>
      <c r="EL25" s="833">
        <v>405771</v>
      </c>
      <c r="EM25" s="833">
        <v>392998</v>
      </c>
      <c r="EN25" s="833">
        <v>392640</v>
      </c>
      <c r="EO25" s="833">
        <v>389013</v>
      </c>
      <c r="EP25" s="833">
        <v>392804</v>
      </c>
      <c r="EQ25" s="833">
        <v>392829</v>
      </c>
      <c r="ER25" s="833">
        <v>375222</v>
      </c>
      <c r="ES25" s="833">
        <v>347593</v>
      </c>
      <c r="ET25" s="833">
        <v>340244</v>
      </c>
      <c r="EU25" s="833">
        <v>346591</v>
      </c>
      <c r="EV25" s="833">
        <v>353283</v>
      </c>
      <c r="EW25" s="833">
        <v>357012</v>
      </c>
      <c r="EX25" s="833">
        <v>369968</v>
      </c>
      <c r="EY25" s="833">
        <v>383711</v>
      </c>
      <c r="EZ25" s="833">
        <v>398952</v>
      </c>
      <c r="FA25" s="833">
        <v>388155</v>
      </c>
      <c r="FB25" s="833">
        <v>395977</v>
      </c>
      <c r="FC25" s="833">
        <v>394307</v>
      </c>
      <c r="FD25" s="833">
        <v>395319</v>
      </c>
      <c r="FE25" s="833">
        <v>395085</v>
      </c>
      <c r="FF25" s="833">
        <v>394913</v>
      </c>
      <c r="FG25" s="833">
        <v>388786</v>
      </c>
      <c r="FH25" s="833">
        <v>378799</v>
      </c>
      <c r="FI25" s="833">
        <v>369231</v>
      </c>
      <c r="FJ25" s="833">
        <v>353273</v>
      </c>
      <c r="FK25" s="833">
        <v>338179</v>
      </c>
      <c r="FL25" s="833">
        <v>328875</v>
      </c>
      <c r="FM25" s="833">
        <v>318729</v>
      </c>
      <c r="FN25" s="833">
        <v>305975</v>
      </c>
      <c r="FO25" s="833">
        <v>293096</v>
      </c>
      <c r="FP25" s="833">
        <v>282116</v>
      </c>
      <c r="FQ25" s="833">
        <v>282344</v>
      </c>
      <c r="FR25" s="833">
        <v>275725</v>
      </c>
      <c r="FS25" s="833">
        <v>267981</v>
      </c>
      <c r="FT25" s="833">
        <v>267569</v>
      </c>
      <c r="FU25" s="833">
        <v>271143</v>
      </c>
      <c r="FV25" s="833">
        <v>275176</v>
      </c>
      <c r="FW25" s="833">
        <v>289150</v>
      </c>
      <c r="FX25" s="833">
        <v>309463</v>
      </c>
      <c r="FY25" s="833">
        <v>234189</v>
      </c>
      <c r="FZ25" s="833">
        <v>223653</v>
      </c>
      <c r="GA25" s="833">
        <v>218690</v>
      </c>
      <c r="GB25" s="833">
        <v>198932</v>
      </c>
      <c r="GC25" s="833">
        <v>173919</v>
      </c>
      <c r="GD25" s="833">
        <v>151373</v>
      </c>
      <c r="GE25" s="833">
        <v>152822</v>
      </c>
      <c r="GF25" s="833">
        <v>146074</v>
      </c>
      <c r="GG25" s="833">
        <v>135895</v>
      </c>
      <c r="GH25" s="833">
        <v>122383</v>
      </c>
      <c r="GI25" s="833">
        <v>109600</v>
      </c>
      <c r="GJ25" s="833">
        <v>96854</v>
      </c>
      <c r="GK25" s="833">
        <v>82610</v>
      </c>
      <c r="GL25" s="833">
        <v>347835</v>
      </c>
    </row>
    <row r="26" spans="1:194" s="8" customFormat="1" x14ac:dyDescent="0.25">
      <c r="A26" s="31" t="s">
        <v>21</v>
      </c>
      <c r="B26" s="470"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471"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472"/>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48</v>
      </c>
      <c r="B29" s="473" t="s">
        <v>68</v>
      </c>
      <c r="C29" s="68" t="str">
        <f t="shared" ref="C29:C43" si="4">CONCATENATE(A29," - ",B29)</f>
        <v>England – PCNs - 3 CENTRES PCN</v>
      </c>
      <c r="D29" s="836">
        <f>I29</f>
        <v>14772</v>
      </c>
      <c r="E29" s="836">
        <f>J29</f>
        <v>15689</v>
      </c>
      <c r="F29" s="837">
        <f>G29+H29</f>
        <v>39727</v>
      </c>
      <c r="G29" s="837">
        <f>SUM(M29:CY29)</f>
        <v>19549</v>
      </c>
      <c r="H29" s="838">
        <f>SUM(CZ29:GL29)</f>
        <v>20178</v>
      </c>
      <c r="I29" s="838">
        <f>SUM(AE29:CY29)</f>
        <v>14772</v>
      </c>
      <c r="J29" s="838">
        <f>SUM(DR29:GL29)</f>
        <v>15689</v>
      </c>
      <c r="K29" s="839">
        <f>SUM(M29:AD29)</f>
        <v>4777</v>
      </c>
      <c r="L29" s="836">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48</v>
      </c>
      <c r="B30" s="473"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48</v>
      </c>
      <c r="B31" s="473"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48</v>
      </c>
      <c r="B32" s="473"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48</v>
      </c>
      <c r="B33" s="473"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48</v>
      </c>
      <c r="B34" s="473"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48</v>
      </c>
      <c r="B35" s="473"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48</v>
      </c>
      <c r="B36" s="473"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48</v>
      </c>
      <c r="B37" s="473"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48</v>
      </c>
      <c r="B38" s="473"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48</v>
      </c>
      <c r="B39" s="473"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48</v>
      </c>
      <c r="B40" s="473"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48</v>
      </c>
      <c r="B41" s="473"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48</v>
      </c>
      <c r="B42" s="473"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48</v>
      </c>
      <c r="B43" s="473"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48</v>
      </c>
      <c r="B44" s="473"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48</v>
      </c>
      <c r="B45" s="473"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48</v>
      </c>
      <c r="B46" s="473"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48</v>
      </c>
      <c r="B47" s="473"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48</v>
      </c>
      <c r="B48" s="473"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48</v>
      </c>
      <c r="B49" s="473"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48</v>
      </c>
      <c r="B50" s="473"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48</v>
      </c>
      <c r="B51" s="473"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48</v>
      </c>
      <c r="B52" s="473"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48</v>
      </c>
      <c r="B53" s="473"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48</v>
      </c>
      <c r="B54" s="473"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48</v>
      </c>
      <c r="B55" s="473"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48</v>
      </c>
      <c r="B56" s="473"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48</v>
      </c>
      <c r="B57" s="473"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48</v>
      </c>
      <c r="B58" s="473"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48</v>
      </c>
      <c r="B59" s="473"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48</v>
      </c>
      <c r="B60" s="473"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48</v>
      </c>
      <c r="B61" s="473"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48</v>
      </c>
      <c r="B62" s="473"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48</v>
      </c>
      <c r="B63" s="473"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48</v>
      </c>
      <c r="B64" s="473"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48</v>
      </c>
      <c r="B65" s="473"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48</v>
      </c>
      <c r="B66" s="473"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48</v>
      </c>
      <c r="B67" s="473"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48</v>
      </c>
      <c r="B68" s="473"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48</v>
      </c>
      <c r="B69" s="473"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48</v>
      </c>
      <c r="B70" s="473"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48</v>
      </c>
      <c r="B71" s="473"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48</v>
      </c>
      <c r="B72" s="473"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48</v>
      </c>
      <c r="B73" s="473"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48</v>
      </c>
      <c r="B74" s="473"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48</v>
      </c>
      <c r="B75" s="473"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48</v>
      </c>
      <c r="B76" s="473"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48</v>
      </c>
      <c r="B77" s="473"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48</v>
      </c>
      <c r="B78" s="473"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48</v>
      </c>
      <c r="B79" s="473"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48</v>
      </c>
      <c r="B80" s="473"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48</v>
      </c>
      <c r="B81" s="473"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48</v>
      </c>
      <c r="B82" s="473"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48</v>
      </c>
      <c r="B83" s="473"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48</v>
      </c>
      <c r="B84" s="473"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48</v>
      </c>
      <c r="B85" s="473"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48</v>
      </c>
      <c r="B86" s="473"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48</v>
      </c>
      <c r="B87" s="473"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48</v>
      </c>
      <c r="B88" s="473"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48</v>
      </c>
      <c r="B89" s="473"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48</v>
      </c>
      <c r="B90" s="473"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48</v>
      </c>
      <c r="B91" s="473"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48</v>
      </c>
      <c r="B92" s="473"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48</v>
      </c>
      <c r="B93" s="473"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48</v>
      </c>
      <c r="B94" s="473"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48</v>
      </c>
      <c r="B95" s="473"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48</v>
      </c>
      <c r="B96" s="473"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48</v>
      </c>
      <c r="B97" s="473"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48</v>
      </c>
      <c r="B98" s="473"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48</v>
      </c>
      <c r="B99" s="473"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48</v>
      </c>
      <c r="B100" s="473"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48</v>
      </c>
      <c r="B101" s="473"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48</v>
      </c>
      <c r="B102" s="473"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48</v>
      </c>
      <c r="B103" s="473"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48</v>
      </c>
      <c r="B104" s="473"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48</v>
      </c>
      <c r="B105" s="473"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48</v>
      </c>
      <c r="B106" s="473"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48</v>
      </c>
      <c r="B107" s="473"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48</v>
      </c>
      <c r="B108" s="473"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48</v>
      </c>
      <c r="B109" s="473"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48</v>
      </c>
      <c r="B110" s="473"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48</v>
      </c>
      <c r="B111" s="473"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48</v>
      </c>
      <c r="B112" s="473"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48</v>
      </c>
      <c r="B113" s="473"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48</v>
      </c>
      <c r="B114" s="473"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48</v>
      </c>
      <c r="B115" s="473"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48</v>
      </c>
      <c r="B116" s="473"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48</v>
      </c>
      <c r="B117" s="473"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48</v>
      </c>
      <c r="B118" s="473"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48</v>
      </c>
      <c r="B119" s="473"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48</v>
      </c>
      <c r="B120" s="473"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48</v>
      </c>
      <c r="B121" s="473"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48</v>
      </c>
      <c r="B122" s="473"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48</v>
      </c>
      <c r="B123" s="473"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48</v>
      </c>
      <c r="B124" s="473"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48</v>
      </c>
      <c r="B125" s="473"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48</v>
      </c>
      <c r="B126" s="473"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48</v>
      </c>
      <c r="B127" s="473"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48</v>
      </c>
      <c r="B128" s="473"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48</v>
      </c>
      <c r="B129" s="473"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48</v>
      </c>
      <c r="B130" s="473"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48</v>
      </c>
      <c r="B131" s="473"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48</v>
      </c>
      <c r="B132" s="473"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48</v>
      </c>
      <c r="B133" s="473"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48</v>
      </c>
      <c r="B134" s="473"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48</v>
      </c>
      <c r="B135" s="473"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48</v>
      </c>
      <c r="B136" s="473"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48</v>
      </c>
      <c r="B137" s="473"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48</v>
      </c>
      <c r="B138" s="473"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48</v>
      </c>
      <c r="B139" s="473"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48</v>
      </c>
      <c r="B140" s="473"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48</v>
      </c>
      <c r="B141" s="473"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48</v>
      </c>
      <c r="B142" s="473"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48</v>
      </c>
      <c r="B143" s="473"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48</v>
      </c>
      <c r="B144" s="473"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48</v>
      </c>
      <c r="B145" s="473"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48</v>
      </c>
      <c r="B146" s="473"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48</v>
      </c>
      <c r="B147" s="473"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48</v>
      </c>
      <c r="B148" s="473"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48</v>
      </c>
      <c r="B149" s="473"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48</v>
      </c>
      <c r="B150" s="473"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48</v>
      </c>
      <c r="B151" s="473"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48</v>
      </c>
      <c r="B152" s="473"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48</v>
      </c>
      <c r="B153" s="473"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48</v>
      </c>
      <c r="B154" s="473"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48</v>
      </c>
      <c r="B155" s="473"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48</v>
      </c>
      <c r="B156" s="473"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48</v>
      </c>
      <c r="B157" s="473"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48</v>
      </c>
      <c r="B158" s="473"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48</v>
      </c>
      <c r="B159" s="473"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48</v>
      </c>
      <c r="B160" s="473"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48</v>
      </c>
      <c r="B161" s="473"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48</v>
      </c>
      <c r="B162" s="473"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48</v>
      </c>
      <c r="B163" s="473"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48</v>
      </c>
      <c r="B164" s="473"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48</v>
      </c>
      <c r="B165" s="473"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48</v>
      </c>
      <c r="B166" s="473"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48</v>
      </c>
      <c r="B167" s="473"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48</v>
      </c>
      <c r="B168" s="473"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48</v>
      </c>
      <c r="B169" s="473"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48</v>
      </c>
      <c r="B170" s="473"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48</v>
      </c>
      <c r="B171" s="473"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48</v>
      </c>
      <c r="B172" s="473"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48</v>
      </c>
      <c r="B173" s="473"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48</v>
      </c>
      <c r="B174" s="473"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48</v>
      </c>
      <c r="B175" s="473"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48</v>
      </c>
      <c r="B176" s="473"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48</v>
      </c>
      <c r="B177" s="473"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48</v>
      </c>
      <c r="B178" s="473"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48</v>
      </c>
      <c r="B179" s="473"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48</v>
      </c>
      <c r="B180" s="473"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48</v>
      </c>
      <c r="B181" s="473"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48</v>
      </c>
      <c r="B182" s="473"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48</v>
      </c>
      <c r="B183" s="473"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48</v>
      </c>
      <c r="B184" s="473"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48</v>
      </c>
      <c r="B185" s="473"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48</v>
      </c>
      <c r="B186" s="473"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48</v>
      </c>
      <c r="B187" s="473"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48</v>
      </c>
      <c r="B188" s="473"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48</v>
      </c>
      <c r="B189" s="473"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48</v>
      </c>
      <c r="B190" s="473"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48</v>
      </c>
      <c r="B191" s="473"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48</v>
      </c>
      <c r="B192" s="473"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48</v>
      </c>
      <c r="B193" s="473"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48</v>
      </c>
      <c r="B194" s="473"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48</v>
      </c>
      <c r="B195" s="473"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48</v>
      </c>
      <c r="B196" s="473"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48</v>
      </c>
      <c r="B197" s="473"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48</v>
      </c>
      <c r="B198" s="473"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48</v>
      </c>
      <c r="B199" s="473"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48</v>
      </c>
      <c r="B200" s="473"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48</v>
      </c>
      <c r="B201" s="473"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48</v>
      </c>
      <c r="B202" s="473"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48</v>
      </c>
      <c r="B203" s="473"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48</v>
      </c>
      <c r="B204" s="473"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48</v>
      </c>
      <c r="B205" s="473"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48</v>
      </c>
      <c r="B206" s="473"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48</v>
      </c>
      <c r="B207" s="473"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48</v>
      </c>
      <c r="B208" s="473"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48</v>
      </c>
      <c r="B209" s="473"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48</v>
      </c>
      <c r="B210" s="473"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48</v>
      </c>
      <c r="B211" s="473"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48</v>
      </c>
      <c r="B212" s="473"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48</v>
      </c>
      <c r="B213" s="473"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48</v>
      </c>
      <c r="B214" s="473"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48</v>
      </c>
      <c r="B215" s="473"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48</v>
      </c>
      <c r="B216" s="473"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48</v>
      </c>
      <c r="B217" s="473"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48</v>
      </c>
      <c r="B218" s="473"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48</v>
      </c>
      <c r="B219" s="473"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48</v>
      </c>
      <c r="B220" s="473"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48</v>
      </c>
      <c r="B221" s="473"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48</v>
      </c>
      <c r="B222" s="473"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48</v>
      </c>
      <c r="B223" s="473"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48</v>
      </c>
      <c r="B224" s="473"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48</v>
      </c>
      <c r="B225" s="473"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48</v>
      </c>
      <c r="B226" s="473"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48</v>
      </c>
      <c r="B227" s="473"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48</v>
      </c>
      <c r="B228" s="473"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48</v>
      </c>
      <c r="B229" s="473"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48</v>
      </c>
      <c r="B230" s="473"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48</v>
      </c>
      <c r="B231" s="473"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48</v>
      </c>
      <c r="B232" s="473"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48</v>
      </c>
      <c r="B233" s="473"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48</v>
      </c>
      <c r="B234" s="473"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48</v>
      </c>
      <c r="B235" s="473"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48</v>
      </c>
      <c r="B236" s="473"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48</v>
      </c>
      <c r="B237" s="473"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48</v>
      </c>
      <c r="B238" s="473"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48</v>
      </c>
      <c r="B239" s="473"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48</v>
      </c>
      <c r="B240" s="473"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48</v>
      </c>
      <c r="B241" s="473"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48</v>
      </c>
      <c r="B242" s="473"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48</v>
      </c>
      <c r="B243" s="473"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48</v>
      </c>
      <c r="B244" s="473"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48</v>
      </c>
      <c r="B245" s="473"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48</v>
      </c>
      <c r="B246" s="473"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48</v>
      </c>
      <c r="B247" s="473"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48</v>
      </c>
      <c r="B248" s="473"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48</v>
      </c>
      <c r="B249" s="473"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48</v>
      </c>
      <c r="B250" s="473"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48</v>
      </c>
      <c r="B251" s="473"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48</v>
      </c>
      <c r="B252" s="473"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48</v>
      </c>
      <c r="B253" s="473"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48</v>
      </c>
      <c r="B254" s="473"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48</v>
      </c>
      <c r="B255" s="473"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48</v>
      </c>
      <c r="B256" s="473"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48</v>
      </c>
      <c r="B257" s="473"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48</v>
      </c>
      <c r="B258" s="473"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48</v>
      </c>
      <c r="B259" s="473"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48</v>
      </c>
      <c r="B260" s="473"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48</v>
      </c>
      <c r="B261" s="473"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48</v>
      </c>
      <c r="B262" s="473"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48</v>
      </c>
      <c r="B263" s="473"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48</v>
      </c>
      <c r="B264" s="473"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48</v>
      </c>
      <c r="B265" s="473"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48</v>
      </c>
      <c r="B266" s="473"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48</v>
      </c>
      <c r="B267" s="473"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48</v>
      </c>
      <c r="B268" s="473"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48</v>
      </c>
      <c r="B269" s="473"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48</v>
      </c>
      <c r="B270" s="473"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48</v>
      </c>
      <c r="B271" s="473"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48</v>
      </c>
      <c r="B272" s="473"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48</v>
      </c>
      <c r="B273" s="473"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48</v>
      </c>
      <c r="B274" s="473"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48</v>
      </c>
      <c r="B275" s="473"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48</v>
      </c>
      <c r="B276" s="473"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48</v>
      </c>
      <c r="B277" s="473"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48</v>
      </c>
      <c r="B278" s="473"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48</v>
      </c>
      <c r="B279" s="473"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48</v>
      </c>
      <c r="B280" s="473"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48</v>
      </c>
      <c r="B281" s="473"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48</v>
      </c>
      <c r="B282" s="473"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48</v>
      </c>
      <c r="B283" s="473"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48</v>
      </c>
      <c r="B284" s="473"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48</v>
      </c>
      <c r="B285" s="473"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48</v>
      </c>
      <c r="B286" s="473"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48</v>
      </c>
      <c r="B287" s="473"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48</v>
      </c>
      <c r="B288" s="473"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48</v>
      </c>
      <c r="B289" s="473"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48</v>
      </c>
      <c r="B290" s="473"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48</v>
      </c>
      <c r="B291" s="473"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48</v>
      </c>
      <c r="B292" s="473"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48</v>
      </c>
      <c r="B293" s="473"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48</v>
      </c>
      <c r="B294" s="473"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48</v>
      </c>
      <c r="B295" s="473"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48</v>
      </c>
      <c r="B296" s="473"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48</v>
      </c>
      <c r="B297" s="473"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48</v>
      </c>
      <c r="B298" s="473"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48</v>
      </c>
      <c r="B299" s="473"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48</v>
      </c>
      <c r="B300" s="473"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48</v>
      </c>
      <c r="B301" s="473"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48</v>
      </c>
      <c r="B302" s="473"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48</v>
      </c>
      <c r="B303" s="473"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48</v>
      </c>
      <c r="B304" s="473"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48</v>
      </c>
      <c r="B305" s="473"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48</v>
      </c>
      <c r="B306" s="473"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48</v>
      </c>
      <c r="B307" s="473"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48</v>
      </c>
      <c r="B308" s="473"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48</v>
      </c>
      <c r="B309" s="473"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48</v>
      </c>
      <c r="B310" s="473"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48</v>
      </c>
      <c r="B311" s="473"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48</v>
      </c>
      <c r="B312" s="473"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48</v>
      </c>
      <c r="B313" s="473"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48</v>
      </c>
      <c r="B314" s="473"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48</v>
      </c>
      <c r="B315" s="473"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48</v>
      </c>
      <c r="B316" s="473"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48</v>
      </c>
      <c r="B317" s="473"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48</v>
      </c>
      <c r="B318" s="473"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48</v>
      </c>
      <c r="B319" s="473"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48</v>
      </c>
      <c r="B320" s="473"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48</v>
      </c>
      <c r="B321" s="473"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48</v>
      </c>
      <c r="B322" s="473"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48</v>
      </c>
      <c r="B323" s="473"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48</v>
      </c>
      <c r="B324" s="473"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48</v>
      </c>
      <c r="B325" s="473"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48</v>
      </c>
      <c r="B326" s="473"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48</v>
      </c>
      <c r="B327" s="473"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48</v>
      </c>
      <c r="B328" s="473"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48</v>
      </c>
      <c r="B329" s="473"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48</v>
      </c>
      <c r="B330" s="473"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48</v>
      </c>
      <c r="B331" s="473"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48</v>
      </c>
      <c r="B332" s="473"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48</v>
      </c>
      <c r="B333" s="473"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48</v>
      </c>
      <c r="B334" s="473"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48</v>
      </c>
      <c r="B335" s="473"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48</v>
      </c>
      <c r="B336" s="473"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48</v>
      </c>
      <c r="B337" s="473"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48</v>
      </c>
      <c r="B338" s="473"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48</v>
      </c>
      <c r="B339" s="473"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48</v>
      </c>
      <c r="B340" s="473"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48</v>
      </c>
      <c r="B341" s="473"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48</v>
      </c>
      <c r="B342" s="473"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48</v>
      </c>
      <c r="B343" s="473"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48</v>
      </c>
      <c r="B344" s="473"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48</v>
      </c>
      <c r="B345" s="473"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48</v>
      </c>
      <c r="B346" s="473"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48</v>
      </c>
      <c r="B347" s="473"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48</v>
      </c>
      <c r="B348" s="473"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48</v>
      </c>
      <c r="B349" s="473"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48</v>
      </c>
      <c r="B350" s="473"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48</v>
      </c>
      <c r="B351" s="473"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48</v>
      </c>
      <c r="B352" s="473"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48</v>
      </c>
      <c r="B353" s="473"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48</v>
      </c>
      <c r="B354" s="473"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48</v>
      </c>
      <c r="B355" s="473"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48</v>
      </c>
      <c r="B356" s="473"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48</v>
      </c>
      <c r="B357" s="473"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48</v>
      </c>
      <c r="B358" s="473"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48</v>
      </c>
      <c r="B359" s="473"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48</v>
      </c>
      <c r="B360" s="473"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48</v>
      </c>
      <c r="B361" s="473"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48</v>
      </c>
      <c r="B362" s="473"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48</v>
      </c>
      <c r="B363" s="473"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48</v>
      </c>
      <c r="B364" s="473"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48</v>
      </c>
      <c r="B365" s="473"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48</v>
      </c>
      <c r="B366" s="473"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48</v>
      </c>
      <c r="B367" s="473"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48</v>
      </c>
      <c r="B368" s="473"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48</v>
      </c>
      <c r="B369" s="473"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48</v>
      </c>
      <c r="B370" s="473"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48</v>
      </c>
      <c r="B371" s="473"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48</v>
      </c>
      <c r="B372" s="473"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48</v>
      </c>
      <c r="B373" s="473"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48</v>
      </c>
      <c r="B374" s="473"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48</v>
      </c>
      <c r="B375" s="473"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48</v>
      </c>
      <c r="B376" s="473"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48</v>
      </c>
      <c r="B377" s="473"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48</v>
      </c>
      <c r="B378" s="473"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48</v>
      </c>
      <c r="B379" s="473"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48</v>
      </c>
      <c r="B380" s="473"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48</v>
      </c>
      <c r="B381" s="473"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48</v>
      </c>
      <c r="B382" s="473"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48</v>
      </c>
      <c r="B383" s="473"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48</v>
      </c>
      <c r="B384" s="473"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48</v>
      </c>
      <c r="B385" s="473"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48</v>
      </c>
      <c r="B386" s="473"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48</v>
      </c>
      <c r="B387" s="473"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48</v>
      </c>
      <c r="B388" s="473"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48</v>
      </c>
      <c r="B389" s="473"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48</v>
      </c>
      <c r="B390" s="473"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48</v>
      </c>
      <c r="B391" s="473"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48</v>
      </c>
      <c r="B392" s="473"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48</v>
      </c>
      <c r="B393" s="473"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48</v>
      </c>
      <c r="B394" s="473"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48</v>
      </c>
      <c r="B395" s="473"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48</v>
      </c>
      <c r="B396" s="473"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48</v>
      </c>
      <c r="B397" s="473"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48</v>
      </c>
      <c r="B398" s="473"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48</v>
      </c>
      <c r="B399" s="473"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48</v>
      </c>
      <c r="B400" s="473"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48</v>
      </c>
      <c r="B401" s="473"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48</v>
      </c>
      <c r="B402" s="473"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48</v>
      </c>
      <c r="B403" s="473"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48</v>
      </c>
      <c r="B404" s="473"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48</v>
      </c>
      <c r="B405" s="473"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48</v>
      </c>
      <c r="B406" s="473"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48</v>
      </c>
      <c r="B407" s="473"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48</v>
      </c>
      <c r="B408" s="473"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48</v>
      </c>
      <c r="B409" s="473"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48</v>
      </c>
      <c r="B410" s="473"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48</v>
      </c>
      <c r="B411" s="473"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48</v>
      </c>
      <c r="B412" s="473"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48</v>
      </c>
      <c r="B413" s="473"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48</v>
      </c>
      <c r="B414" s="473"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48</v>
      </c>
      <c r="B415" s="473"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48</v>
      </c>
      <c r="B416" s="473"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48</v>
      </c>
      <c r="B417" s="473"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48</v>
      </c>
      <c r="B418" s="473"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48</v>
      </c>
      <c r="B419" s="473"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48</v>
      </c>
      <c r="B420" s="473"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48</v>
      </c>
      <c r="B421" s="473"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48</v>
      </c>
      <c r="B422" s="473"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48</v>
      </c>
      <c r="B423" s="473"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48</v>
      </c>
      <c r="B424" s="473"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48</v>
      </c>
      <c r="B425" s="473"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48</v>
      </c>
      <c r="B426" s="473"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48</v>
      </c>
      <c r="B427" s="473"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48</v>
      </c>
      <c r="B428" s="473"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48</v>
      </c>
      <c r="B429" s="473"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48</v>
      </c>
      <c r="B430" s="473"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48</v>
      </c>
      <c r="B431" s="473"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48</v>
      </c>
      <c r="B432" s="473"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48</v>
      </c>
      <c r="B433" s="473"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48</v>
      </c>
      <c r="B434" s="473"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48</v>
      </c>
      <c r="B435" s="473"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48</v>
      </c>
      <c r="B436" s="473"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48</v>
      </c>
      <c r="B437" s="473"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48</v>
      </c>
      <c r="B438" s="473"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48</v>
      </c>
      <c r="B439" s="473"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48</v>
      </c>
      <c r="B440" s="473"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48</v>
      </c>
      <c r="B441" s="473"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48</v>
      </c>
      <c r="B442" s="473"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48</v>
      </c>
      <c r="B443" s="473"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48</v>
      </c>
      <c r="B444" s="473"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48</v>
      </c>
      <c r="B445" s="473"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48</v>
      </c>
      <c r="B446" s="473"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48</v>
      </c>
      <c r="B447" s="473"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48</v>
      </c>
      <c r="B448" s="473"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48</v>
      </c>
      <c r="B449" s="473"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48</v>
      </c>
      <c r="B450" s="473"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48</v>
      </c>
      <c r="B451" s="473"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48</v>
      </c>
      <c r="B452" s="473"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48</v>
      </c>
      <c r="B453" s="473"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48</v>
      </c>
      <c r="B454" s="473"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48</v>
      </c>
      <c r="B455" s="473"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48</v>
      </c>
      <c r="B456" s="473"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48</v>
      </c>
      <c r="B457" s="473"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48</v>
      </c>
      <c r="B458" s="473"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48</v>
      </c>
      <c r="B459" s="473"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48</v>
      </c>
      <c r="B460" s="473"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48</v>
      </c>
      <c r="B461" s="473"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48</v>
      </c>
      <c r="B462" s="473"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48</v>
      </c>
      <c r="B463" s="473"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48</v>
      </c>
      <c r="B464" s="473"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48</v>
      </c>
      <c r="B465" s="473"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48</v>
      </c>
      <c r="B466" s="473"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48</v>
      </c>
      <c r="B467" s="473"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48</v>
      </c>
      <c r="B468" s="473"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48</v>
      </c>
      <c r="B469" s="473"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48</v>
      </c>
      <c r="B470" s="473"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48</v>
      </c>
      <c r="B471" s="473"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48</v>
      </c>
      <c r="B472" s="473"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48</v>
      </c>
      <c r="B473" s="473"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48</v>
      </c>
      <c r="B474" s="473"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48</v>
      </c>
      <c r="B475" s="473"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48</v>
      </c>
      <c r="B476" s="473"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48</v>
      </c>
      <c r="B477" s="473"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48</v>
      </c>
      <c r="B478" s="473"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48</v>
      </c>
      <c r="B479" s="473"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48</v>
      </c>
      <c r="B480" s="473"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48</v>
      </c>
      <c r="B481" s="473"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48</v>
      </c>
      <c r="B482" s="473"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48</v>
      </c>
      <c r="B483" s="473"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48</v>
      </c>
      <c r="B484" s="473"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48</v>
      </c>
      <c r="B485" s="473"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48</v>
      </c>
      <c r="B486" s="473"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48</v>
      </c>
      <c r="B487" s="473"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48</v>
      </c>
      <c r="B488" s="473"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48</v>
      </c>
      <c r="B489" s="473"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48</v>
      </c>
      <c r="B490" s="473"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48</v>
      </c>
      <c r="B491" s="473"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48</v>
      </c>
      <c r="B492" s="473"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48</v>
      </c>
      <c r="B493" s="473"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48</v>
      </c>
      <c r="B494" s="473"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48</v>
      </c>
      <c r="B495" s="473"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48</v>
      </c>
      <c r="B496" s="473"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48</v>
      </c>
      <c r="B497" s="473"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48</v>
      </c>
      <c r="B498" s="473"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48</v>
      </c>
      <c r="B499" s="473"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48</v>
      </c>
      <c r="B500" s="473"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48</v>
      </c>
      <c r="B501" s="473"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48</v>
      </c>
      <c r="B502" s="473"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48</v>
      </c>
      <c r="B503" s="473"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48</v>
      </c>
      <c r="B504" s="473"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48</v>
      </c>
      <c r="B505" s="473"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48</v>
      </c>
      <c r="B506" s="473"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48</v>
      </c>
      <c r="B507" s="473"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48</v>
      </c>
      <c r="B508" s="473"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48</v>
      </c>
      <c r="B509" s="473"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48</v>
      </c>
      <c r="B510" s="473"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48</v>
      </c>
      <c r="B511" s="473"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48</v>
      </c>
      <c r="B512" s="473"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48</v>
      </c>
      <c r="B513" s="473"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48</v>
      </c>
      <c r="B514" s="473"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48</v>
      </c>
      <c r="B515" s="473"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48</v>
      </c>
      <c r="B516" s="473"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48</v>
      </c>
      <c r="B517" s="473"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48</v>
      </c>
      <c r="B518" s="473"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48</v>
      </c>
      <c r="B519" s="473"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48</v>
      </c>
      <c r="B520" s="473"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48</v>
      </c>
      <c r="B521" s="473"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48</v>
      </c>
      <c r="B522" s="473"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48</v>
      </c>
      <c r="B523" s="473"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48</v>
      </c>
      <c r="B524" s="473"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48</v>
      </c>
      <c r="B525" s="473"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48</v>
      </c>
      <c r="B526" s="473"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48</v>
      </c>
      <c r="B527" s="473"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48</v>
      </c>
      <c r="B528" s="473"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48</v>
      </c>
      <c r="B529" s="473"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48</v>
      </c>
      <c r="B530" s="473"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48</v>
      </c>
      <c r="B531" s="473"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48</v>
      </c>
      <c r="B532" s="473"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48</v>
      </c>
      <c r="B533" s="473"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48</v>
      </c>
      <c r="B534" s="473"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48</v>
      </c>
      <c r="B535" s="473"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48</v>
      </c>
      <c r="B536" s="473"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48</v>
      </c>
      <c r="B537" s="473"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48</v>
      </c>
      <c r="B538" s="473"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48</v>
      </c>
      <c r="B539" s="473"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48</v>
      </c>
      <c r="B540" s="473"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48</v>
      </c>
      <c r="B541" s="473"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48</v>
      </c>
      <c r="B542" s="473"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48</v>
      </c>
      <c r="B543" s="473"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48</v>
      </c>
      <c r="B544" s="473"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48</v>
      </c>
      <c r="B545" s="473"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48</v>
      </c>
      <c r="B546" s="473"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48</v>
      </c>
      <c r="B547" s="473"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48</v>
      </c>
      <c r="B548" s="473"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48</v>
      </c>
      <c r="B549" s="473"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48</v>
      </c>
      <c r="B550" s="473"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48</v>
      </c>
      <c r="B551" s="473"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48</v>
      </c>
      <c r="B552" s="473"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48</v>
      </c>
      <c r="B553" s="473"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48</v>
      </c>
      <c r="B554" s="473"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48</v>
      </c>
      <c r="B555" s="473"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48</v>
      </c>
      <c r="B556" s="473"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48</v>
      </c>
      <c r="B557" s="473"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48</v>
      </c>
      <c r="B558" s="473"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48</v>
      </c>
      <c r="B559" s="473"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48</v>
      </c>
      <c r="B560" s="473"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48</v>
      </c>
      <c r="B561" s="473"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48</v>
      </c>
      <c r="B562" s="473"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48</v>
      </c>
      <c r="B563" s="473"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48</v>
      </c>
      <c r="B564" s="473"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48</v>
      </c>
      <c r="B565" s="473"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48</v>
      </c>
      <c r="B566" s="473"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48</v>
      </c>
      <c r="B567" s="473"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48</v>
      </c>
      <c r="B568" s="473"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48</v>
      </c>
      <c r="B569" s="473"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48</v>
      </c>
      <c r="B570" s="473"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48</v>
      </c>
      <c r="B571" s="473"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48</v>
      </c>
      <c r="B572" s="473"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48</v>
      </c>
      <c r="B573" s="473"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48</v>
      </c>
      <c r="B574" s="473"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48</v>
      </c>
      <c r="B575" s="473"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48</v>
      </c>
      <c r="B576" s="473"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48</v>
      </c>
      <c r="B577" s="473"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48</v>
      </c>
      <c r="B578" s="473"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48</v>
      </c>
      <c r="B579" s="473"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48</v>
      </c>
      <c r="B580" s="473"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48</v>
      </c>
      <c r="B581" s="473"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48</v>
      </c>
      <c r="B582" s="473"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48</v>
      </c>
      <c r="B583" s="473"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48</v>
      </c>
      <c r="B584" s="473"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48</v>
      </c>
      <c r="B585" s="473"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48</v>
      </c>
      <c r="B586" s="473"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48</v>
      </c>
      <c r="B587" s="473"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48</v>
      </c>
      <c r="B588" s="473"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48</v>
      </c>
      <c r="B589" s="473"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48</v>
      </c>
      <c r="B590" s="473"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48</v>
      </c>
      <c r="B591" s="473"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48</v>
      </c>
      <c r="B592" s="473"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48</v>
      </c>
      <c r="B593" s="473"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48</v>
      </c>
      <c r="B594" s="473"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48</v>
      </c>
      <c r="B595" s="473"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48</v>
      </c>
      <c r="B596" s="473"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48</v>
      </c>
      <c r="B597" s="473"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48</v>
      </c>
      <c r="B598" s="473"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48</v>
      </c>
      <c r="B599" s="473"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48</v>
      </c>
      <c r="B600" s="473"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48</v>
      </c>
      <c r="B601" s="473"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48</v>
      </c>
      <c r="B602" s="473"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48</v>
      </c>
      <c r="B603" s="473"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48</v>
      </c>
      <c r="B604" s="473"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48</v>
      </c>
      <c r="B605" s="473"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48</v>
      </c>
      <c r="B606" s="473"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48</v>
      </c>
      <c r="B607" s="473"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48</v>
      </c>
      <c r="B608" s="473"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48</v>
      </c>
      <c r="B609" s="473"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48</v>
      </c>
      <c r="B610" s="473"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48</v>
      </c>
      <c r="B611" s="473"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48</v>
      </c>
      <c r="B612" s="473"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48</v>
      </c>
      <c r="B613" s="473"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48</v>
      </c>
      <c r="B614" s="473"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48</v>
      </c>
      <c r="B615" s="473"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48</v>
      </c>
      <c r="B616" s="473"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48</v>
      </c>
      <c r="B617" s="473"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48</v>
      </c>
      <c r="B618" s="473"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48</v>
      </c>
      <c r="B619" s="473"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48</v>
      </c>
      <c r="B620" s="473"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48</v>
      </c>
      <c r="B621" s="473"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48</v>
      </c>
      <c r="B622" s="473"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48</v>
      </c>
      <c r="B623" s="473"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48</v>
      </c>
      <c r="B624" s="473"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48</v>
      </c>
      <c r="B625" s="473"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48</v>
      </c>
      <c r="B626" s="473"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48</v>
      </c>
      <c r="B627" s="473"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48</v>
      </c>
      <c r="B628" s="473"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48</v>
      </c>
      <c r="B629" s="473"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48</v>
      </c>
      <c r="B630" s="473"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48</v>
      </c>
      <c r="B631" s="473"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48</v>
      </c>
      <c r="B632" s="473"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48</v>
      </c>
      <c r="B633" s="473"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48</v>
      </c>
      <c r="B634" s="473"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48</v>
      </c>
      <c r="B635" s="473"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48</v>
      </c>
      <c r="B636" s="473"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48</v>
      </c>
      <c r="B637" s="473"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48</v>
      </c>
      <c r="B638" s="473"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48</v>
      </c>
      <c r="B639" s="473"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48</v>
      </c>
      <c r="B640" s="473"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48</v>
      </c>
      <c r="B641" s="473"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48</v>
      </c>
      <c r="B642" s="473"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48</v>
      </c>
      <c r="B643" s="473"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48</v>
      </c>
      <c r="B644" s="473"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48</v>
      </c>
      <c r="B645" s="473"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48</v>
      </c>
      <c r="B646" s="473"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48</v>
      </c>
      <c r="B647" s="473"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48</v>
      </c>
      <c r="B648" s="473"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48</v>
      </c>
      <c r="B649" s="473"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48</v>
      </c>
      <c r="B650" s="473"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48</v>
      </c>
      <c r="B651" s="473"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48</v>
      </c>
      <c r="B652" s="473"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48</v>
      </c>
      <c r="B653" s="473"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48</v>
      </c>
      <c r="B654" s="473"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48</v>
      </c>
      <c r="B655" s="473"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48</v>
      </c>
      <c r="B656" s="473"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48</v>
      </c>
      <c r="B657" s="473"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48</v>
      </c>
      <c r="B658" s="473"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48</v>
      </c>
      <c r="B659" s="473"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48</v>
      </c>
      <c r="B660" s="473"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48</v>
      </c>
      <c r="B661" s="473"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48</v>
      </c>
      <c r="B662" s="473"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48</v>
      </c>
      <c r="B663" s="473"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48</v>
      </c>
      <c r="B664" s="473"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48</v>
      </c>
      <c r="B665" s="473"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48</v>
      </c>
      <c r="B666" s="473"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48</v>
      </c>
      <c r="B667" s="473"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48</v>
      </c>
      <c r="B668" s="473"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48</v>
      </c>
      <c r="B669" s="473"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48</v>
      </c>
      <c r="B670" s="473"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48</v>
      </c>
      <c r="B671" s="473"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48</v>
      </c>
      <c r="B672" s="473"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48</v>
      </c>
      <c r="B673" s="473"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48</v>
      </c>
      <c r="B674" s="473"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48</v>
      </c>
      <c r="B675" s="473"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48</v>
      </c>
      <c r="B676" s="473"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48</v>
      </c>
      <c r="B677" s="473"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48</v>
      </c>
      <c r="B678" s="473"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48</v>
      </c>
      <c r="B679" s="473"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48</v>
      </c>
      <c r="B680" s="473"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48</v>
      </c>
      <c r="B681" s="473"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48</v>
      </c>
      <c r="B682" s="473"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48</v>
      </c>
      <c r="B683" s="473"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48</v>
      </c>
      <c r="B684" s="473"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48</v>
      </c>
      <c r="B685" s="473"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48</v>
      </c>
      <c r="B686" s="473"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48</v>
      </c>
      <c r="B687" s="473"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48</v>
      </c>
      <c r="B688" s="473"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48</v>
      </c>
      <c r="B689" s="473"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48</v>
      </c>
      <c r="B690" s="473"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48</v>
      </c>
      <c r="B691" s="473"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48</v>
      </c>
      <c r="B692" s="473"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48</v>
      </c>
      <c r="B693" s="473"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48</v>
      </c>
      <c r="B694" s="473"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48</v>
      </c>
      <c r="B695" s="473"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48</v>
      </c>
      <c r="B696" s="473"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48</v>
      </c>
      <c r="B697" s="473"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48</v>
      </c>
      <c r="B698" s="473"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48</v>
      </c>
      <c r="B699" s="473"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48</v>
      </c>
      <c r="B700" s="473"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48</v>
      </c>
      <c r="B701" s="473"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48</v>
      </c>
      <c r="B702" s="473"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48</v>
      </c>
      <c r="B703" s="473"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48</v>
      </c>
      <c r="B704" s="473"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48</v>
      </c>
      <c r="B705" s="473"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48</v>
      </c>
      <c r="B706" s="473"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48</v>
      </c>
      <c r="B707" s="473"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48</v>
      </c>
      <c r="B708" s="473"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48</v>
      </c>
      <c r="B709" s="473"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48</v>
      </c>
      <c r="B710" s="473"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48</v>
      </c>
      <c r="B711" s="473"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48</v>
      </c>
      <c r="B712" s="473"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48</v>
      </c>
      <c r="B713" s="473"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48</v>
      </c>
      <c r="B714" s="473"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48</v>
      </c>
      <c r="B715" s="473"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48</v>
      </c>
      <c r="B716" s="473"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48</v>
      </c>
      <c r="B717" s="473"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48</v>
      </c>
      <c r="B718" s="473"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48</v>
      </c>
      <c r="B719" s="473"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48</v>
      </c>
      <c r="B720" s="473"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48</v>
      </c>
      <c r="B721" s="473"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48</v>
      </c>
      <c r="B722" s="473"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48</v>
      </c>
      <c r="B723" s="473"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48</v>
      </c>
      <c r="B724" s="473"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48</v>
      </c>
      <c r="B725" s="473"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48</v>
      </c>
      <c r="B726" s="473"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48</v>
      </c>
      <c r="B727" s="473"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48</v>
      </c>
      <c r="B728" s="473"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48</v>
      </c>
      <c r="B729" s="473"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48</v>
      </c>
      <c r="B730" s="473"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48</v>
      </c>
      <c r="B731" s="473"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48</v>
      </c>
      <c r="B732" s="473"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48</v>
      </c>
      <c r="B733" s="473"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48</v>
      </c>
      <c r="B734" s="473"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48</v>
      </c>
      <c r="B735" s="473"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48</v>
      </c>
      <c r="B736" s="473"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48</v>
      </c>
      <c r="B737" s="473"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48</v>
      </c>
      <c r="B738" s="473"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48</v>
      </c>
      <c r="B739" s="473"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48</v>
      </c>
      <c r="B740" s="473"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48</v>
      </c>
      <c r="B741" s="473"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48</v>
      </c>
      <c r="B742" s="473"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48</v>
      </c>
      <c r="B743" s="473"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48</v>
      </c>
      <c r="B744" s="473"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48</v>
      </c>
      <c r="B745" s="473"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48</v>
      </c>
      <c r="B746" s="473"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48</v>
      </c>
      <c r="B747" s="473"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48</v>
      </c>
      <c r="B748" s="473"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48</v>
      </c>
      <c r="B749" s="473"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48</v>
      </c>
      <c r="B750" s="473"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48</v>
      </c>
      <c r="B751" s="473"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48</v>
      </c>
      <c r="B752" s="473"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48</v>
      </c>
      <c r="B753" s="473"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48</v>
      </c>
      <c r="B754" s="473"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48</v>
      </c>
      <c r="B755" s="473"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48</v>
      </c>
      <c r="B756" s="473"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48</v>
      </c>
      <c r="B757" s="473"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48</v>
      </c>
      <c r="B758" s="473"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48</v>
      </c>
      <c r="B759" s="473"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48</v>
      </c>
      <c r="B760" s="473"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48</v>
      </c>
      <c r="B761" s="473"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48</v>
      </c>
      <c r="B762" s="473"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48</v>
      </c>
      <c r="B763" s="473"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48</v>
      </c>
      <c r="B764" s="473"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48</v>
      </c>
      <c r="B765" s="473"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48</v>
      </c>
      <c r="B766" s="473"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48</v>
      </c>
      <c r="B767" s="473"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48</v>
      </c>
      <c r="B768" s="473"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48</v>
      </c>
      <c r="B769" s="473"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48</v>
      </c>
      <c r="B770" s="473"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48</v>
      </c>
      <c r="B771" s="473"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48</v>
      </c>
      <c r="B772" s="473"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48</v>
      </c>
      <c r="B773" s="473"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48</v>
      </c>
      <c r="B774" s="473"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48</v>
      </c>
      <c r="B775" s="473"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48</v>
      </c>
      <c r="B776" s="473"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48</v>
      </c>
      <c r="B777" s="473"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48</v>
      </c>
      <c r="B778" s="473"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48</v>
      </c>
      <c r="B779" s="473"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48</v>
      </c>
      <c r="B780" s="473"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48</v>
      </c>
      <c r="B781" s="473"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48</v>
      </c>
      <c r="B782" s="473"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48</v>
      </c>
      <c r="B783" s="473"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48</v>
      </c>
      <c r="B784" s="473"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48</v>
      </c>
      <c r="B785" s="473"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48</v>
      </c>
      <c r="B786" s="473"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48</v>
      </c>
      <c r="B787" s="473"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48</v>
      </c>
      <c r="B788" s="473"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48</v>
      </c>
      <c r="B789" s="473"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48</v>
      </c>
      <c r="B790" s="473"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48</v>
      </c>
      <c r="B791" s="473"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48</v>
      </c>
      <c r="B792" s="473"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48</v>
      </c>
      <c r="B793" s="473"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48</v>
      </c>
      <c r="B794" s="473"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48</v>
      </c>
      <c r="B795" s="473"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48</v>
      </c>
      <c r="B796" s="473"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48</v>
      </c>
      <c r="B797" s="473"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48</v>
      </c>
      <c r="B798" s="473"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48</v>
      </c>
      <c r="B799" s="473"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48</v>
      </c>
      <c r="B800" s="473"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48</v>
      </c>
      <c r="B801" s="473"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48</v>
      </c>
      <c r="B802" s="473"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48</v>
      </c>
      <c r="B803" s="473"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48</v>
      </c>
      <c r="B804" s="473"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48</v>
      </c>
      <c r="B805" s="473"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48</v>
      </c>
      <c r="B806" s="473"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48</v>
      </c>
      <c r="B807" s="473"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48</v>
      </c>
      <c r="B808" s="473"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48</v>
      </c>
      <c r="B809" s="473"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48</v>
      </c>
      <c r="B810" s="473"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48</v>
      </c>
      <c r="B811" s="473"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48</v>
      </c>
      <c r="B812" s="473"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48</v>
      </c>
      <c r="B813" s="473"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48</v>
      </c>
      <c r="B814" s="473"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48</v>
      </c>
      <c r="B815" s="473"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48</v>
      </c>
      <c r="B816" s="473"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48</v>
      </c>
      <c r="B817" s="473"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48</v>
      </c>
      <c r="B818" s="473"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48</v>
      </c>
      <c r="B819" s="473"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48</v>
      </c>
      <c r="B820" s="473"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48</v>
      </c>
      <c r="B821" s="473"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48</v>
      </c>
      <c r="B822" s="473"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48</v>
      </c>
      <c r="B823" s="473"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48</v>
      </c>
      <c r="B824" s="473"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48</v>
      </c>
      <c r="B825" s="473"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48</v>
      </c>
      <c r="B826" s="473"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48</v>
      </c>
      <c r="B827" s="473"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48</v>
      </c>
      <c r="B828" s="473"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48</v>
      </c>
      <c r="B829" s="473"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48</v>
      </c>
      <c r="B830" s="473"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48</v>
      </c>
      <c r="B831" s="473"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48</v>
      </c>
      <c r="B832" s="473"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48</v>
      </c>
      <c r="B833" s="473"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48</v>
      </c>
      <c r="B834" s="473"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48</v>
      </c>
      <c r="B835" s="473"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48</v>
      </c>
      <c r="B836" s="473"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48</v>
      </c>
      <c r="B837" s="473"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48</v>
      </c>
      <c r="B838" s="473"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48</v>
      </c>
      <c r="B839" s="473"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48</v>
      </c>
      <c r="B840" s="473"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48</v>
      </c>
      <c r="B841" s="473"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48</v>
      </c>
      <c r="B842" s="473"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48</v>
      </c>
      <c r="B843" s="473"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48</v>
      </c>
      <c r="B844" s="473"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48</v>
      </c>
      <c r="B845" s="473"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48</v>
      </c>
      <c r="B846" s="473"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48</v>
      </c>
      <c r="B847" s="473"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48</v>
      </c>
      <c r="B848" s="473"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48</v>
      </c>
      <c r="B849" s="473"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48</v>
      </c>
      <c r="B850" s="473"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48</v>
      </c>
      <c r="B851" s="473"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48</v>
      </c>
      <c r="B852" s="473"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48</v>
      </c>
      <c r="B853" s="473"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48</v>
      </c>
      <c r="B854" s="473"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48</v>
      </c>
      <c r="B855" s="473"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48</v>
      </c>
      <c r="B856" s="473"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48</v>
      </c>
      <c r="B857" s="473"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48</v>
      </c>
      <c r="B858" s="473"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48</v>
      </c>
      <c r="B859" s="473"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48</v>
      </c>
      <c r="B860" s="473"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48</v>
      </c>
      <c r="B861" s="473"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48</v>
      </c>
      <c r="B862" s="473"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48</v>
      </c>
      <c r="B863" s="473"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48</v>
      </c>
      <c r="B864" s="473"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48</v>
      </c>
      <c r="B865" s="473"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48</v>
      </c>
      <c r="B866" s="473"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48</v>
      </c>
      <c r="B867" s="473"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48</v>
      </c>
      <c r="B868" s="473"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48</v>
      </c>
      <c r="B869" s="473"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48</v>
      </c>
      <c r="B870" s="473"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48</v>
      </c>
      <c r="B871" s="473"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48</v>
      </c>
      <c r="B872" s="473"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48</v>
      </c>
      <c r="B873" s="473"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48</v>
      </c>
      <c r="B874" s="473"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48</v>
      </c>
      <c r="B875" s="473"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48</v>
      </c>
      <c r="B876" s="473"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48</v>
      </c>
      <c r="B877" s="473"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48</v>
      </c>
      <c r="B878" s="473"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48</v>
      </c>
      <c r="B879" s="473"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48</v>
      </c>
      <c r="B880" s="473"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48</v>
      </c>
      <c r="B881" s="473"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48</v>
      </c>
      <c r="B882" s="473"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48</v>
      </c>
      <c r="B883" s="473"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48</v>
      </c>
      <c r="B884" s="473"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48</v>
      </c>
      <c r="B885" s="473"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48</v>
      </c>
      <c r="B886" s="473"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48</v>
      </c>
      <c r="B887" s="473"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48</v>
      </c>
      <c r="B888" s="473"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48</v>
      </c>
      <c r="B889" s="473"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48</v>
      </c>
      <c r="B890" s="473"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48</v>
      </c>
      <c r="B891" s="473"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48</v>
      </c>
      <c r="B892" s="473"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48</v>
      </c>
      <c r="B893" s="473"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48</v>
      </c>
      <c r="B894" s="473"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48</v>
      </c>
      <c r="B895" s="473"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48</v>
      </c>
      <c r="B896" s="473"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48</v>
      </c>
      <c r="B897" s="473"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48</v>
      </c>
      <c r="B898" s="473"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48</v>
      </c>
      <c r="B899" s="473"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48</v>
      </c>
      <c r="B900" s="473"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48</v>
      </c>
      <c r="B901" s="473"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48</v>
      </c>
      <c r="B902" s="473"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48</v>
      </c>
      <c r="B903" s="473"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48</v>
      </c>
      <c r="B904" s="473"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48</v>
      </c>
      <c r="B905" s="473"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48</v>
      </c>
      <c r="B906" s="473"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48</v>
      </c>
      <c r="B907" s="473"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48</v>
      </c>
      <c r="B908" s="473"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48</v>
      </c>
      <c r="B909" s="473"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48</v>
      </c>
      <c r="B910" s="473"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48</v>
      </c>
      <c r="B911" s="473"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48</v>
      </c>
      <c r="B912" s="473"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48</v>
      </c>
      <c r="B913" s="473"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48</v>
      </c>
      <c r="B914" s="473"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48</v>
      </c>
      <c r="B915" s="473"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48</v>
      </c>
      <c r="B916" s="473"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48</v>
      </c>
      <c r="B917" s="473"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48</v>
      </c>
      <c r="B918" s="473"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48</v>
      </c>
      <c r="B919" s="473"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48</v>
      </c>
      <c r="B920" s="473"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48</v>
      </c>
      <c r="B921" s="473"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48</v>
      </c>
      <c r="B922" s="473"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48</v>
      </c>
      <c r="B923" s="473"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48</v>
      </c>
      <c r="B924" s="473"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48</v>
      </c>
      <c r="B925" s="473"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48</v>
      </c>
      <c r="B926" s="473"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48</v>
      </c>
      <c r="B927" s="473"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48</v>
      </c>
      <c r="B928" s="473"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48</v>
      </c>
      <c r="B929" s="473"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48</v>
      </c>
      <c r="B930" s="473"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48</v>
      </c>
      <c r="B931" s="473"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48</v>
      </c>
      <c r="B932" s="473"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48</v>
      </c>
      <c r="B933" s="473"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48</v>
      </c>
      <c r="B934" s="473"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48</v>
      </c>
      <c r="B935" s="473"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48</v>
      </c>
      <c r="B936" s="473"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48</v>
      </c>
      <c r="B937" s="473"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48</v>
      </c>
      <c r="B938" s="473"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48</v>
      </c>
      <c r="B939" s="473"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48</v>
      </c>
      <c r="B940" s="473"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48</v>
      </c>
      <c r="B941" s="473"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48</v>
      </c>
      <c r="B942" s="473"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48</v>
      </c>
      <c r="B943" s="473"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48</v>
      </c>
      <c r="B944" s="473"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48</v>
      </c>
      <c r="B945" s="473"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48</v>
      </c>
      <c r="B946" s="473"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48</v>
      </c>
      <c r="B947" s="473"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48</v>
      </c>
      <c r="B948" s="473"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48</v>
      </c>
      <c r="B949" s="473"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48</v>
      </c>
      <c r="B950" s="473"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48</v>
      </c>
      <c r="B951" s="473"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48</v>
      </c>
      <c r="B952" s="473"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48</v>
      </c>
      <c r="B953" s="473"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48</v>
      </c>
      <c r="B954" s="473"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48</v>
      </c>
      <c r="B955" s="473"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48</v>
      </c>
      <c r="B956" s="473"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48</v>
      </c>
      <c r="B957" s="473"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48</v>
      </c>
      <c r="B958" s="473"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48</v>
      </c>
      <c r="B959" s="473"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48</v>
      </c>
      <c r="B960" s="473"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48</v>
      </c>
      <c r="B961" s="473"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48</v>
      </c>
      <c r="B962" s="473"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48</v>
      </c>
      <c r="B963" s="473"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48</v>
      </c>
      <c r="B964" s="473"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48</v>
      </c>
      <c r="B965" s="473"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48</v>
      </c>
      <c r="B966" s="473"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48</v>
      </c>
      <c r="B967" s="473"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48</v>
      </c>
      <c r="B968" s="473"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48</v>
      </c>
      <c r="B969" s="473"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48</v>
      </c>
      <c r="B970" s="473"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48</v>
      </c>
      <c r="B971" s="473"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48</v>
      </c>
      <c r="B972" s="473"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48</v>
      </c>
      <c r="B973" s="473"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48</v>
      </c>
      <c r="B974" s="473"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48</v>
      </c>
      <c r="B975" s="473"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48</v>
      </c>
      <c r="B976" s="473"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48</v>
      </c>
      <c r="B977" s="473"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48</v>
      </c>
      <c r="B978" s="473"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48</v>
      </c>
      <c r="B979" s="473"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48</v>
      </c>
      <c r="B980" s="473"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48</v>
      </c>
      <c r="B981" s="473"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48</v>
      </c>
      <c r="B982" s="473"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48</v>
      </c>
      <c r="B983" s="473"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48</v>
      </c>
      <c r="B984" s="473"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48</v>
      </c>
      <c r="B985" s="473"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48</v>
      </c>
      <c r="B986" s="473"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48</v>
      </c>
      <c r="B987" s="473"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48</v>
      </c>
      <c r="B988" s="473"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48</v>
      </c>
      <c r="B989" s="473"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48</v>
      </c>
      <c r="B990" s="473"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48</v>
      </c>
      <c r="B991" s="473"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48</v>
      </c>
      <c r="B992" s="473"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48</v>
      </c>
      <c r="B993" s="473"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48</v>
      </c>
      <c r="B994" s="473"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48</v>
      </c>
      <c r="B995" s="473"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48</v>
      </c>
      <c r="B996" s="473"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48</v>
      </c>
      <c r="B997" s="473"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48</v>
      </c>
      <c r="B998" s="473"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48</v>
      </c>
      <c r="B999" s="473"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48</v>
      </c>
      <c r="B1000" s="473"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48</v>
      </c>
      <c r="B1001" s="473"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48</v>
      </c>
      <c r="B1002" s="473"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48</v>
      </c>
      <c r="B1003" s="473"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48</v>
      </c>
      <c r="B1004" s="473"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48</v>
      </c>
      <c r="B1005" s="473"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48</v>
      </c>
      <c r="B1006" s="473"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48</v>
      </c>
      <c r="B1007" s="473"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48</v>
      </c>
      <c r="B1008" s="473"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48</v>
      </c>
      <c r="B1009" s="473"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48</v>
      </c>
      <c r="B1010" s="473"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48</v>
      </c>
      <c r="B1011" s="473"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48</v>
      </c>
      <c r="B1012" s="473"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48</v>
      </c>
      <c r="B1013" s="473"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48</v>
      </c>
      <c r="B1014" s="473"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48</v>
      </c>
      <c r="B1015" s="473"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48</v>
      </c>
      <c r="B1016" s="473"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48</v>
      </c>
      <c r="B1017" s="473"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48</v>
      </c>
      <c r="B1018" s="473"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48</v>
      </c>
      <c r="B1019" s="473"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48</v>
      </c>
      <c r="B1020" s="473"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48</v>
      </c>
      <c r="B1021" s="473"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48</v>
      </c>
      <c r="B1022" s="473"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48</v>
      </c>
      <c r="B1023" s="473"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48</v>
      </c>
      <c r="B1024" s="473"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48</v>
      </c>
      <c r="B1025" s="473"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48</v>
      </c>
      <c r="B1026" s="473"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48</v>
      </c>
      <c r="B1027" s="473"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48</v>
      </c>
      <c r="B1028" s="473"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48</v>
      </c>
      <c r="B1029" s="473"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48</v>
      </c>
      <c r="B1030" s="473"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48</v>
      </c>
      <c r="B1031" s="473"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48</v>
      </c>
      <c r="B1032" s="473"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48</v>
      </c>
      <c r="B1033" s="473"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48</v>
      </c>
      <c r="B1034" s="473"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48</v>
      </c>
      <c r="B1035" s="473"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48</v>
      </c>
      <c r="B1036" s="473"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48</v>
      </c>
      <c r="B1037" s="473"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48</v>
      </c>
      <c r="B1038" s="473"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48</v>
      </c>
      <c r="B1039" s="473"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48</v>
      </c>
      <c r="B1040" s="473"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48</v>
      </c>
      <c r="B1041" s="473"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48</v>
      </c>
      <c r="B1042" s="473"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48</v>
      </c>
      <c r="B1043" s="473"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48</v>
      </c>
      <c r="B1044" s="473"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48</v>
      </c>
      <c r="B1045" s="473"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48</v>
      </c>
      <c r="B1046" s="473"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48</v>
      </c>
      <c r="B1047" s="473"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48</v>
      </c>
      <c r="B1048" s="473"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48</v>
      </c>
      <c r="B1049" s="473"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48</v>
      </c>
      <c r="B1050" s="473"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48</v>
      </c>
      <c r="B1051" s="473"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48</v>
      </c>
      <c r="B1052" s="473"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48</v>
      </c>
      <c r="B1053" s="473"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48</v>
      </c>
      <c r="B1054" s="473"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48</v>
      </c>
      <c r="B1055" s="473"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48</v>
      </c>
      <c r="B1056" s="473"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48</v>
      </c>
      <c r="B1057" s="473"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48</v>
      </c>
      <c r="B1058" s="473"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48</v>
      </c>
      <c r="B1059" s="473"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48</v>
      </c>
      <c r="B1060" s="473"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48</v>
      </c>
      <c r="B1061" s="473"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48</v>
      </c>
      <c r="B1062" s="473"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48</v>
      </c>
      <c r="B1063" s="473"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48</v>
      </c>
      <c r="B1064" s="473"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48</v>
      </c>
      <c r="B1065" s="473"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48</v>
      </c>
      <c r="B1066" s="473"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48</v>
      </c>
      <c r="B1067" s="473"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48</v>
      </c>
      <c r="B1068" s="473"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48</v>
      </c>
      <c r="B1069" s="473"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48</v>
      </c>
      <c r="B1070" s="473"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48</v>
      </c>
      <c r="B1071" s="473"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48</v>
      </c>
      <c r="B1072" s="473"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48</v>
      </c>
      <c r="B1073" s="473"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48</v>
      </c>
      <c r="B1074" s="473"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48</v>
      </c>
      <c r="B1075" s="473"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48</v>
      </c>
      <c r="B1076" s="473"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48</v>
      </c>
      <c r="B1077" s="473"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48</v>
      </c>
      <c r="B1078" s="473"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48</v>
      </c>
      <c r="B1079" s="473"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48</v>
      </c>
      <c r="B1080" s="473"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48</v>
      </c>
      <c r="B1081" s="473"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48</v>
      </c>
      <c r="B1082" s="473"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48</v>
      </c>
      <c r="B1083" s="473"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48</v>
      </c>
      <c r="B1084" s="473"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48</v>
      </c>
      <c r="B1085" s="473"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48</v>
      </c>
      <c r="B1086" s="473"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48</v>
      </c>
      <c r="B1087" s="473"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48</v>
      </c>
      <c r="B1088" s="473"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48</v>
      </c>
      <c r="B1089" s="473"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48</v>
      </c>
      <c r="B1090" s="473"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48</v>
      </c>
      <c r="B1091" s="473"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48</v>
      </c>
      <c r="B1092" s="473"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48</v>
      </c>
      <c r="B1093" s="473"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48</v>
      </c>
      <c r="B1094" s="473"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48</v>
      </c>
      <c r="B1095" s="473"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48</v>
      </c>
      <c r="B1096" s="473"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48</v>
      </c>
      <c r="B1097" s="473"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48</v>
      </c>
      <c r="B1098" s="473"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48</v>
      </c>
      <c r="B1099" s="473"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48</v>
      </c>
      <c r="B1100" s="473"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48</v>
      </c>
      <c r="B1101" s="473"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48</v>
      </c>
      <c r="B1102" s="473"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48</v>
      </c>
      <c r="B1103" s="473"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48</v>
      </c>
      <c r="B1104" s="473"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48</v>
      </c>
      <c r="B1105" s="473"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48</v>
      </c>
      <c r="B1106" s="473"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48</v>
      </c>
      <c r="B1107" s="473"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48</v>
      </c>
      <c r="B1108" s="473"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48</v>
      </c>
      <c r="B1109" s="473"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48</v>
      </c>
      <c r="B1110" s="473"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48</v>
      </c>
      <c r="B1111" s="473"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48</v>
      </c>
      <c r="B1112" s="473"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48</v>
      </c>
      <c r="B1113" s="473"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48</v>
      </c>
      <c r="B1114" s="473"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48</v>
      </c>
      <c r="B1115" s="473"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48</v>
      </c>
      <c r="B1116" s="473"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48</v>
      </c>
      <c r="B1117" s="473"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48</v>
      </c>
      <c r="B1118" s="473"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48</v>
      </c>
      <c r="B1119" s="473"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48</v>
      </c>
      <c r="B1120" s="473"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48</v>
      </c>
      <c r="B1121" s="473"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48</v>
      </c>
      <c r="B1122" s="473"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48</v>
      </c>
      <c r="B1123" s="473"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48</v>
      </c>
      <c r="B1124" s="473"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48</v>
      </c>
      <c r="B1125" s="473"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48</v>
      </c>
      <c r="B1126" s="473"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48</v>
      </c>
      <c r="B1127" s="473"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48</v>
      </c>
      <c r="B1128" s="473"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48</v>
      </c>
      <c r="B1129" s="473"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48</v>
      </c>
      <c r="B1130" s="473"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48</v>
      </c>
      <c r="B1131" s="473"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48</v>
      </c>
      <c r="B1132" s="473"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48</v>
      </c>
      <c r="B1133" s="473"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48</v>
      </c>
      <c r="B1134" s="473"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48</v>
      </c>
      <c r="B1135" s="473"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48</v>
      </c>
      <c r="B1136" s="473"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48</v>
      </c>
      <c r="B1137" s="473"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48</v>
      </c>
      <c r="B1138" s="473"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48</v>
      </c>
      <c r="B1139" s="473"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48</v>
      </c>
      <c r="B1140" s="473"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48</v>
      </c>
      <c r="B1141" s="473"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48</v>
      </c>
      <c r="B1142" s="473"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48</v>
      </c>
      <c r="B1143" s="473"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48</v>
      </c>
      <c r="B1144" s="473"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48</v>
      </c>
      <c r="B1145" s="473"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48</v>
      </c>
      <c r="B1146" s="473"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48</v>
      </c>
      <c r="B1147" s="473"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48</v>
      </c>
      <c r="B1148" s="473"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48</v>
      </c>
      <c r="B1149" s="473"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48</v>
      </c>
      <c r="B1150" s="473"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48</v>
      </c>
      <c r="B1151" s="473"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48</v>
      </c>
      <c r="B1152" s="473"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48</v>
      </c>
      <c r="B1153" s="473"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48</v>
      </c>
      <c r="B1154" s="473"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48</v>
      </c>
      <c r="B1155" s="473"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48</v>
      </c>
      <c r="B1156" s="473"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48</v>
      </c>
      <c r="B1157" s="473"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48</v>
      </c>
      <c r="B1158" s="473"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48</v>
      </c>
      <c r="B1159" s="473"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48</v>
      </c>
      <c r="B1160" s="473"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48</v>
      </c>
      <c r="B1161" s="473"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48</v>
      </c>
      <c r="B1162" s="473"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48</v>
      </c>
      <c r="B1163" s="473"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48</v>
      </c>
      <c r="B1164" s="473"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48</v>
      </c>
      <c r="B1165" s="473"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48</v>
      </c>
      <c r="B1166" s="473"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48</v>
      </c>
      <c r="B1167" s="473"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48</v>
      </c>
      <c r="B1168" s="473"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48</v>
      </c>
      <c r="B1169" s="473"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48</v>
      </c>
      <c r="B1170" s="473"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48</v>
      </c>
      <c r="B1171" s="473"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48</v>
      </c>
      <c r="B1172" s="473"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48</v>
      </c>
      <c r="B1173" s="473"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48</v>
      </c>
      <c r="B1174" s="473"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48</v>
      </c>
      <c r="B1175" s="473"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48</v>
      </c>
      <c r="B1176" s="473"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48</v>
      </c>
      <c r="B1177" s="473"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48</v>
      </c>
      <c r="B1178" s="473"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48</v>
      </c>
      <c r="B1179" s="473"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48</v>
      </c>
      <c r="B1180" s="473"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48</v>
      </c>
      <c r="B1181" s="473"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48</v>
      </c>
      <c r="B1182" s="473"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48</v>
      </c>
      <c r="B1183" s="473"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48</v>
      </c>
      <c r="B1184" s="473"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48</v>
      </c>
      <c r="B1185" s="473"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48</v>
      </c>
      <c r="B1186" s="473"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48</v>
      </c>
      <c r="B1187" s="473"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48</v>
      </c>
      <c r="B1188" s="473"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48</v>
      </c>
      <c r="B1189" s="473"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48</v>
      </c>
      <c r="B1190" s="473"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48</v>
      </c>
      <c r="B1191" s="473"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48</v>
      </c>
      <c r="B1192" s="473"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48</v>
      </c>
      <c r="B1193" s="473"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48</v>
      </c>
      <c r="B1194" s="473"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48</v>
      </c>
      <c r="B1195" s="473"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48</v>
      </c>
      <c r="B1196" s="473" t="s">
        <v>1234</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48</v>
      </c>
      <c r="B1197" s="473" t="s">
        <v>1235</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48</v>
      </c>
      <c r="B1198" s="473" t="s">
        <v>1236</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48</v>
      </c>
      <c r="B1199" s="473" t="s">
        <v>1237</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48</v>
      </c>
      <c r="B1200" s="473" t="s">
        <v>1238</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48</v>
      </c>
      <c r="B1201" s="473" t="s">
        <v>1239</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48</v>
      </c>
      <c r="B1202" s="473" t="s">
        <v>1240</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48</v>
      </c>
      <c r="B1203" s="473" t="s">
        <v>1241</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48</v>
      </c>
      <c r="B1204" s="473" t="s">
        <v>1242</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48</v>
      </c>
      <c r="B1205" s="473" t="s">
        <v>1243</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48</v>
      </c>
      <c r="B1206" s="473" t="s">
        <v>1244</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48</v>
      </c>
      <c r="B1207" s="473" t="s">
        <v>1245</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48</v>
      </c>
      <c r="B1208" s="473" t="s">
        <v>1246</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48</v>
      </c>
      <c r="B1209" s="473" t="s">
        <v>1247</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48</v>
      </c>
      <c r="B1210" s="473" t="s">
        <v>1248</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48</v>
      </c>
      <c r="B1211" s="473" t="s">
        <v>1249</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48</v>
      </c>
      <c r="B1212" s="473" t="s">
        <v>1250</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48</v>
      </c>
      <c r="B1213" s="473" t="s">
        <v>1251</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48</v>
      </c>
      <c r="B1214" s="473" t="s">
        <v>1252</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48</v>
      </c>
      <c r="B1215" s="473" t="s">
        <v>1253</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48</v>
      </c>
      <c r="B1216" s="473" t="s">
        <v>1254</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48</v>
      </c>
      <c r="B1217" s="473" t="s">
        <v>1255</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48</v>
      </c>
      <c r="B1218" s="473" t="s">
        <v>1256</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48</v>
      </c>
      <c r="B1219" s="473" t="s">
        <v>1257</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48</v>
      </c>
      <c r="B1220" s="473" t="s">
        <v>1258</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48</v>
      </c>
      <c r="B1221" s="473" t="s">
        <v>1259</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48</v>
      </c>
      <c r="B1222" s="473" t="s">
        <v>1260</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48</v>
      </c>
      <c r="B1223" s="473" t="s">
        <v>1261</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48</v>
      </c>
      <c r="B1224" s="473" t="s">
        <v>1262</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48</v>
      </c>
      <c r="B1225" s="473" t="s">
        <v>1263</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48</v>
      </c>
      <c r="B1226" s="473" t="s">
        <v>1264</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48</v>
      </c>
      <c r="B1227" s="473" t="s">
        <v>1265</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48</v>
      </c>
      <c r="B1228" s="473" t="s">
        <v>1266</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48</v>
      </c>
      <c r="B1229" s="473" t="s">
        <v>1267</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48</v>
      </c>
      <c r="B1230" s="473" t="s">
        <v>1268</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48</v>
      </c>
      <c r="B1231" s="473" t="s">
        <v>1269</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48</v>
      </c>
      <c r="B1232" s="473" t="s">
        <v>1270</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48</v>
      </c>
      <c r="B1233" s="473" t="s">
        <v>1271</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48</v>
      </c>
      <c r="B1234" s="473" t="s">
        <v>1272</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48</v>
      </c>
      <c r="B1235" s="473" t="s">
        <v>1273</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48</v>
      </c>
      <c r="B1236" s="473" t="s">
        <v>1274</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48</v>
      </c>
      <c r="B1237" s="473" t="s">
        <v>1275</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48</v>
      </c>
      <c r="B1238" s="473" t="s">
        <v>1276</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48</v>
      </c>
      <c r="B1239" s="473" t="s">
        <v>1277</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48</v>
      </c>
      <c r="B1240" s="473" t="s">
        <v>1278</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48</v>
      </c>
      <c r="B1241" s="473" t="s">
        <v>1279</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48</v>
      </c>
      <c r="B1242" s="473" t="s">
        <v>1280</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48</v>
      </c>
      <c r="B1243" s="473" t="s">
        <v>1281</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48</v>
      </c>
      <c r="B1244" s="473" t="s">
        <v>1282</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48</v>
      </c>
      <c r="B1245" s="473" t="s">
        <v>1283</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48</v>
      </c>
      <c r="B1246" s="473" t="s">
        <v>1284</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48</v>
      </c>
      <c r="B1247" s="473" t="s">
        <v>1285</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48</v>
      </c>
      <c r="B1248" s="473" t="s">
        <v>1286</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48</v>
      </c>
      <c r="B1249" s="473" t="s">
        <v>1287</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48</v>
      </c>
      <c r="B1250" s="473" t="s">
        <v>1288</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48</v>
      </c>
      <c r="B1251" s="473" t="s">
        <v>1289</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48</v>
      </c>
      <c r="B1252" s="473" t="s">
        <v>1290</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48</v>
      </c>
      <c r="B1253" s="473" t="s">
        <v>1291</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48</v>
      </c>
      <c r="B1254" s="473" t="s">
        <v>1292</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48</v>
      </c>
      <c r="B1255" s="473" t="s">
        <v>1293</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48</v>
      </c>
      <c r="B1256" s="473" t="s">
        <v>1294</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48</v>
      </c>
      <c r="B1257" s="473" t="s">
        <v>1295</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48</v>
      </c>
      <c r="B1258" s="473" t="s">
        <v>1296</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48</v>
      </c>
      <c r="B1259" s="473" t="s">
        <v>1297</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48</v>
      </c>
      <c r="B1260" s="473" t="s">
        <v>1298</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48</v>
      </c>
      <c r="B1261" s="473" t="s">
        <v>1299</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48</v>
      </c>
      <c r="B1262" s="473" t="s">
        <v>1300</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48</v>
      </c>
      <c r="B1263" s="473" t="s">
        <v>1301</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48</v>
      </c>
      <c r="B1264" s="473" t="s">
        <v>1302</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48</v>
      </c>
      <c r="B1265" s="473" t="s">
        <v>1303</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48</v>
      </c>
      <c r="B1266" s="473" t="s">
        <v>1304</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48</v>
      </c>
      <c r="B1267" s="473" t="s">
        <v>1305</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48</v>
      </c>
      <c r="B1268" s="473" t="s">
        <v>1306</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48</v>
      </c>
      <c r="B1269" s="473" t="s">
        <v>1307</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48</v>
      </c>
      <c r="B1270" s="473" t="s">
        <v>1308</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48</v>
      </c>
      <c r="B1271" s="473" t="s">
        <v>1309</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48</v>
      </c>
      <c r="B1272" s="473" t="s">
        <v>1310</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48</v>
      </c>
      <c r="B1273" s="473" t="s">
        <v>1311</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48</v>
      </c>
      <c r="B1274" s="473" t="s">
        <v>1312</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48</v>
      </c>
      <c r="B1275" s="473" t="s">
        <v>1313</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48</v>
      </c>
      <c r="B1276" s="473" t="s">
        <v>1314</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48</v>
      </c>
      <c r="B1277" s="473" t="s">
        <v>1315</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48</v>
      </c>
      <c r="B1278" s="473" t="s">
        <v>1316</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48</v>
      </c>
      <c r="B1279" s="473" t="s">
        <v>1317</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48</v>
      </c>
      <c r="B1280" s="473" t="s">
        <v>1318</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48</v>
      </c>
      <c r="B1281" s="473" t="s">
        <v>1319</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48</v>
      </c>
      <c r="B1282" s="473" t="s">
        <v>1320</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48</v>
      </c>
      <c r="B1283" s="473" t="s">
        <v>1321</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48</v>
      </c>
      <c r="B1284" s="473" t="s">
        <v>1322</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48</v>
      </c>
      <c r="B1285" s="473" t="s">
        <v>1323</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48</v>
      </c>
      <c r="B1286" s="473" t="s">
        <v>1324</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48</v>
      </c>
      <c r="B1287" s="473" t="s">
        <v>1325</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48</v>
      </c>
      <c r="B1288" s="473" t="s">
        <v>1326</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48</v>
      </c>
      <c r="B1289" s="473" t="s">
        <v>1327</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48</v>
      </c>
      <c r="B1290" s="473" t="s">
        <v>1328</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48</v>
      </c>
      <c r="B1291" s="473" t="s">
        <v>1329</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48</v>
      </c>
      <c r="B1292" s="473" t="s">
        <v>1330</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48</v>
      </c>
      <c r="B1293" s="473" t="s">
        <v>1331</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48</v>
      </c>
      <c r="B1294" s="473" t="s">
        <v>1332</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48</v>
      </c>
      <c r="B1295" s="473" t="s">
        <v>1333</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48</v>
      </c>
      <c r="B1296" s="473" t="s">
        <v>1334</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48</v>
      </c>
      <c r="B1297" s="473" t="s">
        <v>1335</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48</v>
      </c>
      <c r="B1298" s="473" t="s">
        <v>1336</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48</v>
      </c>
      <c r="B1299" s="473" t="s">
        <v>1337</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48</v>
      </c>
      <c r="B1300" s="473" t="s">
        <v>1338</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48</v>
      </c>
      <c r="B1301" s="473" t="s">
        <v>1339</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48</v>
      </c>
      <c r="B1302" s="473" t="s">
        <v>1340</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48</v>
      </c>
      <c r="B1303" s="473" t="s">
        <v>1341</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48</v>
      </c>
      <c r="B1304" s="473" t="s">
        <v>1342</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48</v>
      </c>
      <c r="B1305" s="473" t="s">
        <v>1343</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48</v>
      </c>
      <c r="B1306" s="473" t="s">
        <v>1344</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48</v>
      </c>
      <c r="B1307" s="473" t="s">
        <v>1345</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48</v>
      </c>
      <c r="B1308" s="473" t="s">
        <v>1346</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48</v>
      </c>
      <c r="B1309" s="473" t="s">
        <v>1347</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48</v>
      </c>
      <c r="B1310" s="473" t="s">
        <v>1348</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48</v>
      </c>
      <c r="B1311" s="473" t="s">
        <v>1349</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48</v>
      </c>
      <c r="B1312" s="473" t="s">
        <v>1350</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48</v>
      </c>
      <c r="B1313" s="473" t="s">
        <v>1351</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474"/>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475" t="s">
        <v>1352</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476" t="s">
        <v>1353</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476" t="s">
        <v>1354</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476" t="s">
        <v>1355</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476" t="s">
        <v>1356</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476" t="s">
        <v>1357</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477" t="s">
        <v>1358</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478"/>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475" t="s">
        <v>1359</v>
      </c>
      <c r="C1323" s="68" t="str">
        <f>CONCATENATE(A1323," - ",B1323)</f>
        <v>NI – Health and Social Care Trusts - Belfast Health and Social Care Trust</v>
      </c>
      <c r="D1323" s="836">
        <f t="shared" ref="D1323:E1327" si="243">I1323</f>
        <v>139590</v>
      </c>
      <c r="E1323" s="836">
        <f t="shared" si="243"/>
        <v>150331</v>
      </c>
      <c r="F1323" s="837">
        <f>G1323+H1323</f>
        <v>365871</v>
      </c>
      <c r="G1323" s="837">
        <f>SUM(M1323:CY1323)</f>
        <v>178525</v>
      </c>
      <c r="H1323" s="838">
        <f>SUM(CZ1323:GL1323)</f>
        <v>187346</v>
      </c>
      <c r="I1323" s="838">
        <f>SUM(AE1323:CY1323)</f>
        <v>139590</v>
      </c>
      <c r="J1323" s="838">
        <f>SUM(DR1323:GL1323)</f>
        <v>150331</v>
      </c>
      <c r="K1323" s="839">
        <f>SUM(M1323:AD1323)</f>
        <v>38935</v>
      </c>
      <c r="L1323" s="836">
        <f>SUM(CZ1323:DQ1323)</f>
        <v>37015</v>
      </c>
      <c r="M1323" s="839">
        <v>1910</v>
      </c>
      <c r="N1323" s="839">
        <v>2017</v>
      </c>
      <c r="O1323" s="839">
        <v>2002</v>
      </c>
      <c r="P1323" s="839">
        <v>2005</v>
      </c>
      <c r="Q1323" s="839">
        <v>2183</v>
      </c>
      <c r="R1323" s="839">
        <v>2080</v>
      </c>
      <c r="S1323" s="839">
        <v>2207</v>
      </c>
      <c r="T1323" s="839">
        <v>2246</v>
      </c>
      <c r="U1323" s="839">
        <v>2236</v>
      </c>
      <c r="V1323" s="839">
        <v>2309</v>
      </c>
      <c r="W1323" s="839">
        <v>2249</v>
      </c>
      <c r="X1323" s="839">
        <v>2330</v>
      </c>
      <c r="Y1323" s="839">
        <v>2296</v>
      </c>
      <c r="Z1323" s="839">
        <v>2211</v>
      </c>
      <c r="AA1323" s="839">
        <v>2228</v>
      </c>
      <c r="AB1323" s="839">
        <v>2249</v>
      </c>
      <c r="AC1323" s="839">
        <v>2115</v>
      </c>
      <c r="AD1323" s="839">
        <v>2062</v>
      </c>
      <c r="AE1323" s="839">
        <v>2289</v>
      </c>
      <c r="AF1323" s="839">
        <v>2993</v>
      </c>
      <c r="AG1323" s="839">
        <v>3026</v>
      </c>
      <c r="AH1323" s="839">
        <v>2617</v>
      </c>
      <c r="AI1323" s="839">
        <v>2730</v>
      </c>
      <c r="AJ1323" s="839">
        <v>2611</v>
      </c>
      <c r="AK1323" s="839">
        <v>2692</v>
      </c>
      <c r="AL1323" s="839">
        <v>2792</v>
      </c>
      <c r="AM1323" s="839">
        <v>2823</v>
      </c>
      <c r="AN1323" s="839">
        <v>2749</v>
      </c>
      <c r="AO1323" s="839">
        <v>2764</v>
      </c>
      <c r="AP1323" s="839">
        <v>2745</v>
      </c>
      <c r="AQ1323" s="839">
        <v>2713</v>
      </c>
      <c r="AR1323" s="839">
        <v>2728</v>
      </c>
      <c r="AS1323" s="839">
        <v>2756</v>
      </c>
      <c r="AT1323" s="839">
        <v>2713</v>
      </c>
      <c r="AU1323" s="839">
        <v>2616</v>
      </c>
      <c r="AV1323" s="839">
        <v>2610</v>
      </c>
      <c r="AW1323" s="839">
        <v>2545</v>
      </c>
      <c r="AX1323" s="839">
        <v>2558</v>
      </c>
      <c r="AY1323" s="839">
        <v>2519</v>
      </c>
      <c r="AZ1323" s="839">
        <v>2414</v>
      </c>
      <c r="BA1323" s="839">
        <v>2334</v>
      </c>
      <c r="BB1323" s="839">
        <v>2362</v>
      </c>
      <c r="BC1323" s="839">
        <v>2307</v>
      </c>
      <c r="BD1323" s="839">
        <v>2369</v>
      </c>
      <c r="BE1323" s="839">
        <v>2178</v>
      </c>
      <c r="BF1323" s="839">
        <v>2103</v>
      </c>
      <c r="BG1323" s="839">
        <v>1943</v>
      </c>
      <c r="BH1323" s="839">
        <v>1958</v>
      </c>
      <c r="BI1323" s="839">
        <v>1910</v>
      </c>
      <c r="BJ1323" s="839">
        <v>1998</v>
      </c>
      <c r="BK1323" s="839">
        <v>2100</v>
      </c>
      <c r="BL1323" s="839">
        <v>2116</v>
      </c>
      <c r="BM1323" s="839">
        <v>2074</v>
      </c>
      <c r="BN1323" s="839">
        <v>2267</v>
      </c>
      <c r="BO1323" s="839">
        <v>2279</v>
      </c>
      <c r="BP1323" s="839">
        <v>2334</v>
      </c>
      <c r="BQ1323" s="839">
        <v>2279</v>
      </c>
      <c r="BR1323" s="839">
        <v>2358</v>
      </c>
      <c r="BS1323" s="839">
        <v>2277</v>
      </c>
      <c r="BT1323" s="839">
        <v>2272</v>
      </c>
      <c r="BU1323" s="839">
        <v>2362</v>
      </c>
      <c r="BV1323" s="839">
        <v>2199</v>
      </c>
      <c r="BW1323" s="839">
        <v>2115</v>
      </c>
      <c r="BX1323" s="839">
        <v>2081</v>
      </c>
      <c r="BY1323" s="839">
        <v>1886</v>
      </c>
      <c r="BZ1323" s="839">
        <v>1877</v>
      </c>
      <c r="CA1323" s="839">
        <v>1703</v>
      </c>
      <c r="CB1323" s="839">
        <v>1677</v>
      </c>
      <c r="CC1323" s="839">
        <v>1554</v>
      </c>
      <c r="CD1323" s="839">
        <v>1565</v>
      </c>
      <c r="CE1323" s="839">
        <v>1335</v>
      </c>
      <c r="CF1323" s="839">
        <v>1255</v>
      </c>
      <c r="CG1323" s="839">
        <v>1316</v>
      </c>
      <c r="CH1323" s="839">
        <v>1194</v>
      </c>
      <c r="CI1323" s="839">
        <v>1141</v>
      </c>
      <c r="CJ1323" s="839">
        <v>1159</v>
      </c>
      <c r="CK1323" s="839">
        <v>1116</v>
      </c>
      <c r="CL1323" s="839">
        <v>990</v>
      </c>
      <c r="CM1323" s="839">
        <v>982</v>
      </c>
      <c r="CN1323" s="839">
        <v>979</v>
      </c>
      <c r="CO1323" s="839">
        <v>894</v>
      </c>
      <c r="CP1323" s="839">
        <v>764</v>
      </c>
      <c r="CQ1323" s="839">
        <v>635</v>
      </c>
      <c r="CR1323" s="839">
        <v>595</v>
      </c>
      <c r="CS1323" s="839">
        <v>580</v>
      </c>
      <c r="CT1323" s="839">
        <v>546</v>
      </c>
      <c r="CU1323" s="839">
        <v>469</v>
      </c>
      <c r="CV1323" s="839">
        <v>396</v>
      </c>
      <c r="CW1323" s="839">
        <v>323</v>
      </c>
      <c r="CX1323" s="839">
        <v>265</v>
      </c>
      <c r="CY1323" s="836">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476" t="s">
        <v>1360</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476" t="s">
        <v>1361</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476" t="s">
        <v>1362</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477" t="s">
        <v>1363</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478"/>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479" t="s">
        <v>1364</v>
      </c>
      <c r="C1329" s="68" t="str">
        <f>CONCATENATE(A1329," - ",B1329)</f>
        <v>NHSE regions - East of England</v>
      </c>
      <c r="D1329" s="836">
        <f t="shared" ref="D1329:E1335" si="245">I1329</f>
        <v>2472845</v>
      </c>
      <c r="E1329" s="836">
        <f t="shared" si="245"/>
        <v>2628742</v>
      </c>
      <c r="F1329" s="837">
        <f t="shared" ref="F1329:F1335" si="246">G1329+H1329</f>
        <v>6468665</v>
      </c>
      <c r="G1329" s="837">
        <f t="shared" ref="G1329:G1335" si="247">SUM(M1329:CY1329)</f>
        <v>3173297</v>
      </c>
      <c r="H1329" s="838">
        <f t="shared" ref="H1329:H1335" si="248">SUM(CZ1329:GL1329)</f>
        <v>3295368</v>
      </c>
      <c r="I1329" s="838">
        <f t="shared" ref="I1329:I1335" si="249">SUM(AE1329:CY1329)</f>
        <v>2472845</v>
      </c>
      <c r="J1329" s="838">
        <f t="shared" ref="J1329:J1335" si="250">SUM(DR1329:GL1329)</f>
        <v>2628742</v>
      </c>
      <c r="K1329" s="839">
        <f t="shared" ref="K1329:K1335" si="251">SUM(M1329:AD1329)</f>
        <v>700452</v>
      </c>
      <c r="L1329" s="836">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479" t="s">
        <v>1365</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479" t="s">
        <v>1366</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479" t="s">
        <v>1367</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479" t="s">
        <v>1368</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479" t="s">
        <v>1369</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8" t="s">
        <v>25</v>
      </c>
      <c r="B1335" s="479" t="s">
        <v>1370</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480"/>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835"/>
      <c r="O1336" s="835"/>
      <c r="P1336" s="835"/>
      <c r="Q1336" s="835"/>
      <c r="R1336" s="835"/>
      <c r="S1336" s="835"/>
      <c r="T1336" s="835"/>
      <c r="U1336" s="835"/>
      <c r="V1336" s="835"/>
      <c r="W1336" s="835"/>
      <c r="X1336" s="835"/>
      <c r="Y1336" s="835"/>
      <c r="Z1336" s="835"/>
      <c r="AA1336" s="835"/>
      <c r="AB1336" s="835"/>
      <c r="AC1336" s="835"/>
      <c r="AD1336" s="835"/>
      <c r="AE1336" s="835"/>
      <c r="AF1336" s="835"/>
      <c r="AG1336" s="835"/>
      <c r="AH1336" s="835"/>
      <c r="AI1336" s="835"/>
      <c r="AJ1336" s="835"/>
      <c r="AK1336" s="835"/>
      <c r="AL1336" s="835"/>
      <c r="AM1336" s="835"/>
      <c r="AN1336" s="835"/>
      <c r="AO1336" s="835"/>
      <c r="AP1336" s="835"/>
      <c r="AQ1336" s="835"/>
      <c r="AR1336" s="835"/>
      <c r="AS1336" s="835"/>
      <c r="AT1336" s="835"/>
      <c r="AU1336" s="835"/>
      <c r="AV1336" s="835"/>
      <c r="AW1336" s="835"/>
      <c r="AX1336" s="835"/>
      <c r="AY1336" s="835"/>
      <c r="AZ1336" s="835"/>
      <c r="BA1336" s="835"/>
      <c r="BB1336" s="835"/>
      <c r="BC1336" s="835"/>
      <c r="BD1336" s="835"/>
      <c r="BE1336" s="835"/>
      <c r="BF1336" s="835"/>
      <c r="BG1336" s="835"/>
      <c r="BH1336" s="835"/>
      <c r="BI1336" s="835"/>
      <c r="BJ1336" s="835"/>
      <c r="BK1336" s="835"/>
      <c r="BL1336" s="835"/>
      <c r="BM1336" s="835"/>
      <c r="BN1336" s="835"/>
      <c r="BO1336" s="835"/>
      <c r="BP1336" s="835"/>
      <c r="BQ1336" s="835"/>
      <c r="BR1336" s="835"/>
      <c r="BS1336" s="835"/>
      <c r="BT1336" s="835"/>
      <c r="BU1336" s="835"/>
      <c r="BV1336" s="835"/>
      <c r="BW1336" s="835"/>
      <c r="BX1336" s="835"/>
      <c r="BY1336" s="835"/>
      <c r="BZ1336" s="835"/>
      <c r="CA1336" s="835"/>
      <c r="CB1336" s="835"/>
      <c r="CC1336" s="835"/>
      <c r="CD1336" s="835"/>
      <c r="CE1336" s="835"/>
      <c r="CF1336" s="835"/>
      <c r="CG1336" s="835"/>
      <c r="CH1336" s="835"/>
      <c r="CI1336" s="835"/>
      <c r="CJ1336" s="835"/>
      <c r="CK1336" s="835"/>
      <c r="CL1336" s="835"/>
      <c r="CM1336" s="835"/>
      <c r="CN1336" s="835"/>
      <c r="CO1336" s="835"/>
      <c r="CP1336" s="835"/>
      <c r="CQ1336" s="835"/>
      <c r="CR1336" s="835"/>
      <c r="CS1336" s="835"/>
      <c r="CT1336" s="835"/>
      <c r="CU1336" s="835"/>
      <c r="CV1336" s="835"/>
      <c r="CW1336" s="835"/>
      <c r="CX1336" s="835"/>
      <c r="CY1336" s="832"/>
      <c r="CZ1336" s="109"/>
      <c r="DA1336" s="835"/>
      <c r="DB1336" s="835"/>
      <c r="DC1336" s="835"/>
      <c r="DD1336" s="835"/>
      <c r="DE1336" s="835"/>
      <c r="DF1336" s="835"/>
      <c r="DG1336" s="835"/>
      <c r="DH1336" s="835"/>
      <c r="DI1336" s="835"/>
      <c r="DJ1336" s="835"/>
      <c r="DK1336" s="835"/>
      <c r="DL1336" s="835"/>
      <c r="DM1336" s="835"/>
      <c r="DN1336" s="835"/>
      <c r="DO1336" s="835"/>
      <c r="DP1336" s="835"/>
      <c r="DQ1336" s="835"/>
      <c r="DR1336" s="835"/>
      <c r="DS1336" s="835"/>
      <c r="DT1336" s="835"/>
      <c r="DU1336" s="835"/>
      <c r="DV1336" s="835"/>
      <c r="DW1336" s="835"/>
      <c r="DX1336" s="835"/>
      <c r="DY1336" s="835"/>
      <c r="DZ1336" s="835"/>
      <c r="EA1336" s="835"/>
      <c r="EB1336" s="835"/>
      <c r="EC1336" s="835"/>
      <c r="ED1336" s="835"/>
      <c r="EE1336" s="835"/>
      <c r="EF1336" s="835"/>
      <c r="EG1336" s="835"/>
      <c r="EH1336" s="835"/>
      <c r="EI1336" s="835"/>
      <c r="EJ1336" s="835"/>
      <c r="EK1336" s="835"/>
      <c r="EL1336" s="835"/>
      <c r="EM1336" s="835"/>
      <c r="EN1336" s="835"/>
      <c r="EO1336" s="835"/>
      <c r="EP1336" s="835"/>
      <c r="EQ1336" s="835"/>
      <c r="ER1336" s="835"/>
      <c r="ES1336" s="835"/>
      <c r="ET1336" s="835"/>
      <c r="EU1336" s="835"/>
      <c r="EV1336" s="835"/>
      <c r="EW1336" s="835"/>
      <c r="EX1336" s="835"/>
      <c r="EY1336" s="835"/>
      <c r="EZ1336" s="835"/>
      <c r="FA1336" s="835"/>
      <c r="FB1336" s="835"/>
      <c r="FC1336" s="835"/>
      <c r="FD1336" s="835"/>
      <c r="FE1336" s="835"/>
      <c r="FF1336" s="835"/>
      <c r="FG1336" s="835"/>
      <c r="FH1336" s="835"/>
      <c r="FI1336" s="835"/>
      <c r="FJ1336" s="835"/>
      <c r="FK1336" s="835"/>
      <c r="FL1336" s="835"/>
      <c r="FM1336" s="835"/>
      <c r="FN1336" s="835"/>
      <c r="FO1336" s="835"/>
      <c r="FP1336" s="835"/>
      <c r="FQ1336" s="835"/>
      <c r="FR1336" s="835"/>
      <c r="FS1336" s="835"/>
      <c r="FT1336" s="835"/>
      <c r="FU1336" s="835"/>
      <c r="FV1336" s="835"/>
      <c r="FW1336" s="835"/>
      <c r="FX1336" s="835"/>
      <c r="FY1336" s="835"/>
      <c r="FZ1336" s="835"/>
      <c r="GA1336" s="835"/>
      <c r="GB1336" s="835"/>
      <c r="GC1336" s="835"/>
      <c r="GD1336" s="835"/>
      <c r="GE1336" s="835"/>
      <c r="GF1336" s="835"/>
      <c r="GG1336" s="835"/>
      <c r="GH1336" s="835"/>
      <c r="GI1336" s="835"/>
      <c r="GJ1336" s="835"/>
      <c r="GK1336" s="835"/>
      <c r="GL1336" s="832"/>
    </row>
    <row r="1337" spans="1:194" s="1" customFormat="1" x14ac:dyDescent="0.25">
      <c r="A1337" s="98" t="s">
        <v>17</v>
      </c>
      <c r="B1337" s="481" t="s">
        <v>1371</v>
      </c>
      <c r="C1337" s="840"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837">
        <f t="shared" ref="G1337:G1342" si="257">SUM(M1337:CY1337)</f>
        <v>476033</v>
      </c>
      <c r="H1337" s="838">
        <f t="shared" ref="H1337:H1342" si="258">SUM(CZ1337:GL1337)</f>
        <v>487591</v>
      </c>
      <c r="I1337" s="837">
        <f t="shared" ref="I1337:I1342" si="259">SUM(AE1337:CY1337)</f>
        <v>376293</v>
      </c>
      <c r="J1337" s="94">
        <f t="shared" ref="J1337:J1342" si="260">SUM(DR1337:GL1337)</f>
        <v>392407</v>
      </c>
      <c r="K1337" s="96">
        <f t="shared" ref="K1337:K1342" si="261">SUM(M1337:AD1337)</f>
        <v>99740</v>
      </c>
      <c r="L1337" s="836">
        <f t="shared" ref="L1337:L1342" si="262">SUM(CZ1337:DQ1337)</f>
        <v>95184</v>
      </c>
      <c r="M1337" s="96">
        <v>4477</v>
      </c>
      <c r="N1337" s="839">
        <v>4861</v>
      </c>
      <c r="O1337" s="839">
        <v>4857</v>
      </c>
      <c r="P1337" s="839">
        <v>5120</v>
      </c>
      <c r="Q1337" s="839">
        <v>5340</v>
      </c>
      <c r="R1337" s="839">
        <v>5267</v>
      </c>
      <c r="S1337" s="839">
        <v>5565</v>
      </c>
      <c r="T1337" s="839">
        <v>5775</v>
      </c>
      <c r="U1337" s="839">
        <v>5677</v>
      </c>
      <c r="V1337" s="839">
        <v>5730</v>
      </c>
      <c r="W1337" s="839">
        <v>6094</v>
      </c>
      <c r="X1337" s="839">
        <v>6096</v>
      </c>
      <c r="Y1337" s="839">
        <v>6110</v>
      </c>
      <c r="Z1337" s="839">
        <v>5915</v>
      </c>
      <c r="AA1337" s="839">
        <v>5725</v>
      </c>
      <c r="AB1337" s="839">
        <v>5890</v>
      </c>
      <c r="AC1337" s="839">
        <v>5713</v>
      </c>
      <c r="AD1337" s="839">
        <v>5528</v>
      </c>
      <c r="AE1337" s="839">
        <v>6099</v>
      </c>
      <c r="AF1337" s="839">
        <v>6876</v>
      </c>
      <c r="AG1337" s="839">
        <v>6388</v>
      </c>
      <c r="AH1337" s="839">
        <v>5685</v>
      </c>
      <c r="AI1337" s="839">
        <v>5937</v>
      </c>
      <c r="AJ1337" s="839">
        <v>5922</v>
      </c>
      <c r="AK1337" s="839">
        <v>5776</v>
      </c>
      <c r="AL1337" s="839">
        <v>5647</v>
      </c>
      <c r="AM1337" s="839">
        <v>5858</v>
      </c>
      <c r="AN1337" s="839">
        <v>5531</v>
      </c>
      <c r="AO1337" s="839">
        <v>5733</v>
      </c>
      <c r="AP1337" s="839">
        <v>5627</v>
      </c>
      <c r="AQ1337" s="839">
        <v>5850</v>
      </c>
      <c r="AR1337" s="839">
        <v>5943</v>
      </c>
      <c r="AS1337" s="839">
        <v>6114</v>
      </c>
      <c r="AT1337" s="839">
        <v>6094</v>
      </c>
      <c r="AU1337" s="839">
        <v>6151</v>
      </c>
      <c r="AV1337" s="839">
        <v>6309</v>
      </c>
      <c r="AW1337" s="839">
        <v>6114</v>
      </c>
      <c r="AX1337" s="839">
        <v>6027</v>
      </c>
      <c r="AY1337" s="839">
        <v>6282</v>
      </c>
      <c r="AZ1337" s="839">
        <v>5922</v>
      </c>
      <c r="BA1337" s="839">
        <v>5871</v>
      </c>
      <c r="BB1337" s="839">
        <v>5951</v>
      </c>
      <c r="BC1337" s="839">
        <v>6020</v>
      </c>
      <c r="BD1337" s="839">
        <v>6187</v>
      </c>
      <c r="BE1337" s="839">
        <v>5775</v>
      </c>
      <c r="BF1337" s="839">
        <v>5379</v>
      </c>
      <c r="BG1337" s="839">
        <v>5331</v>
      </c>
      <c r="BH1337" s="839">
        <v>5709</v>
      </c>
      <c r="BI1337" s="839">
        <v>5799</v>
      </c>
      <c r="BJ1337" s="839">
        <v>6184</v>
      </c>
      <c r="BK1337" s="839">
        <v>6388</v>
      </c>
      <c r="BL1337" s="839">
        <v>6475</v>
      </c>
      <c r="BM1337" s="839">
        <v>6677</v>
      </c>
      <c r="BN1337" s="839">
        <v>6361</v>
      </c>
      <c r="BO1337" s="839">
        <v>6577</v>
      </c>
      <c r="BP1337" s="839">
        <v>6657</v>
      </c>
      <c r="BQ1337" s="839">
        <v>6748</v>
      </c>
      <c r="BR1337" s="839">
        <v>6835</v>
      </c>
      <c r="BS1337" s="839">
        <v>6717</v>
      </c>
      <c r="BT1337" s="839">
        <v>6662</v>
      </c>
      <c r="BU1337" s="839">
        <v>6554</v>
      </c>
      <c r="BV1337" s="839">
        <v>6364</v>
      </c>
      <c r="BW1337" s="839">
        <v>6190</v>
      </c>
      <c r="BX1337" s="839">
        <v>5814</v>
      </c>
      <c r="BY1337" s="839">
        <v>5478</v>
      </c>
      <c r="BZ1337" s="839">
        <v>5333</v>
      </c>
      <c r="CA1337" s="839">
        <v>5004</v>
      </c>
      <c r="CB1337" s="839">
        <v>4899</v>
      </c>
      <c r="CC1337" s="839">
        <v>4757</v>
      </c>
      <c r="CD1337" s="839">
        <v>4569</v>
      </c>
      <c r="CE1337" s="839">
        <v>4595</v>
      </c>
      <c r="CF1337" s="839">
        <v>4335</v>
      </c>
      <c r="CG1337" s="839">
        <v>4322</v>
      </c>
      <c r="CH1337" s="839">
        <v>4349</v>
      </c>
      <c r="CI1337" s="839">
        <v>4541</v>
      </c>
      <c r="CJ1337" s="839">
        <v>4699</v>
      </c>
      <c r="CK1337" s="839">
        <v>5003</v>
      </c>
      <c r="CL1337" s="839">
        <v>3836</v>
      </c>
      <c r="CM1337" s="839">
        <v>3450</v>
      </c>
      <c r="CN1337" s="839">
        <v>3356</v>
      </c>
      <c r="CO1337" s="839">
        <v>3094</v>
      </c>
      <c r="CP1337" s="839">
        <v>2626</v>
      </c>
      <c r="CQ1337" s="839">
        <v>2189</v>
      </c>
      <c r="CR1337" s="839">
        <v>2168</v>
      </c>
      <c r="CS1337" s="839">
        <v>2017</v>
      </c>
      <c r="CT1337" s="839">
        <v>1851</v>
      </c>
      <c r="CU1337" s="839">
        <v>1674</v>
      </c>
      <c r="CV1337" s="839">
        <v>1396</v>
      </c>
      <c r="CW1337" s="839">
        <v>1198</v>
      </c>
      <c r="CX1337" s="839">
        <v>1036</v>
      </c>
      <c r="CY1337" s="836">
        <v>3408</v>
      </c>
      <c r="CZ1337" s="96">
        <v>4214</v>
      </c>
      <c r="DA1337" s="839">
        <v>4718</v>
      </c>
      <c r="DB1337" s="839">
        <v>4671</v>
      </c>
      <c r="DC1337" s="839">
        <v>4862</v>
      </c>
      <c r="DD1337" s="839">
        <v>5065</v>
      </c>
      <c r="DE1337" s="839">
        <v>5169</v>
      </c>
      <c r="DF1337" s="839">
        <v>5321</v>
      </c>
      <c r="DG1337" s="839">
        <v>5425</v>
      </c>
      <c r="DH1337" s="839">
        <v>5397</v>
      </c>
      <c r="DI1337" s="839">
        <v>5522</v>
      </c>
      <c r="DJ1337" s="839">
        <v>5473</v>
      </c>
      <c r="DK1337" s="839">
        <v>5801</v>
      </c>
      <c r="DL1337" s="839">
        <v>5680</v>
      </c>
      <c r="DM1337" s="839">
        <v>5657</v>
      </c>
      <c r="DN1337" s="839">
        <v>5637</v>
      </c>
      <c r="DO1337" s="839">
        <v>5871</v>
      </c>
      <c r="DP1337" s="839">
        <v>5372</v>
      </c>
      <c r="DQ1337" s="839">
        <v>5329</v>
      </c>
      <c r="DR1337" s="839">
        <v>5521</v>
      </c>
      <c r="DS1337" s="839">
        <v>5756</v>
      </c>
      <c r="DT1337" s="839">
        <v>5196</v>
      </c>
      <c r="DU1337" s="839">
        <v>4940</v>
      </c>
      <c r="DV1337" s="839">
        <v>5387</v>
      </c>
      <c r="DW1337" s="839">
        <v>5054</v>
      </c>
      <c r="DX1337" s="839">
        <v>5175</v>
      </c>
      <c r="DY1337" s="839">
        <v>5324</v>
      </c>
      <c r="DZ1337" s="839">
        <v>5222</v>
      </c>
      <c r="EA1337" s="839">
        <v>5316</v>
      </c>
      <c r="EB1337" s="839">
        <v>5654</v>
      </c>
      <c r="EC1337" s="839">
        <v>5910</v>
      </c>
      <c r="ED1337" s="839">
        <v>5863</v>
      </c>
      <c r="EE1337" s="839">
        <v>6294</v>
      </c>
      <c r="EF1337" s="839">
        <v>6329</v>
      </c>
      <c r="EG1337" s="839">
        <v>6430</v>
      </c>
      <c r="EH1337" s="839">
        <v>6305</v>
      </c>
      <c r="EI1337" s="839">
        <v>6754</v>
      </c>
      <c r="EJ1337" s="839">
        <v>6280</v>
      </c>
      <c r="EK1337" s="839">
        <v>6342</v>
      </c>
      <c r="EL1337" s="839">
        <v>6424</v>
      </c>
      <c r="EM1337" s="839">
        <v>5995</v>
      </c>
      <c r="EN1337" s="839">
        <v>6316</v>
      </c>
      <c r="EO1337" s="839">
        <v>6191</v>
      </c>
      <c r="EP1337" s="839">
        <v>6133</v>
      </c>
      <c r="EQ1337" s="839">
        <v>6099</v>
      </c>
      <c r="ER1337" s="839">
        <v>6038</v>
      </c>
      <c r="ES1337" s="839">
        <v>5723</v>
      </c>
      <c r="ET1337" s="839">
        <v>5676</v>
      </c>
      <c r="EU1337" s="839">
        <v>5725</v>
      </c>
      <c r="EV1337" s="839">
        <v>6188</v>
      </c>
      <c r="EW1337" s="839">
        <v>6328</v>
      </c>
      <c r="EX1337" s="839">
        <v>6666</v>
      </c>
      <c r="EY1337" s="839">
        <v>6467</v>
      </c>
      <c r="EZ1337" s="839">
        <v>6831</v>
      </c>
      <c r="FA1337" s="839">
        <v>6705</v>
      </c>
      <c r="FB1337" s="839">
        <v>6802</v>
      </c>
      <c r="FC1337" s="839">
        <v>7051</v>
      </c>
      <c r="FD1337" s="839">
        <v>7034</v>
      </c>
      <c r="FE1337" s="839">
        <v>6862</v>
      </c>
      <c r="FF1337" s="839">
        <v>7004</v>
      </c>
      <c r="FG1337" s="839">
        <v>6690</v>
      </c>
      <c r="FH1337" s="839">
        <v>6647</v>
      </c>
      <c r="FI1337" s="839">
        <v>6662</v>
      </c>
      <c r="FJ1337" s="839">
        <v>6120</v>
      </c>
      <c r="FK1337" s="839">
        <v>5959</v>
      </c>
      <c r="FL1337" s="839">
        <v>5778</v>
      </c>
      <c r="FM1337" s="839">
        <v>5562</v>
      </c>
      <c r="FN1337" s="839">
        <v>5369</v>
      </c>
      <c r="FO1337" s="839">
        <v>5178</v>
      </c>
      <c r="FP1337" s="839">
        <v>5029</v>
      </c>
      <c r="FQ1337" s="839">
        <v>5175</v>
      </c>
      <c r="FR1337" s="839">
        <v>4921</v>
      </c>
      <c r="FS1337" s="839">
        <v>4769</v>
      </c>
      <c r="FT1337" s="839">
        <v>4774</v>
      </c>
      <c r="FU1337" s="839">
        <v>4911</v>
      </c>
      <c r="FV1337" s="839">
        <v>5048</v>
      </c>
      <c r="FW1337" s="839">
        <v>5069</v>
      </c>
      <c r="FX1337" s="839">
        <v>5634</v>
      </c>
      <c r="FY1337" s="839">
        <v>4367</v>
      </c>
      <c r="FZ1337" s="839">
        <v>4146</v>
      </c>
      <c r="GA1337" s="839">
        <v>3937</v>
      </c>
      <c r="GB1337" s="839">
        <v>3626</v>
      </c>
      <c r="GC1337" s="839">
        <v>3111</v>
      </c>
      <c r="GD1337" s="839">
        <v>2748</v>
      </c>
      <c r="GE1337" s="839">
        <v>2778</v>
      </c>
      <c r="GF1337" s="839">
        <v>2638</v>
      </c>
      <c r="GG1337" s="839">
        <v>2379</v>
      </c>
      <c r="GH1337" s="839">
        <v>2175</v>
      </c>
      <c r="GI1337" s="839">
        <v>2016</v>
      </c>
      <c r="GJ1337" s="839">
        <v>1754</v>
      </c>
      <c r="GK1337" s="839">
        <v>1482</v>
      </c>
      <c r="GL1337" s="836">
        <v>6645</v>
      </c>
    </row>
    <row r="1338" spans="1:194" s="1" customFormat="1" x14ac:dyDescent="0.25">
      <c r="A1338" s="100" t="s">
        <v>17</v>
      </c>
      <c r="B1338" s="482" t="s">
        <v>1372</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482" t="s">
        <v>1373</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482" t="s">
        <v>1374</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5">
      <c r="A1341" s="100" t="s">
        <v>17</v>
      </c>
      <c r="B1341" s="482" t="s">
        <v>1375</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5">
      <c r="A1342" s="100" t="s">
        <v>17</v>
      </c>
      <c r="B1342" s="482" t="s">
        <v>1376</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5">
      <c r="A1343" s="100" t="s">
        <v>17</v>
      </c>
      <c r="B1343" s="482" t="s">
        <v>1377</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5">
      <c r="A1344" s="100" t="s">
        <v>17</v>
      </c>
      <c r="B1344" s="482" t="s">
        <v>1378</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5">
      <c r="A1345" s="100" t="s">
        <v>17</v>
      </c>
      <c r="B1345" s="482" t="s">
        <v>1379</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5">
      <c r="A1346" s="100" t="s">
        <v>17</v>
      </c>
      <c r="B1346" s="482" t="s">
        <v>1380</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5">
      <c r="A1347" s="100" t="s">
        <v>17</v>
      </c>
      <c r="B1347" s="482" t="s">
        <v>1381</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5">
      <c r="A1348" s="100" t="s">
        <v>17</v>
      </c>
      <c r="B1348" s="482" t="s">
        <v>1382</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5">
      <c r="A1349" s="100" t="s">
        <v>17</v>
      </c>
      <c r="B1349" s="482" t="s">
        <v>1383</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5">
      <c r="A1350" s="100" t="s">
        <v>17</v>
      </c>
      <c r="B1350" s="482" t="s">
        <v>1384</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5">
      <c r="A1351" s="100" t="s">
        <v>17</v>
      </c>
      <c r="B1351" s="482" t="s">
        <v>1385</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5">
      <c r="A1352" s="100" t="s">
        <v>17</v>
      </c>
      <c r="B1352" s="482" t="s">
        <v>1386</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5">
      <c r="A1353" s="100" t="s">
        <v>17</v>
      </c>
      <c r="B1353" s="482" t="s">
        <v>1387</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5">
      <c r="A1354" s="100" t="s">
        <v>17</v>
      </c>
      <c r="B1354" s="482" t="s">
        <v>1388</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5">
      <c r="A1355" s="100" t="s">
        <v>17</v>
      </c>
      <c r="B1355" s="482" t="s">
        <v>1389</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5">
      <c r="A1356" s="100" t="s">
        <v>17</v>
      </c>
      <c r="B1356" s="482" t="s">
        <v>1390</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5">
      <c r="A1357" s="100" t="s">
        <v>17</v>
      </c>
      <c r="B1357" s="482" t="s">
        <v>1391</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5">
      <c r="A1358" s="100" t="s">
        <v>17</v>
      </c>
      <c r="B1358" s="482" t="s">
        <v>1392</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5">
      <c r="A1359" s="100" t="s">
        <v>17</v>
      </c>
      <c r="B1359" s="482" t="s">
        <v>1393</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5">
      <c r="A1360" s="100" t="s">
        <v>17</v>
      </c>
      <c r="B1360" s="482" t="s">
        <v>1394</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5">
      <c r="A1361" s="100" t="s">
        <v>17</v>
      </c>
      <c r="B1361" s="482" t="s">
        <v>1395</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5">
      <c r="A1362" s="100" t="s">
        <v>17</v>
      </c>
      <c r="B1362" s="482" t="s">
        <v>1396</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5">
      <c r="A1363" s="100" t="s">
        <v>17</v>
      </c>
      <c r="B1363" s="482" t="s">
        <v>1397</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5">
      <c r="A1364" s="100" t="s">
        <v>17</v>
      </c>
      <c r="B1364" s="482" t="s">
        <v>1398</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5">
      <c r="A1365" s="100" t="s">
        <v>17</v>
      </c>
      <c r="B1365" s="482" t="s">
        <v>1399</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5">
      <c r="A1366" s="100" t="s">
        <v>17</v>
      </c>
      <c r="B1366" s="482" t="s">
        <v>1400</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5">
      <c r="A1367" s="100" t="s">
        <v>17</v>
      </c>
      <c r="B1367" s="482" t="s">
        <v>1401</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5">
      <c r="A1368" s="100" t="s">
        <v>17</v>
      </c>
      <c r="B1368" s="482" t="s">
        <v>1402</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5">
      <c r="A1369" s="100" t="s">
        <v>17</v>
      </c>
      <c r="B1369" s="482" t="s">
        <v>1403</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5">
      <c r="A1370" s="100" t="s">
        <v>17</v>
      </c>
      <c r="B1370" s="482" t="s">
        <v>1404</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5">
      <c r="A1371" s="100" t="s">
        <v>17</v>
      </c>
      <c r="B1371" s="482" t="s">
        <v>1405</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5">
      <c r="A1372" s="100" t="s">
        <v>17</v>
      </c>
      <c r="B1372" s="482" t="s">
        <v>1406</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5">
      <c r="A1373" s="100" t="s">
        <v>17</v>
      </c>
      <c r="B1373" s="482" t="s">
        <v>1407</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5">
      <c r="A1374" s="100" t="s">
        <v>17</v>
      </c>
      <c r="B1374" s="482" t="s">
        <v>1408</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482" t="s">
        <v>1409</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482" t="s">
        <v>1410</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482" t="s">
        <v>1411</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482" t="s">
        <v>1412</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483"/>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1413</v>
      </c>
      <c r="C1380" s="68" t="str">
        <f>CONCATENATE(A1380," - ",B1380)</f>
        <v>LA England - Adur</v>
      </c>
      <c r="D1380" s="836">
        <f t="shared" ref="D1380:D1444" si="283">I1380</f>
        <v>24508</v>
      </c>
      <c r="E1380" s="836">
        <f t="shared" ref="E1380:E1444" si="284">J1380</f>
        <v>27095</v>
      </c>
      <c r="F1380" s="837">
        <f t="shared" ref="F1380:F1444" si="285">G1380+H1380</f>
        <v>64687</v>
      </c>
      <c r="G1380" s="837">
        <f t="shared" ref="G1380:G1444" si="286">SUM(M1380:CY1380)</f>
        <v>31332</v>
      </c>
      <c r="H1380" s="838">
        <f t="shared" ref="H1380:H1444" si="287">SUM(CZ1380:GL1380)</f>
        <v>33355</v>
      </c>
      <c r="I1380" s="838">
        <f t="shared" ref="I1380:I1444" si="288">SUM(AE1380:CY1380)</f>
        <v>24508</v>
      </c>
      <c r="J1380" s="838">
        <f t="shared" ref="J1380:J1444" si="289">SUM(DR1380:GL1380)</f>
        <v>27095</v>
      </c>
      <c r="K1380" s="49">
        <f t="shared" ref="K1380:K1444" si="290">SUM(M1380:AD1380)</f>
        <v>6824</v>
      </c>
      <c r="L1380" s="836">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1415</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1416</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1417</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1418</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1419</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1420</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1421</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1422</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1423</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1424</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1425</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1426</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1427</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1428</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1429</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1430</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1431</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1432</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1433</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1434</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1435</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1436</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1437</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1438</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1439</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1440</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1441</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1442</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1443</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1444</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1445</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1446</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1447</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1448</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1449</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1450</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1451</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1452</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1453</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1454</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1455</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1456</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1457</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1458</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1459</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1460</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1461</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1462</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1463</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1464</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1465</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1466</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1467</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1468</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1469</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1470</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1471</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1472</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1473</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1474</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1475</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1476</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1477</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1478</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1479</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1480</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1481</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1482</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1483</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1484</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1485</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1486</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1487</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1488</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1489</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1490</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1491</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1492</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1493</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1494</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1495</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1496</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1497</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1498</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1499</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1500</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1501</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1502</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1503</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1504</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1505</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1506</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1507</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1508</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1509</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1510</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1511</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1512</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1513</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1514</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1515</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1516</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1517</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1518</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1519</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1520</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1521</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1522</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1523</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1524</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1525</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1526</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1527</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1528</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1529</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1530</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1531</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1532</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1533</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1534</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1535</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1536</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1537</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1538</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1539</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1540</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1541</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1542</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1543</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1544</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1545</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1546</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1547</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1548</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1549</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1550</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1551</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1552</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1553</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1554</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1555</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1556</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1557</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1558</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1559</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1560</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1561</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1562</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1563</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1564</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1565</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1566</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1567</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1568</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1569</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1570</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1571</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1572</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1573</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1574</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1575</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1576</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1577</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1578</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1579</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1580</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1581</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1582</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1583</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1584</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1585</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1586</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1587</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1588</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1589</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1590</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1591</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1592</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1593</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1594</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1595</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1596</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1597</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1598</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1599</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1600</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1601</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1602</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1603</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1604</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1605</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1606</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1607</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1608</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1609</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1610</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1611</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1612</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1613</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1614</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1615</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1616</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1617</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1618</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1619</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1620</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1621</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1622</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1623</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1624</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1625</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1626</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1627</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1628</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1629</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1630</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1631</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1632</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1633</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1634</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1635</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1636</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1637</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1638</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1639</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1640</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1641</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1642</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1643</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1644</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1645</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1646</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1647</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1648</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1649</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1650</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1651</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1652</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1653</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1654</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1655</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1656</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1657</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1658</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1659</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1660</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1661</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1662</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1663</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1664</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1665</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1666</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1667</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1668</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1669</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1670</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1671</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1672</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1673</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1674</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1675</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1676</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1677</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1678</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1679</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1680</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1681</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1682</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1683</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1684</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1685</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1686</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1687</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1688</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1689</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1690</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1691</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1692</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1693</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1694</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1695</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1696</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1697</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1698</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1699</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1700</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1701</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1702</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1703</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1704</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1705</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1706</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1707</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1708</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1709</v>
      </c>
      <c r="B1677" s="1" t="s">
        <v>1710</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68">
        <v>336</v>
      </c>
      <c r="N1677" s="468">
        <v>399</v>
      </c>
      <c r="O1677" s="468">
        <v>349</v>
      </c>
      <c r="P1677" s="468">
        <v>382</v>
      </c>
      <c r="Q1677" s="468">
        <v>397</v>
      </c>
      <c r="R1677" s="468">
        <v>382</v>
      </c>
      <c r="S1677" s="468">
        <v>334</v>
      </c>
      <c r="T1677" s="468">
        <v>370</v>
      </c>
      <c r="U1677" s="468">
        <v>382</v>
      </c>
      <c r="V1677" s="468">
        <v>393</v>
      </c>
      <c r="W1677" s="468">
        <v>402</v>
      </c>
      <c r="X1677" s="468">
        <v>376</v>
      </c>
      <c r="Y1677" s="468">
        <v>426</v>
      </c>
      <c r="Z1677" s="468">
        <v>413</v>
      </c>
      <c r="AA1677" s="468">
        <v>438</v>
      </c>
      <c r="AB1677" s="468">
        <v>396</v>
      </c>
      <c r="AC1677" s="468">
        <v>329</v>
      </c>
      <c r="AD1677" s="468">
        <v>345</v>
      </c>
      <c r="AE1677" s="468">
        <v>361</v>
      </c>
      <c r="AF1677" s="468">
        <v>348</v>
      </c>
      <c r="AG1677" s="468">
        <v>313</v>
      </c>
      <c r="AH1677" s="468">
        <v>306</v>
      </c>
      <c r="AI1677" s="468">
        <v>367</v>
      </c>
      <c r="AJ1677" s="468">
        <v>383</v>
      </c>
      <c r="AK1677" s="468">
        <v>374</v>
      </c>
      <c r="AL1677" s="468">
        <v>407</v>
      </c>
      <c r="AM1677" s="468">
        <v>421</v>
      </c>
      <c r="AN1677" s="468">
        <v>360</v>
      </c>
      <c r="AO1677" s="468">
        <v>366</v>
      </c>
      <c r="AP1677" s="468">
        <v>456</v>
      </c>
      <c r="AQ1677" s="468">
        <v>450</v>
      </c>
      <c r="AR1677" s="468">
        <v>476</v>
      </c>
      <c r="AS1677" s="468">
        <v>463</v>
      </c>
      <c r="AT1677" s="468">
        <v>434</v>
      </c>
      <c r="AU1677" s="468">
        <v>482</v>
      </c>
      <c r="AV1677" s="468">
        <v>412</v>
      </c>
      <c r="AW1677" s="468">
        <v>433</v>
      </c>
      <c r="AX1677" s="468">
        <v>442</v>
      </c>
      <c r="AY1677" s="468">
        <v>438</v>
      </c>
      <c r="AZ1677" s="468">
        <v>396</v>
      </c>
      <c r="BA1677" s="468">
        <v>427</v>
      </c>
      <c r="BB1677" s="468">
        <v>360</v>
      </c>
      <c r="BC1677" s="468">
        <v>384</v>
      </c>
      <c r="BD1677" s="468">
        <v>378</v>
      </c>
      <c r="BE1677" s="468">
        <v>366</v>
      </c>
      <c r="BF1677" s="468">
        <v>352</v>
      </c>
      <c r="BG1677" s="468">
        <v>300</v>
      </c>
      <c r="BH1677" s="468">
        <v>338</v>
      </c>
      <c r="BI1677" s="468">
        <v>409</v>
      </c>
      <c r="BJ1677" s="468">
        <v>382</v>
      </c>
      <c r="BK1677" s="468">
        <v>432</v>
      </c>
      <c r="BL1677" s="468">
        <v>488</v>
      </c>
      <c r="BM1677" s="468">
        <v>474</v>
      </c>
      <c r="BN1677" s="468">
        <v>478</v>
      </c>
      <c r="BO1677" s="468">
        <v>516</v>
      </c>
      <c r="BP1677" s="468">
        <v>504</v>
      </c>
      <c r="BQ1677" s="468">
        <v>497</v>
      </c>
      <c r="BR1677" s="468">
        <v>519</v>
      </c>
      <c r="BS1677" s="468">
        <v>526</v>
      </c>
      <c r="BT1677" s="468">
        <v>509</v>
      </c>
      <c r="BU1677" s="468">
        <v>487</v>
      </c>
      <c r="BV1677" s="468">
        <v>492</v>
      </c>
      <c r="BW1677" s="468">
        <v>426</v>
      </c>
      <c r="BX1677" s="468">
        <v>434</v>
      </c>
      <c r="BY1677" s="468">
        <v>423</v>
      </c>
      <c r="BZ1677" s="468">
        <v>361</v>
      </c>
      <c r="CA1677" s="468">
        <v>439</v>
      </c>
      <c r="CB1677" s="468">
        <v>391</v>
      </c>
      <c r="CC1677" s="468">
        <v>372</v>
      </c>
      <c r="CD1677" s="468">
        <v>348</v>
      </c>
      <c r="CE1677" s="468">
        <v>371</v>
      </c>
      <c r="CF1677" s="468">
        <v>333</v>
      </c>
      <c r="CG1677" s="468">
        <v>348</v>
      </c>
      <c r="CH1677" s="468">
        <v>344</v>
      </c>
      <c r="CI1677" s="468">
        <v>346</v>
      </c>
      <c r="CJ1677" s="468">
        <v>334</v>
      </c>
      <c r="CK1677" s="468">
        <v>378</v>
      </c>
      <c r="CL1677" s="468">
        <v>278</v>
      </c>
      <c r="CM1677" s="468">
        <v>249</v>
      </c>
      <c r="CN1677" s="468">
        <v>228</v>
      </c>
      <c r="CO1677" s="468">
        <v>248</v>
      </c>
      <c r="CP1677" s="468">
        <v>192</v>
      </c>
      <c r="CQ1677" s="468">
        <v>169</v>
      </c>
      <c r="CR1677" s="468">
        <v>139</v>
      </c>
      <c r="CS1677" s="468">
        <v>153</v>
      </c>
      <c r="CT1677" s="468">
        <v>108</v>
      </c>
      <c r="CU1677" s="468">
        <v>90</v>
      </c>
      <c r="CV1677" s="468">
        <v>95</v>
      </c>
      <c r="CW1677" s="468">
        <v>75</v>
      </c>
      <c r="CX1677" s="468">
        <v>40</v>
      </c>
      <c r="CY1677" s="468">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1711</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68">
        <v>678</v>
      </c>
      <c r="N1678" s="468">
        <v>735</v>
      </c>
      <c r="O1678" s="468">
        <v>694</v>
      </c>
      <c r="P1678" s="468">
        <v>730</v>
      </c>
      <c r="Q1678" s="468">
        <v>759</v>
      </c>
      <c r="R1678" s="468">
        <v>792</v>
      </c>
      <c r="S1678" s="468">
        <v>821</v>
      </c>
      <c r="T1678" s="468">
        <v>821</v>
      </c>
      <c r="U1678" s="468">
        <v>863</v>
      </c>
      <c r="V1678" s="468">
        <v>873</v>
      </c>
      <c r="W1678" s="468">
        <v>876</v>
      </c>
      <c r="X1678" s="468">
        <v>873</v>
      </c>
      <c r="Y1678" s="468">
        <v>977</v>
      </c>
      <c r="Z1678" s="468">
        <v>892</v>
      </c>
      <c r="AA1678" s="468">
        <v>927</v>
      </c>
      <c r="AB1678" s="468">
        <v>890</v>
      </c>
      <c r="AC1678" s="468">
        <v>873</v>
      </c>
      <c r="AD1678" s="468">
        <v>842</v>
      </c>
      <c r="AE1678" s="468">
        <v>884</v>
      </c>
      <c r="AF1678" s="468">
        <v>708</v>
      </c>
      <c r="AG1678" s="468">
        <v>645</v>
      </c>
      <c r="AH1678" s="468">
        <v>652</v>
      </c>
      <c r="AI1678" s="468">
        <v>698</v>
      </c>
      <c r="AJ1678" s="468">
        <v>769</v>
      </c>
      <c r="AK1678" s="468">
        <v>835</v>
      </c>
      <c r="AL1678" s="468">
        <v>874</v>
      </c>
      <c r="AM1678" s="468">
        <v>965</v>
      </c>
      <c r="AN1678" s="468">
        <v>892</v>
      </c>
      <c r="AO1678" s="468">
        <v>834</v>
      </c>
      <c r="AP1678" s="468">
        <v>965</v>
      </c>
      <c r="AQ1678" s="468">
        <v>852</v>
      </c>
      <c r="AR1678" s="468">
        <v>987</v>
      </c>
      <c r="AS1678" s="468">
        <v>930</v>
      </c>
      <c r="AT1678" s="468">
        <v>976</v>
      </c>
      <c r="AU1678" s="468">
        <v>1027</v>
      </c>
      <c r="AV1678" s="468">
        <v>1005</v>
      </c>
      <c r="AW1678" s="468">
        <v>992</v>
      </c>
      <c r="AX1678" s="468">
        <v>957</v>
      </c>
      <c r="AY1678" s="468">
        <v>959</v>
      </c>
      <c r="AZ1678" s="468">
        <v>877</v>
      </c>
      <c r="BA1678" s="468">
        <v>888</v>
      </c>
      <c r="BB1678" s="468">
        <v>884</v>
      </c>
      <c r="BC1678" s="468">
        <v>931</v>
      </c>
      <c r="BD1678" s="468">
        <v>952</v>
      </c>
      <c r="BE1678" s="468">
        <v>878</v>
      </c>
      <c r="BF1678" s="468">
        <v>811</v>
      </c>
      <c r="BG1678" s="468">
        <v>774</v>
      </c>
      <c r="BH1678" s="468">
        <v>826</v>
      </c>
      <c r="BI1678" s="468">
        <v>824</v>
      </c>
      <c r="BJ1678" s="468">
        <v>896</v>
      </c>
      <c r="BK1678" s="468">
        <v>894</v>
      </c>
      <c r="BL1678" s="468">
        <v>1000</v>
      </c>
      <c r="BM1678" s="468">
        <v>1085</v>
      </c>
      <c r="BN1678" s="468">
        <v>960</v>
      </c>
      <c r="BO1678" s="468">
        <v>1020</v>
      </c>
      <c r="BP1678" s="468">
        <v>1073</v>
      </c>
      <c r="BQ1678" s="468">
        <v>1054</v>
      </c>
      <c r="BR1678" s="468">
        <v>1090</v>
      </c>
      <c r="BS1678" s="468">
        <v>1053</v>
      </c>
      <c r="BT1678" s="468">
        <v>1076</v>
      </c>
      <c r="BU1678" s="468">
        <v>996</v>
      </c>
      <c r="BV1678" s="468">
        <v>1035</v>
      </c>
      <c r="BW1678" s="468">
        <v>973</v>
      </c>
      <c r="BX1678" s="468">
        <v>921</v>
      </c>
      <c r="BY1678" s="468">
        <v>918</v>
      </c>
      <c r="BZ1678" s="468">
        <v>897</v>
      </c>
      <c r="CA1678" s="468">
        <v>829</v>
      </c>
      <c r="CB1678" s="468">
        <v>815</v>
      </c>
      <c r="CC1678" s="468">
        <v>750</v>
      </c>
      <c r="CD1678" s="468">
        <v>727</v>
      </c>
      <c r="CE1678" s="468">
        <v>766</v>
      </c>
      <c r="CF1678" s="468">
        <v>718</v>
      </c>
      <c r="CG1678" s="468">
        <v>762</v>
      </c>
      <c r="CH1678" s="468">
        <v>709</v>
      </c>
      <c r="CI1678" s="468">
        <v>749</v>
      </c>
      <c r="CJ1678" s="468">
        <v>735</v>
      </c>
      <c r="CK1678" s="468">
        <v>786</v>
      </c>
      <c r="CL1678" s="468">
        <v>615</v>
      </c>
      <c r="CM1678" s="468">
        <v>590</v>
      </c>
      <c r="CN1678" s="468">
        <v>566</v>
      </c>
      <c r="CO1678" s="468">
        <v>476</v>
      </c>
      <c r="CP1678" s="468">
        <v>419</v>
      </c>
      <c r="CQ1678" s="468">
        <v>422</v>
      </c>
      <c r="CR1678" s="468">
        <v>337</v>
      </c>
      <c r="CS1678" s="468">
        <v>305</v>
      </c>
      <c r="CT1678" s="468">
        <v>281</v>
      </c>
      <c r="CU1678" s="468">
        <v>231</v>
      </c>
      <c r="CV1678" s="468">
        <v>208</v>
      </c>
      <c r="CW1678" s="468">
        <v>200</v>
      </c>
      <c r="CX1678" s="468">
        <v>138</v>
      </c>
      <c r="CY1678" s="468">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1712</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68">
        <v>868</v>
      </c>
      <c r="N1679" s="468">
        <v>851</v>
      </c>
      <c r="O1679" s="468">
        <v>826</v>
      </c>
      <c r="P1679" s="468">
        <v>910</v>
      </c>
      <c r="Q1679" s="468">
        <v>954</v>
      </c>
      <c r="R1679" s="468">
        <v>1019</v>
      </c>
      <c r="S1679" s="468">
        <v>993</v>
      </c>
      <c r="T1679" s="468">
        <v>1030</v>
      </c>
      <c r="U1679" s="468">
        <v>1081</v>
      </c>
      <c r="V1679" s="468">
        <v>1074</v>
      </c>
      <c r="W1679" s="468">
        <v>1059</v>
      </c>
      <c r="X1679" s="468">
        <v>1089</v>
      </c>
      <c r="Y1679" s="468">
        <v>1091</v>
      </c>
      <c r="Z1679" s="468">
        <v>1150</v>
      </c>
      <c r="AA1679" s="468">
        <v>1135</v>
      </c>
      <c r="AB1679" s="468">
        <v>1140</v>
      </c>
      <c r="AC1679" s="468">
        <v>1045</v>
      </c>
      <c r="AD1679" s="468">
        <v>1023</v>
      </c>
      <c r="AE1679" s="468">
        <v>1015</v>
      </c>
      <c r="AF1679" s="468">
        <v>998</v>
      </c>
      <c r="AG1679" s="468">
        <v>832</v>
      </c>
      <c r="AH1679" s="468">
        <v>814</v>
      </c>
      <c r="AI1679" s="468">
        <v>945</v>
      </c>
      <c r="AJ1679" s="468">
        <v>990</v>
      </c>
      <c r="AK1679" s="468">
        <v>934</v>
      </c>
      <c r="AL1679" s="468">
        <v>911</v>
      </c>
      <c r="AM1679" s="468">
        <v>1132</v>
      </c>
      <c r="AN1679" s="468">
        <v>1016</v>
      </c>
      <c r="AO1679" s="468">
        <v>1027</v>
      </c>
      <c r="AP1679" s="468">
        <v>1031</v>
      </c>
      <c r="AQ1679" s="468">
        <v>1036</v>
      </c>
      <c r="AR1679" s="468">
        <v>1101</v>
      </c>
      <c r="AS1679" s="468">
        <v>1195</v>
      </c>
      <c r="AT1679" s="468">
        <v>1142</v>
      </c>
      <c r="AU1679" s="468">
        <v>1164</v>
      </c>
      <c r="AV1679" s="468">
        <v>1156</v>
      </c>
      <c r="AW1679" s="468">
        <v>1077</v>
      </c>
      <c r="AX1679" s="468">
        <v>1169</v>
      </c>
      <c r="AY1679" s="468">
        <v>1084</v>
      </c>
      <c r="AZ1679" s="468">
        <v>1094</v>
      </c>
      <c r="BA1679" s="468">
        <v>1056</v>
      </c>
      <c r="BB1679" s="468">
        <v>1014</v>
      </c>
      <c r="BC1679" s="468">
        <v>1068</v>
      </c>
      <c r="BD1679" s="468">
        <v>1083</v>
      </c>
      <c r="BE1679" s="468">
        <v>1005</v>
      </c>
      <c r="BF1679" s="468">
        <v>959</v>
      </c>
      <c r="BG1679" s="468">
        <v>992</v>
      </c>
      <c r="BH1679" s="468">
        <v>980</v>
      </c>
      <c r="BI1679" s="468">
        <v>981</v>
      </c>
      <c r="BJ1679" s="468">
        <v>1080</v>
      </c>
      <c r="BK1679" s="468">
        <v>1114</v>
      </c>
      <c r="BL1679" s="468">
        <v>1156</v>
      </c>
      <c r="BM1679" s="468">
        <v>1242</v>
      </c>
      <c r="BN1679" s="468">
        <v>1119</v>
      </c>
      <c r="BO1679" s="468">
        <v>1281</v>
      </c>
      <c r="BP1679" s="468">
        <v>1265</v>
      </c>
      <c r="BQ1679" s="468">
        <v>1199</v>
      </c>
      <c r="BR1679" s="468">
        <v>1256</v>
      </c>
      <c r="BS1679" s="468">
        <v>1267</v>
      </c>
      <c r="BT1679" s="468">
        <v>1254</v>
      </c>
      <c r="BU1679" s="468">
        <v>1261</v>
      </c>
      <c r="BV1679" s="468">
        <v>1173</v>
      </c>
      <c r="BW1679" s="468">
        <v>1128</v>
      </c>
      <c r="BX1679" s="468">
        <v>1099</v>
      </c>
      <c r="BY1679" s="468">
        <v>1047</v>
      </c>
      <c r="BZ1679" s="468">
        <v>1036</v>
      </c>
      <c r="CA1679" s="468">
        <v>1023</v>
      </c>
      <c r="CB1679" s="468">
        <v>907</v>
      </c>
      <c r="CC1679" s="468">
        <v>853</v>
      </c>
      <c r="CD1679" s="468">
        <v>981</v>
      </c>
      <c r="CE1679" s="468">
        <v>926</v>
      </c>
      <c r="CF1679" s="468">
        <v>837</v>
      </c>
      <c r="CG1679" s="468">
        <v>891</v>
      </c>
      <c r="CH1679" s="468">
        <v>914</v>
      </c>
      <c r="CI1679" s="468">
        <v>798</v>
      </c>
      <c r="CJ1679" s="468">
        <v>935</v>
      </c>
      <c r="CK1679" s="468">
        <v>955</v>
      </c>
      <c r="CL1679" s="468">
        <v>710</v>
      </c>
      <c r="CM1679" s="468">
        <v>643</v>
      </c>
      <c r="CN1679" s="468">
        <v>613</v>
      </c>
      <c r="CO1679" s="468">
        <v>541</v>
      </c>
      <c r="CP1679" s="468">
        <v>548</v>
      </c>
      <c r="CQ1679" s="468">
        <v>393</v>
      </c>
      <c r="CR1679" s="468">
        <v>410</v>
      </c>
      <c r="CS1679" s="468">
        <v>361</v>
      </c>
      <c r="CT1679" s="468">
        <v>311</v>
      </c>
      <c r="CU1679" s="468">
        <v>265</v>
      </c>
      <c r="CV1679" s="468">
        <v>230</v>
      </c>
      <c r="CW1679" s="468">
        <v>175</v>
      </c>
      <c r="CX1679" s="468">
        <v>149</v>
      </c>
      <c r="CY1679" s="468">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1713</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68">
        <v>1856</v>
      </c>
      <c r="N1680" s="468">
        <v>1981</v>
      </c>
      <c r="O1680" s="468">
        <v>1941</v>
      </c>
      <c r="P1680" s="468">
        <v>1924</v>
      </c>
      <c r="Q1680" s="468">
        <v>2013</v>
      </c>
      <c r="R1680" s="468">
        <v>2084</v>
      </c>
      <c r="S1680" s="468">
        <v>2131</v>
      </c>
      <c r="T1680" s="468">
        <v>2257</v>
      </c>
      <c r="U1680" s="468">
        <v>2209</v>
      </c>
      <c r="V1680" s="468">
        <v>2249</v>
      </c>
      <c r="W1680" s="468">
        <v>2197</v>
      </c>
      <c r="X1680" s="468">
        <v>2330</v>
      </c>
      <c r="Y1680" s="468">
        <v>2393</v>
      </c>
      <c r="Z1680" s="468">
        <v>2289</v>
      </c>
      <c r="AA1680" s="468">
        <v>2194</v>
      </c>
      <c r="AB1680" s="468">
        <v>2219</v>
      </c>
      <c r="AC1680" s="468">
        <v>2176</v>
      </c>
      <c r="AD1680" s="468">
        <v>2235</v>
      </c>
      <c r="AE1680" s="468">
        <v>2618</v>
      </c>
      <c r="AF1680" s="468">
        <v>4372</v>
      </c>
      <c r="AG1680" s="468">
        <v>4993</v>
      </c>
      <c r="AH1680" s="468">
        <v>5046</v>
      </c>
      <c r="AI1680" s="468">
        <v>4466</v>
      </c>
      <c r="AJ1680" s="468">
        <v>3868</v>
      </c>
      <c r="AK1680" s="468">
        <v>3679</v>
      </c>
      <c r="AL1680" s="468">
        <v>3544</v>
      </c>
      <c r="AM1680" s="468">
        <v>3562</v>
      </c>
      <c r="AN1680" s="468">
        <v>3432</v>
      </c>
      <c r="AO1680" s="468">
        <v>3283</v>
      </c>
      <c r="AP1680" s="468">
        <v>3098</v>
      </c>
      <c r="AQ1680" s="468">
        <v>3028</v>
      </c>
      <c r="AR1680" s="468">
        <v>2908</v>
      </c>
      <c r="AS1680" s="468">
        <v>2962</v>
      </c>
      <c r="AT1680" s="468">
        <v>2878</v>
      </c>
      <c r="AU1680" s="468">
        <v>2611</v>
      </c>
      <c r="AV1680" s="468">
        <v>2747</v>
      </c>
      <c r="AW1680" s="468">
        <v>2688</v>
      </c>
      <c r="AX1680" s="468">
        <v>2713</v>
      </c>
      <c r="AY1680" s="468">
        <v>2504</v>
      </c>
      <c r="AZ1680" s="468">
        <v>2555</v>
      </c>
      <c r="BA1680" s="468">
        <v>2597</v>
      </c>
      <c r="BB1680" s="468">
        <v>2352</v>
      </c>
      <c r="BC1680" s="468">
        <v>2384</v>
      </c>
      <c r="BD1680" s="468">
        <v>2348</v>
      </c>
      <c r="BE1680" s="468">
        <v>2293</v>
      </c>
      <c r="BF1680" s="468">
        <v>2065</v>
      </c>
      <c r="BG1680" s="468">
        <v>2157</v>
      </c>
      <c r="BH1680" s="468">
        <v>2018</v>
      </c>
      <c r="BI1680" s="468">
        <v>2024</v>
      </c>
      <c r="BJ1680" s="468">
        <v>2075</v>
      </c>
      <c r="BK1680" s="468">
        <v>1911</v>
      </c>
      <c r="BL1680" s="468">
        <v>1963</v>
      </c>
      <c r="BM1680" s="468">
        <v>2087</v>
      </c>
      <c r="BN1680" s="468">
        <v>2050</v>
      </c>
      <c r="BO1680" s="468">
        <v>2082</v>
      </c>
      <c r="BP1680" s="468">
        <v>1988</v>
      </c>
      <c r="BQ1680" s="468">
        <v>2060</v>
      </c>
      <c r="BR1680" s="468">
        <v>1882</v>
      </c>
      <c r="BS1680" s="468">
        <v>1987</v>
      </c>
      <c r="BT1680" s="468">
        <v>1923</v>
      </c>
      <c r="BU1680" s="468">
        <v>1878</v>
      </c>
      <c r="BV1680" s="468">
        <v>1984</v>
      </c>
      <c r="BW1680" s="468">
        <v>1780</v>
      </c>
      <c r="BX1680" s="468">
        <v>1797</v>
      </c>
      <c r="BY1680" s="468">
        <v>1770</v>
      </c>
      <c r="BZ1680" s="468">
        <v>1628</v>
      </c>
      <c r="CA1680" s="468">
        <v>1634</v>
      </c>
      <c r="CB1680" s="468">
        <v>1479</v>
      </c>
      <c r="CC1680" s="468">
        <v>1405</v>
      </c>
      <c r="CD1680" s="468">
        <v>1424</v>
      </c>
      <c r="CE1680" s="468">
        <v>1332</v>
      </c>
      <c r="CF1680" s="468">
        <v>1261</v>
      </c>
      <c r="CG1680" s="468">
        <v>1299</v>
      </c>
      <c r="CH1680" s="468">
        <v>1316</v>
      </c>
      <c r="CI1680" s="468">
        <v>1261</v>
      </c>
      <c r="CJ1680" s="468">
        <v>1222</v>
      </c>
      <c r="CK1680" s="468">
        <v>1315</v>
      </c>
      <c r="CL1680" s="468">
        <v>948</v>
      </c>
      <c r="CM1680" s="468">
        <v>898</v>
      </c>
      <c r="CN1680" s="468">
        <v>876</v>
      </c>
      <c r="CO1680" s="468">
        <v>706</v>
      </c>
      <c r="CP1680" s="468">
        <v>637</v>
      </c>
      <c r="CQ1680" s="468">
        <v>577</v>
      </c>
      <c r="CR1680" s="468">
        <v>553</v>
      </c>
      <c r="CS1680" s="468">
        <v>492</v>
      </c>
      <c r="CT1680" s="468">
        <v>451</v>
      </c>
      <c r="CU1680" s="468">
        <v>405</v>
      </c>
      <c r="CV1680" s="468">
        <v>355</v>
      </c>
      <c r="CW1680" s="468">
        <v>306</v>
      </c>
      <c r="CX1680" s="468">
        <v>234</v>
      </c>
      <c r="CY1680" s="468">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1714</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68">
        <v>813</v>
      </c>
      <c r="N1681" s="468">
        <v>875</v>
      </c>
      <c r="O1681" s="468">
        <v>870</v>
      </c>
      <c r="P1681" s="468">
        <v>874</v>
      </c>
      <c r="Q1681" s="468">
        <v>965</v>
      </c>
      <c r="R1681" s="468">
        <v>984</v>
      </c>
      <c r="S1681" s="468">
        <v>1020</v>
      </c>
      <c r="T1681" s="468">
        <v>1090</v>
      </c>
      <c r="U1681" s="468">
        <v>1073</v>
      </c>
      <c r="V1681" s="468">
        <v>1049</v>
      </c>
      <c r="W1681" s="468">
        <v>1095</v>
      </c>
      <c r="X1681" s="468">
        <v>1193</v>
      </c>
      <c r="Y1681" s="468">
        <v>1195</v>
      </c>
      <c r="Z1681" s="468">
        <v>1160</v>
      </c>
      <c r="AA1681" s="468">
        <v>1127</v>
      </c>
      <c r="AB1681" s="468">
        <v>1143</v>
      </c>
      <c r="AC1681" s="468">
        <v>1159</v>
      </c>
      <c r="AD1681" s="468">
        <v>1162</v>
      </c>
      <c r="AE1681" s="468">
        <v>1080</v>
      </c>
      <c r="AF1681" s="468">
        <v>871</v>
      </c>
      <c r="AG1681" s="468">
        <v>868</v>
      </c>
      <c r="AH1681" s="468">
        <v>842</v>
      </c>
      <c r="AI1681" s="468">
        <v>881</v>
      </c>
      <c r="AJ1681" s="468">
        <v>890</v>
      </c>
      <c r="AK1681" s="468">
        <v>925</v>
      </c>
      <c r="AL1681" s="468">
        <v>951</v>
      </c>
      <c r="AM1681" s="468">
        <v>1027</v>
      </c>
      <c r="AN1681" s="468">
        <v>1012</v>
      </c>
      <c r="AO1681" s="468">
        <v>940</v>
      </c>
      <c r="AP1681" s="468">
        <v>998</v>
      </c>
      <c r="AQ1681" s="468">
        <v>980</v>
      </c>
      <c r="AR1681" s="468">
        <v>1008</v>
      </c>
      <c r="AS1681" s="468">
        <v>1055</v>
      </c>
      <c r="AT1681" s="468">
        <v>1088</v>
      </c>
      <c r="AU1681" s="468">
        <v>1044</v>
      </c>
      <c r="AV1681" s="468">
        <v>1134</v>
      </c>
      <c r="AW1681" s="468">
        <v>1071</v>
      </c>
      <c r="AX1681" s="468">
        <v>1049</v>
      </c>
      <c r="AY1681" s="468">
        <v>1012</v>
      </c>
      <c r="AZ1681" s="468">
        <v>1042</v>
      </c>
      <c r="BA1681" s="468">
        <v>1020</v>
      </c>
      <c r="BB1681" s="468">
        <v>1028</v>
      </c>
      <c r="BC1681" s="468">
        <v>1069</v>
      </c>
      <c r="BD1681" s="468">
        <v>1059</v>
      </c>
      <c r="BE1681" s="468">
        <v>1009</v>
      </c>
      <c r="BF1681" s="468">
        <v>928</v>
      </c>
      <c r="BG1681" s="468">
        <v>925</v>
      </c>
      <c r="BH1681" s="468">
        <v>1017</v>
      </c>
      <c r="BI1681" s="468">
        <v>1045</v>
      </c>
      <c r="BJ1681" s="468">
        <v>1084</v>
      </c>
      <c r="BK1681" s="468">
        <v>1138</v>
      </c>
      <c r="BL1681" s="468">
        <v>1215</v>
      </c>
      <c r="BM1681" s="468">
        <v>1302</v>
      </c>
      <c r="BN1681" s="468">
        <v>1248</v>
      </c>
      <c r="BO1681" s="468">
        <v>1240</v>
      </c>
      <c r="BP1681" s="468">
        <v>1273</v>
      </c>
      <c r="BQ1681" s="468">
        <v>1377</v>
      </c>
      <c r="BR1681" s="468">
        <v>1389</v>
      </c>
      <c r="BS1681" s="468">
        <v>1431</v>
      </c>
      <c r="BT1681" s="468">
        <v>1476</v>
      </c>
      <c r="BU1681" s="468">
        <v>1334</v>
      </c>
      <c r="BV1681" s="468">
        <v>1428</v>
      </c>
      <c r="BW1681" s="468">
        <v>1363</v>
      </c>
      <c r="BX1681" s="468">
        <v>1341</v>
      </c>
      <c r="BY1681" s="468">
        <v>1270</v>
      </c>
      <c r="BZ1681" s="468">
        <v>1293</v>
      </c>
      <c r="CA1681" s="468">
        <v>1258</v>
      </c>
      <c r="CB1681" s="468">
        <v>1171</v>
      </c>
      <c r="CC1681" s="468">
        <v>1265</v>
      </c>
      <c r="CD1681" s="468">
        <v>1215</v>
      </c>
      <c r="CE1681" s="468">
        <v>1179</v>
      </c>
      <c r="CF1681" s="468">
        <v>1140</v>
      </c>
      <c r="CG1681" s="468">
        <v>1091</v>
      </c>
      <c r="CH1681" s="468">
        <v>1125</v>
      </c>
      <c r="CI1681" s="468">
        <v>1143</v>
      </c>
      <c r="CJ1681" s="468">
        <v>1158</v>
      </c>
      <c r="CK1681" s="468">
        <v>1139</v>
      </c>
      <c r="CL1681" s="468">
        <v>969</v>
      </c>
      <c r="CM1681" s="468">
        <v>884</v>
      </c>
      <c r="CN1681" s="468">
        <v>813</v>
      </c>
      <c r="CO1681" s="468">
        <v>736</v>
      </c>
      <c r="CP1681" s="468">
        <v>695</v>
      </c>
      <c r="CQ1681" s="468">
        <v>569</v>
      </c>
      <c r="CR1681" s="468">
        <v>515</v>
      </c>
      <c r="CS1681" s="468">
        <v>476</v>
      </c>
      <c r="CT1681" s="468">
        <v>405</v>
      </c>
      <c r="CU1681" s="468">
        <v>407</v>
      </c>
      <c r="CV1681" s="468">
        <v>308</v>
      </c>
      <c r="CW1681" s="468">
        <v>277</v>
      </c>
      <c r="CX1681" s="468">
        <v>234</v>
      </c>
      <c r="CY1681" s="468">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1715</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68">
        <v>259</v>
      </c>
      <c r="N1682" s="468">
        <v>275</v>
      </c>
      <c r="O1682" s="468">
        <v>247</v>
      </c>
      <c r="P1682" s="468">
        <v>281</v>
      </c>
      <c r="Q1682" s="468">
        <v>292</v>
      </c>
      <c r="R1682" s="468">
        <v>288</v>
      </c>
      <c r="S1682" s="468">
        <v>308</v>
      </c>
      <c r="T1682" s="468">
        <v>347</v>
      </c>
      <c r="U1682" s="468">
        <v>314</v>
      </c>
      <c r="V1682" s="468">
        <v>312</v>
      </c>
      <c r="W1682" s="468">
        <v>369</v>
      </c>
      <c r="X1682" s="468">
        <v>366</v>
      </c>
      <c r="Y1682" s="468">
        <v>382</v>
      </c>
      <c r="Z1682" s="468">
        <v>357</v>
      </c>
      <c r="AA1682" s="468">
        <v>331</v>
      </c>
      <c r="AB1682" s="468">
        <v>335</v>
      </c>
      <c r="AC1682" s="468">
        <v>346</v>
      </c>
      <c r="AD1682" s="468">
        <v>372</v>
      </c>
      <c r="AE1682" s="468">
        <v>487</v>
      </c>
      <c r="AF1682" s="468">
        <v>987</v>
      </c>
      <c r="AG1682" s="468">
        <v>1016</v>
      </c>
      <c r="AH1682" s="468">
        <v>855</v>
      </c>
      <c r="AI1682" s="468">
        <v>757</v>
      </c>
      <c r="AJ1682" s="468">
        <v>576</v>
      </c>
      <c r="AK1682" s="468">
        <v>509</v>
      </c>
      <c r="AL1682" s="468">
        <v>407</v>
      </c>
      <c r="AM1682" s="468">
        <v>332</v>
      </c>
      <c r="AN1682" s="468">
        <v>338</v>
      </c>
      <c r="AO1682" s="468">
        <v>349</v>
      </c>
      <c r="AP1682" s="468">
        <v>360</v>
      </c>
      <c r="AQ1682" s="468">
        <v>311</v>
      </c>
      <c r="AR1682" s="468">
        <v>358</v>
      </c>
      <c r="AS1682" s="468">
        <v>364</v>
      </c>
      <c r="AT1682" s="468">
        <v>347</v>
      </c>
      <c r="AU1682" s="468">
        <v>351</v>
      </c>
      <c r="AV1682" s="468">
        <v>367</v>
      </c>
      <c r="AW1682" s="468">
        <v>326</v>
      </c>
      <c r="AX1682" s="468">
        <v>306</v>
      </c>
      <c r="AY1682" s="468">
        <v>324</v>
      </c>
      <c r="AZ1682" s="468">
        <v>304</v>
      </c>
      <c r="BA1682" s="468">
        <v>337</v>
      </c>
      <c r="BB1682" s="468">
        <v>365</v>
      </c>
      <c r="BC1682" s="468">
        <v>344</v>
      </c>
      <c r="BD1682" s="468">
        <v>319</v>
      </c>
      <c r="BE1682" s="468">
        <v>319</v>
      </c>
      <c r="BF1682" s="468">
        <v>275</v>
      </c>
      <c r="BG1682" s="468">
        <v>308</v>
      </c>
      <c r="BH1682" s="468">
        <v>348</v>
      </c>
      <c r="BI1682" s="468">
        <v>359</v>
      </c>
      <c r="BJ1682" s="468">
        <v>358</v>
      </c>
      <c r="BK1682" s="468">
        <v>350</v>
      </c>
      <c r="BL1682" s="468">
        <v>407</v>
      </c>
      <c r="BM1682" s="468">
        <v>444</v>
      </c>
      <c r="BN1682" s="468">
        <v>443</v>
      </c>
      <c r="BO1682" s="468">
        <v>507</v>
      </c>
      <c r="BP1682" s="468">
        <v>487</v>
      </c>
      <c r="BQ1682" s="468">
        <v>523</v>
      </c>
      <c r="BR1682" s="468">
        <v>523</v>
      </c>
      <c r="BS1682" s="468">
        <v>497</v>
      </c>
      <c r="BT1682" s="468">
        <v>551</v>
      </c>
      <c r="BU1682" s="468">
        <v>557</v>
      </c>
      <c r="BV1682" s="468">
        <v>547</v>
      </c>
      <c r="BW1682" s="468">
        <v>531</v>
      </c>
      <c r="BX1682" s="468">
        <v>504</v>
      </c>
      <c r="BY1682" s="468">
        <v>519</v>
      </c>
      <c r="BZ1682" s="468">
        <v>519</v>
      </c>
      <c r="CA1682" s="468">
        <v>491</v>
      </c>
      <c r="CB1682" s="468">
        <v>513</v>
      </c>
      <c r="CC1682" s="468">
        <v>480</v>
      </c>
      <c r="CD1682" s="468">
        <v>477</v>
      </c>
      <c r="CE1682" s="468">
        <v>452</v>
      </c>
      <c r="CF1682" s="468">
        <v>473</v>
      </c>
      <c r="CG1682" s="468">
        <v>434</v>
      </c>
      <c r="CH1682" s="468">
        <v>460</v>
      </c>
      <c r="CI1682" s="468">
        <v>492</v>
      </c>
      <c r="CJ1682" s="468">
        <v>510</v>
      </c>
      <c r="CK1682" s="468">
        <v>479</v>
      </c>
      <c r="CL1682" s="468">
        <v>356</v>
      </c>
      <c r="CM1682" s="468">
        <v>364</v>
      </c>
      <c r="CN1682" s="468">
        <v>341</v>
      </c>
      <c r="CO1682" s="468">
        <v>332</v>
      </c>
      <c r="CP1682" s="468">
        <v>269</v>
      </c>
      <c r="CQ1682" s="468">
        <v>203</v>
      </c>
      <c r="CR1682" s="468">
        <v>233</v>
      </c>
      <c r="CS1682" s="468">
        <v>180</v>
      </c>
      <c r="CT1682" s="468">
        <v>172</v>
      </c>
      <c r="CU1682" s="468">
        <v>148</v>
      </c>
      <c r="CV1682" s="468">
        <v>118</v>
      </c>
      <c r="CW1682" s="468">
        <v>108</v>
      </c>
      <c r="CX1682" s="468">
        <v>91</v>
      </c>
      <c r="CY1682" s="468">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1716</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68">
        <v>461</v>
      </c>
      <c r="N1683" s="468">
        <v>495</v>
      </c>
      <c r="O1683" s="468">
        <v>470</v>
      </c>
      <c r="P1683" s="468">
        <v>532</v>
      </c>
      <c r="Q1683" s="468">
        <v>535</v>
      </c>
      <c r="R1683" s="468">
        <v>561</v>
      </c>
      <c r="S1683" s="468">
        <v>542</v>
      </c>
      <c r="T1683" s="468">
        <v>575</v>
      </c>
      <c r="U1683" s="468">
        <v>612</v>
      </c>
      <c r="V1683" s="468">
        <v>596</v>
      </c>
      <c r="W1683" s="468">
        <v>620</v>
      </c>
      <c r="X1683" s="468">
        <v>614</v>
      </c>
      <c r="Y1683" s="468">
        <v>704</v>
      </c>
      <c r="Z1683" s="468">
        <v>632</v>
      </c>
      <c r="AA1683" s="468">
        <v>632</v>
      </c>
      <c r="AB1683" s="468">
        <v>607</v>
      </c>
      <c r="AC1683" s="468">
        <v>643</v>
      </c>
      <c r="AD1683" s="468">
        <v>622</v>
      </c>
      <c r="AE1683" s="468">
        <v>611</v>
      </c>
      <c r="AF1683" s="468">
        <v>476</v>
      </c>
      <c r="AG1683" s="468">
        <v>402</v>
      </c>
      <c r="AH1683" s="468">
        <v>411</v>
      </c>
      <c r="AI1683" s="468">
        <v>460</v>
      </c>
      <c r="AJ1683" s="468">
        <v>540</v>
      </c>
      <c r="AK1683" s="468">
        <v>534</v>
      </c>
      <c r="AL1683" s="468">
        <v>614</v>
      </c>
      <c r="AM1683" s="468">
        <v>583</v>
      </c>
      <c r="AN1683" s="468">
        <v>477</v>
      </c>
      <c r="AO1683" s="468">
        <v>568</v>
      </c>
      <c r="AP1683" s="468">
        <v>536</v>
      </c>
      <c r="AQ1683" s="468">
        <v>539</v>
      </c>
      <c r="AR1683" s="468">
        <v>585</v>
      </c>
      <c r="AS1683" s="468">
        <v>621</v>
      </c>
      <c r="AT1683" s="468">
        <v>565</v>
      </c>
      <c r="AU1683" s="468">
        <v>617</v>
      </c>
      <c r="AV1683" s="468">
        <v>578</v>
      </c>
      <c r="AW1683" s="468">
        <v>604</v>
      </c>
      <c r="AX1683" s="468">
        <v>542</v>
      </c>
      <c r="AY1683" s="468">
        <v>582</v>
      </c>
      <c r="AZ1683" s="468">
        <v>560</v>
      </c>
      <c r="BA1683" s="468">
        <v>536</v>
      </c>
      <c r="BB1683" s="468">
        <v>554</v>
      </c>
      <c r="BC1683" s="468">
        <v>611</v>
      </c>
      <c r="BD1683" s="468">
        <v>635</v>
      </c>
      <c r="BE1683" s="468">
        <v>572</v>
      </c>
      <c r="BF1683" s="468">
        <v>480</v>
      </c>
      <c r="BG1683" s="468">
        <v>557</v>
      </c>
      <c r="BH1683" s="468">
        <v>553</v>
      </c>
      <c r="BI1683" s="468">
        <v>568</v>
      </c>
      <c r="BJ1683" s="468">
        <v>609</v>
      </c>
      <c r="BK1683" s="468">
        <v>686</v>
      </c>
      <c r="BL1683" s="468">
        <v>796</v>
      </c>
      <c r="BM1683" s="468">
        <v>785</v>
      </c>
      <c r="BN1683" s="468">
        <v>751</v>
      </c>
      <c r="BO1683" s="468">
        <v>815</v>
      </c>
      <c r="BP1683" s="468">
        <v>781</v>
      </c>
      <c r="BQ1683" s="468">
        <v>835</v>
      </c>
      <c r="BR1683" s="468">
        <v>891</v>
      </c>
      <c r="BS1683" s="468">
        <v>894</v>
      </c>
      <c r="BT1683" s="468">
        <v>874</v>
      </c>
      <c r="BU1683" s="468">
        <v>890</v>
      </c>
      <c r="BV1683" s="468">
        <v>891</v>
      </c>
      <c r="BW1683" s="468">
        <v>898</v>
      </c>
      <c r="BX1683" s="468">
        <v>890</v>
      </c>
      <c r="BY1683" s="468">
        <v>826</v>
      </c>
      <c r="BZ1683" s="468">
        <v>798</v>
      </c>
      <c r="CA1683" s="468">
        <v>792</v>
      </c>
      <c r="CB1683" s="468">
        <v>749</v>
      </c>
      <c r="CC1683" s="468">
        <v>712</v>
      </c>
      <c r="CD1683" s="468">
        <v>775</v>
      </c>
      <c r="CE1683" s="468">
        <v>742</v>
      </c>
      <c r="CF1683" s="468">
        <v>726</v>
      </c>
      <c r="CG1683" s="468">
        <v>759</v>
      </c>
      <c r="CH1683" s="468">
        <v>718</v>
      </c>
      <c r="CI1683" s="468">
        <v>807</v>
      </c>
      <c r="CJ1683" s="468">
        <v>844</v>
      </c>
      <c r="CK1683" s="468">
        <v>825</v>
      </c>
      <c r="CL1683" s="468">
        <v>658</v>
      </c>
      <c r="CM1683" s="468">
        <v>602</v>
      </c>
      <c r="CN1683" s="468">
        <v>563</v>
      </c>
      <c r="CO1683" s="468">
        <v>509</v>
      </c>
      <c r="CP1683" s="468">
        <v>456</v>
      </c>
      <c r="CQ1683" s="468">
        <v>381</v>
      </c>
      <c r="CR1683" s="468">
        <v>343</v>
      </c>
      <c r="CS1683" s="468">
        <v>344</v>
      </c>
      <c r="CT1683" s="468">
        <v>264</v>
      </c>
      <c r="CU1683" s="468">
        <v>245</v>
      </c>
      <c r="CV1683" s="468">
        <v>228</v>
      </c>
      <c r="CW1683" s="468">
        <v>226</v>
      </c>
      <c r="CX1683" s="468">
        <v>166</v>
      </c>
      <c r="CY1683" s="468">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1717</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68">
        <v>401</v>
      </c>
      <c r="N1684" s="468">
        <v>464</v>
      </c>
      <c r="O1684" s="468">
        <v>512</v>
      </c>
      <c r="P1684" s="468">
        <v>526</v>
      </c>
      <c r="Q1684" s="468">
        <v>494</v>
      </c>
      <c r="R1684" s="468">
        <v>503</v>
      </c>
      <c r="S1684" s="468">
        <v>548</v>
      </c>
      <c r="T1684" s="468">
        <v>535</v>
      </c>
      <c r="U1684" s="468">
        <v>564</v>
      </c>
      <c r="V1684" s="468">
        <v>534</v>
      </c>
      <c r="W1684" s="468">
        <v>578</v>
      </c>
      <c r="X1684" s="468">
        <v>560</v>
      </c>
      <c r="Y1684" s="468">
        <v>600</v>
      </c>
      <c r="Z1684" s="468">
        <v>625</v>
      </c>
      <c r="AA1684" s="468">
        <v>616</v>
      </c>
      <c r="AB1684" s="468">
        <v>624</v>
      </c>
      <c r="AC1684" s="468">
        <v>599</v>
      </c>
      <c r="AD1684" s="468">
        <v>600</v>
      </c>
      <c r="AE1684" s="468">
        <v>622</v>
      </c>
      <c r="AF1684" s="468">
        <v>448</v>
      </c>
      <c r="AG1684" s="468">
        <v>447</v>
      </c>
      <c r="AH1684" s="468">
        <v>401</v>
      </c>
      <c r="AI1684" s="468">
        <v>463</v>
      </c>
      <c r="AJ1684" s="468">
        <v>442</v>
      </c>
      <c r="AK1684" s="468">
        <v>460</v>
      </c>
      <c r="AL1684" s="468">
        <v>490</v>
      </c>
      <c r="AM1684" s="468">
        <v>505</v>
      </c>
      <c r="AN1684" s="468">
        <v>514</v>
      </c>
      <c r="AO1684" s="468">
        <v>484</v>
      </c>
      <c r="AP1684" s="468">
        <v>524</v>
      </c>
      <c r="AQ1684" s="468">
        <v>480</v>
      </c>
      <c r="AR1684" s="468">
        <v>514</v>
      </c>
      <c r="AS1684" s="468">
        <v>537</v>
      </c>
      <c r="AT1684" s="468">
        <v>539</v>
      </c>
      <c r="AU1684" s="468">
        <v>492</v>
      </c>
      <c r="AV1684" s="468">
        <v>534</v>
      </c>
      <c r="AW1684" s="468">
        <v>529</v>
      </c>
      <c r="AX1684" s="468">
        <v>505</v>
      </c>
      <c r="AY1684" s="468">
        <v>491</v>
      </c>
      <c r="AZ1684" s="468">
        <v>520</v>
      </c>
      <c r="BA1684" s="468">
        <v>453</v>
      </c>
      <c r="BB1684" s="468">
        <v>497</v>
      </c>
      <c r="BC1684" s="468">
        <v>492</v>
      </c>
      <c r="BD1684" s="468">
        <v>506</v>
      </c>
      <c r="BE1684" s="468">
        <v>470</v>
      </c>
      <c r="BF1684" s="468">
        <v>424</v>
      </c>
      <c r="BG1684" s="468">
        <v>467</v>
      </c>
      <c r="BH1684" s="468">
        <v>512</v>
      </c>
      <c r="BI1684" s="468">
        <v>538</v>
      </c>
      <c r="BJ1684" s="468">
        <v>533</v>
      </c>
      <c r="BK1684" s="468">
        <v>551</v>
      </c>
      <c r="BL1684" s="468">
        <v>641</v>
      </c>
      <c r="BM1684" s="468">
        <v>668</v>
      </c>
      <c r="BN1684" s="468">
        <v>666</v>
      </c>
      <c r="BO1684" s="468">
        <v>668</v>
      </c>
      <c r="BP1684" s="468">
        <v>655</v>
      </c>
      <c r="BQ1684" s="468">
        <v>730</v>
      </c>
      <c r="BR1684" s="468">
        <v>672</v>
      </c>
      <c r="BS1684" s="468">
        <v>765</v>
      </c>
      <c r="BT1684" s="468">
        <v>757</v>
      </c>
      <c r="BU1684" s="468">
        <v>717</v>
      </c>
      <c r="BV1684" s="468">
        <v>753</v>
      </c>
      <c r="BW1684" s="468">
        <v>656</v>
      </c>
      <c r="BX1684" s="468">
        <v>699</v>
      </c>
      <c r="BY1684" s="468">
        <v>663</v>
      </c>
      <c r="BZ1684" s="468">
        <v>644</v>
      </c>
      <c r="CA1684" s="468">
        <v>637</v>
      </c>
      <c r="CB1684" s="468">
        <v>610</v>
      </c>
      <c r="CC1684" s="468">
        <v>595</v>
      </c>
      <c r="CD1684" s="468">
        <v>599</v>
      </c>
      <c r="CE1684" s="468">
        <v>582</v>
      </c>
      <c r="CF1684" s="468">
        <v>534</v>
      </c>
      <c r="CG1684" s="468">
        <v>543</v>
      </c>
      <c r="CH1684" s="468">
        <v>590</v>
      </c>
      <c r="CI1684" s="468">
        <v>638</v>
      </c>
      <c r="CJ1684" s="468">
        <v>658</v>
      </c>
      <c r="CK1684" s="468">
        <v>651</v>
      </c>
      <c r="CL1684" s="468">
        <v>445</v>
      </c>
      <c r="CM1684" s="468">
        <v>418</v>
      </c>
      <c r="CN1684" s="468">
        <v>441</v>
      </c>
      <c r="CO1684" s="468">
        <v>416</v>
      </c>
      <c r="CP1684" s="468">
        <v>329</v>
      </c>
      <c r="CQ1684" s="468">
        <v>319</v>
      </c>
      <c r="CR1684" s="468">
        <v>263</v>
      </c>
      <c r="CS1684" s="468">
        <v>231</v>
      </c>
      <c r="CT1684" s="468">
        <v>211</v>
      </c>
      <c r="CU1684" s="468">
        <v>197</v>
      </c>
      <c r="CV1684" s="468">
        <v>160</v>
      </c>
      <c r="CW1684" s="468">
        <v>148</v>
      </c>
      <c r="CX1684" s="468">
        <v>105</v>
      </c>
      <c r="CY1684" s="468">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1718</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68">
        <v>698</v>
      </c>
      <c r="N1685" s="468">
        <v>720</v>
      </c>
      <c r="O1685" s="468">
        <v>806</v>
      </c>
      <c r="P1685" s="468">
        <v>775</v>
      </c>
      <c r="Q1685" s="468">
        <v>793</v>
      </c>
      <c r="R1685" s="468">
        <v>823</v>
      </c>
      <c r="S1685" s="468">
        <v>841</v>
      </c>
      <c r="T1685" s="468">
        <v>864</v>
      </c>
      <c r="U1685" s="468">
        <v>911</v>
      </c>
      <c r="V1685" s="468">
        <v>911</v>
      </c>
      <c r="W1685" s="468">
        <v>903</v>
      </c>
      <c r="X1685" s="468">
        <v>976</v>
      </c>
      <c r="Y1685" s="468">
        <v>949</v>
      </c>
      <c r="Z1685" s="468">
        <v>1013</v>
      </c>
      <c r="AA1685" s="468">
        <v>950</v>
      </c>
      <c r="AB1685" s="468">
        <v>1048</v>
      </c>
      <c r="AC1685" s="468">
        <v>976</v>
      </c>
      <c r="AD1685" s="468">
        <v>901</v>
      </c>
      <c r="AE1685" s="468">
        <v>898</v>
      </c>
      <c r="AF1685" s="468">
        <v>756</v>
      </c>
      <c r="AG1685" s="468">
        <v>647</v>
      </c>
      <c r="AH1685" s="468">
        <v>684</v>
      </c>
      <c r="AI1685" s="468">
        <v>712</v>
      </c>
      <c r="AJ1685" s="468">
        <v>744</v>
      </c>
      <c r="AK1685" s="468">
        <v>876</v>
      </c>
      <c r="AL1685" s="468">
        <v>855</v>
      </c>
      <c r="AM1685" s="468">
        <v>832</v>
      </c>
      <c r="AN1685" s="468">
        <v>824</v>
      </c>
      <c r="AO1685" s="468">
        <v>834</v>
      </c>
      <c r="AP1685" s="468">
        <v>859</v>
      </c>
      <c r="AQ1685" s="468">
        <v>913</v>
      </c>
      <c r="AR1685" s="468">
        <v>1003</v>
      </c>
      <c r="AS1685" s="468">
        <v>902</v>
      </c>
      <c r="AT1685" s="468">
        <v>907</v>
      </c>
      <c r="AU1685" s="468">
        <v>948</v>
      </c>
      <c r="AV1685" s="468">
        <v>984</v>
      </c>
      <c r="AW1685" s="468">
        <v>951</v>
      </c>
      <c r="AX1685" s="468">
        <v>993</v>
      </c>
      <c r="AY1685" s="468">
        <v>910</v>
      </c>
      <c r="AZ1685" s="468">
        <v>865</v>
      </c>
      <c r="BA1685" s="468">
        <v>894</v>
      </c>
      <c r="BB1685" s="468">
        <v>945</v>
      </c>
      <c r="BC1685" s="468">
        <v>931</v>
      </c>
      <c r="BD1685" s="468">
        <v>937</v>
      </c>
      <c r="BE1685" s="468">
        <v>899</v>
      </c>
      <c r="BF1685" s="468">
        <v>863</v>
      </c>
      <c r="BG1685" s="468">
        <v>807</v>
      </c>
      <c r="BH1685" s="468">
        <v>843</v>
      </c>
      <c r="BI1685" s="468">
        <v>929</v>
      </c>
      <c r="BJ1685" s="468">
        <v>962</v>
      </c>
      <c r="BK1685" s="468">
        <v>993</v>
      </c>
      <c r="BL1685" s="468">
        <v>1135</v>
      </c>
      <c r="BM1685" s="468">
        <v>1166</v>
      </c>
      <c r="BN1685" s="468">
        <v>1169</v>
      </c>
      <c r="BO1685" s="468">
        <v>1223</v>
      </c>
      <c r="BP1685" s="468">
        <v>1217</v>
      </c>
      <c r="BQ1685" s="468">
        <v>1120</v>
      </c>
      <c r="BR1685" s="468">
        <v>1125</v>
      </c>
      <c r="BS1685" s="468">
        <v>1152</v>
      </c>
      <c r="BT1685" s="468">
        <v>1196</v>
      </c>
      <c r="BU1685" s="468">
        <v>1088</v>
      </c>
      <c r="BV1685" s="468">
        <v>1143</v>
      </c>
      <c r="BW1685" s="468">
        <v>1056</v>
      </c>
      <c r="BX1685" s="468">
        <v>1016</v>
      </c>
      <c r="BY1685" s="468">
        <v>1023</v>
      </c>
      <c r="BZ1685" s="468">
        <v>899</v>
      </c>
      <c r="CA1685" s="468">
        <v>872</v>
      </c>
      <c r="CB1685" s="468">
        <v>867</v>
      </c>
      <c r="CC1685" s="468">
        <v>780</v>
      </c>
      <c r="CD1685" s="468">
        <v>796</v>
      </c>
      <c r="CE1685" s="468">
        <v>831</v>
      </c>
      <c r="CF1685" s="468">
        <v>750</v>
      </c>
      <c r="CG1685" s="468">
        <v>867</v>
      </c>
      <c r="CH1685" s="468">
        <v>820</v>
      </c>
      <c r="CI1685" s="468">
        <v>855</v>
      </c>
      <c r="CJ1685" s="468">
        <v>885</v>
      </c>
      <c r="CK1685" s="468">
        <v>975</v>
      </c>
      <c r="CL1685" s="468">
        <v>604</v>
      </c>
      <c r="CM1685" s="468">
        <v>620</v>
      </c>
      <c r="CN1685" s="468">
        <v>617</v>
      </c>
      <c r="CO1685" s="468">
        <v>525</v>
      </c>
      <c r="CP1685" s="468">
        <v>445</v>
      </c>
      <c r="CQ1685" s="468">
        <v>397</v>
      </c>
      <c r="CR1685" s="468">
        <v>393</v>
      </c>
      <c r="CS1685" s="468">
        <v>316</v>
      </c>
      <c r="CT1685" s="468">
        <v>324</v>
      </c>
      <c r="CU1685" s="468">
        <v>263</v>
      </c>
      <c r="CV1685" s="468">
        <v>217</v>
      </c>
      <c r="CW1685" s="468">
        <v>188</v>
      </c>
      <c r="CX1685" s="468">
        <v>137</v>
      </c>
      <c r="CY1685" s="468">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1719</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68">
        <v>505</v>
      </c>
      <c r="N1686" s="468">
        <v>565</v>
      </c>
      <c r="O1686" s="468">
        <v>523</v>
      </c>
      <c r="P1686" s="468">
        <v>553</v>
      </c>
      <c r="Q1686" s="468">
        <v>564</v>
      </c>
      <c r="R1686" s="468">
        <v>601</v>
      </c>
      <c r="S1686" s="468">
        <v>557</v>
      </c>
      <c r="T1686" s="468">
        <v>674</v>
      </c>
      <c r="U1686" s="468">
        <v>595</v>
      </c>
      <c r="V1686" s="468">
        <v>673</v>
      </c>
      <c r="W1686" s="468">
        <v>651</v>
      </c>
      <c r="X1686" s="468">
        <v>667</v>
      </c>
      <c r="Y1686" s="468">
        <v>658</v>
      </c>
      <c r="Z1686" s="468">
        <v>728</v>
      </c>
      <c r="AA1686" s="468">
        <v>669</v>
      </c>
      <c r="AB1686" s="468">
        <v>671</v>
      </c>
      <c r="AC1686" s="468">
        <v>676</v>
      </c>
      <c r="AD1686" s="468">
        <v>643</v>
      </c>
      <c r="AE1686" s="468">
        <v>629</v>
      </c>
      <c r="AF1686" s="468">
        <v>788</v>
      </c>
      <c r="AG1686" s="468">
        <v>949</v>
      </c>
      <c r="AH1686" s="468">
        <v>929</v>
      </c>
      <c r="AI1686" s="468">
        <v>902</v>
      </c>
      <c r="AJ1686" s="468">
        <v>887</v>
      </c>
      <c r="AK1686" s="468">
        <v>831</v>
      </c>
      <c r="AL1686" s="468">
        <v>730</v>
      </c>
      <c r="AM1686" s="468">
        <v>671</v>
      </c>
      <c r="AN1686" s="468">
        <v>661</v>
      </c>
      <c r="AO1686" s="468">
        <v>662</v>
      </c>
      <c r="AP1686" s="468">
        <v>665</v>
      </c>
      <c r="AQ1686" s="468">
        <v>662</v>
      </c>
      <c r="AR1686" s="468">
        <v>698</v>
      </c>
      <c r="AS1686" s="468">
        <v>676</v>
      </c>
      <c r="AT1686" s="468">
        <v>695</v>
      </c>
      <c r="AU1686" s="468">
        <v>693</v>
      </c>
      <c r="AV1686" s="468">
        <v>688</v>
      </c>
      <c r="AW1686" s="468">
        <v>703</v>
      </c>
      <c r="AX1686" s="468">
        <v>619</v>
      </c>
      <c r="AY1686" s="468">
        <v>613</v>
      </c>
      <c r="AZ1686" s="468">
        <v>586</v>
      </c>
      <c r="BA1686" s="468">
        <v>606</v>
      </c>
      <c r="BB1686" s="468">
        <v>606</v>
      </c>
      <c r="BC1686" s="468">
        <v>609</v>
      </c>
      <c r="BD1686" s="468">
        <v>613</v>
      </c>
      <c r="BE1686" s="468">
        <v>572</v>
      </c>
      <c r="BF1686" s="468">
        <v>558</v>
      </c>
      <c r="BG1686" s="468">
        <v>579</v>
      </c>
      <c r="BH1686" s="468">
        <v>617</v>
      </c>
      <c r="BI1686" s="468">
        <v>615</v>
      </c>
      <c r="BJ1686" s="468">
        <v>673</v>
      </c>
      <c r="BK1686" s="468">
        <v>721</v>
      </c>
      <c r="BL1686" s="468">
        <v>782</v>
      </c>
      <c r="BM1686" s="468">
        <v>832</v>
      </c>
      <c r="BN1686" s="468">
        <v>804</v>
      </c>
      <c r="BO1686" s="468">
        <v>784</v>
      </c>
      <c r="BP1686" s="468">
        <v>800</v>
      </c>
      <c r="BQ1686" s="468">
        <v>837</v>
      </c>
      <c r="BR1686" s="468">
        <v>872</v>
      </c>
      <c r="BS1686" s="468">
        <v>868</v>
      </c>
      <c r="BT1686" s="468">
        <v>882</v>
      </c>
      <c r="BU1686" s="468">
        <v>885</v>
      </c>
      <c r="BV1686" s="468">
        <v>876</v>
      </c>
      <c r="BW1686" s="468">
        <v>851</v>
      </c>
      <c r="BX1686" s="468">
        <v>774</v>
      </c>
      <c r="BY1686" s="468">
        <v>760</v>
      </c>
      <c r="BZ1686" s="468">
        <v>811</v>
      </c>
      <c r="CA1686" s="468">
        <v>751</v>
      </c>
      <c r="CB1686" s="468">
        <v>716</v>
      </c>
      <c r="CC1686" s="468">
        <v>721</v>
      </c>
      <c r="CD1686" s="468">
        <v>670</v>
      </c>
      <c r="CE1686" s="468">
        <v>707</v>
      </c>
      <c r="CF1686" s="468">
        <v>639</v>
      </c>
      <c r="CG1686" s="468">
        <v>622</v>
      </c>
      <c r="CH1686" s="468">
        <v>631</v>
      </c>
      <c r="CI1686" s="468">
        <v>708</v>
      </c>
      <c r="CJ1686" s="468">
        <v>740</v>
      </c>
      <c r="CK1686" s="468">
        <v>700</v>
      </c>
      <c r="CL1686" s="468">
        <v>565</v>
      </c>
      <c r="CM1686" s="468">
        <v>496</v>
      </c>
      <c r="CN1686" s="468">
        <v>504</v>
      </c>
      <c r="CO1686" s="468">
        <v>451</v>
      </c>
      <c r="CP1686" s="468">
        <v>360</v>
      </c>
      <c r="CQ1686" s="468">
        <v>283</v>
      </c>
      <c r="CR1686" s="468">
        <v>309</v>
      </c>
      <c r="CS1686" s="468">
        <v>303</v>
      </c>
      <c r="CT1686" s="468">
        <v>230</v>
      </c>
      <c r="CU1686" s="468">
        <v>233</v>
      </c>
      <c r="CV1686" s="468">
        <v>208</v>
      </c>
      <c r="CW1686" s="468">
        <v>169</v>
      </c>
      <c r="CX1686" s="468">
        <v>129</v>
      </c>
      <c r="CY1686" s="468">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1720</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68">
        <v>264</v>
      </c>
      <c r="N1687" s="468">
        <v>280</v>
      </c>
      <c r="O1687" s="468">
        <v>322</v>
      </c>
      <c r="P1687" s="468">
        <v>308</v>
      </c>
      <c r="Q1687" s="468">
        <v>320</v>
      </c>
      <c r="R1687" s="468">
        <v>344</v>
      </c>
      <c r="S1687" s="468">
        <v>395</v>
      </c>
      <c r="T1687" s="468">
        <v>401</v>
      </c>
      <c r="U1687" s="468">
        <v>365</v>
      </c>
      <c r="V1687" s="468">
        <v>394</v>
      </c>
      <c r="W1687" s="468">
        <v>421</v>
      </c>
      <c r="X1687" s="468">
        <v>400</v>
      </c>
      <c r="Y1687" s="468">
        <v>441</v>
      </c>
      <c r="Z1687" s="468">
        <v>413</v>
      </c>
      <c r="AA1687" s="468">
        <v>437</v>
      </c>
      <c r="AB1687" s="468">
        <v>381</v>
      </c>
      <c r="AC1687" s="468">
        <v>394</v>
      </c>
      <c r="AD1687" s="468">
        <v>397</v>
      </c>
      <c r="AE1687" s="468">
        <v>373</v>
      </c>
      <c r="AF1687" s="468">
        <v>298</v>
      </c>
      <c r="AG1687" s="468">
        <v>289</v>
      </c>
      <c r="AH1687" s="468">
        <v>327</v>
      </c>
      <c r="AI1687" s="468">
        <v>296</v>
      </c>
      <c r="AJ1687" s="468">
        <v>278</v>
      </c>
      <c r="AK1687" s="468">
        <v>364</v>
      </c>
      <c r="AL1687" s="468">
        <v>298</v>
      </c>
      <c r="AM1687" s="468">
        <v>306</v>
      </c>
      <c r="AN1687" s="468">
        <v>324</v>
      </c>
      <c r="AO1687" s="468">
        <v>329</v>
      </c>
      <c r="AP1687" s="468">
        <v>360</v>
      </c>
      <c r="AQ1687" s="468">
        <v>346</v>
      </c>
      <c r="AR1687" s="468">
        <v>341</v>
      </c>
      <c r="AS1687" s="468">
        <v>340</v>
      </c>
      <c r="AT1687" s="468">
        <v>357</v>
      </c>
      <c r="AU1687" s="468">
        <v>356</v>
      </c>
      <c r="AV1687" s="468">
        <v>390</v>
      </c>
      <c r="AW1687" s="468">
        <v>375</v>
      </c>
      <c r="AX1687" s="468">
        <v>326</v>
      </c>
      <c r="AY1687" s="468">
        <v>353</v>
      </c>
      <c r="AZ1687" s="468">
        <v>372</v>
      </c>
      <c r="BA1687" s="468">
        <v>339</v>
      </c>
      <c r="BB1687" s="468">
        <v>325</v>
      </c>
      <c r="BC1687" s="468">
        <v>345</v>
      </c>
      <c r="BD1687" s="468">
        <v>369</v>
      </c>
      <c r="BE1687" s="468">
        <v>381</v>
      </c>
      <c r="BF1687" s="468">
        <v>328</v>
      </c>
      <c r="BG1687" s="468">
        <v>317</v>
      </c>
      <c r="BH1687" s="468">
        <v>325</v>
      </c>
      <c r="BI1687" s="468">
        <v>353</v>
      </c>
      <c r="BJ1687" s="468">
        <v>370</v>
      </c>
      <c r="BK1687" s="468">
        <v>436</v>
      </c>
      <c r="BL1687" s="468">
        <v>456</v>
      </c>
      <c r="BM1687" s="468">
        <v>494</v>
      </c>
      <c r="BN1687" s="468">
        <v>445</v>
      </c>
      <c r="BO1687" s="468">
        <v>474</v>
      </c>
      <c r="BP1687" s="468">
        <v>484</v>
      </c>
      <c r="BQ1687" s="468">
        <v>523</v>
      </c>
      <c r="BR1687" s="468">
        <v>492</v>
      </c>
      <c r="BS1687" s="468">
        <v>546</v>
      </c>
      <c r="BT1687" s="468">
        <v>544</v>
      </c>
      <c r="BU1687" s="468">
        <v>582</v>
      </c>
      <c r="BV1687" s="468">
        <v>524</v>
      </c>
      <c r="BW1687" s="468">
        <v>519</v>
      </c>
      <c r="BX1687" s="468">
        <v>551</v>
      </c>
      <c r="BY1687" s="468">
        <v>529</v>
      </c>
      <c r="BZ1687" s="468">
        <v>489</v>
      </c>
      <c r="CA1687" s="468">
        <v>466</v>
      </c>
      <c r="CB1687" s="468">
        <v>489</v>
      </c>
      <c r="CC1687" s="468">
        <v>477</v>
      </c>
      <c r="CD1687" s="468">
        <v>463</v>
      </c>
      <c r="CE1687" s="468">
        <v>456</v>
      </c>
      <c r="CF1687" s="468">
        <v>448</v>
      </c>
      <c r="CG1687" s="468">
        <v>427</v>
      </c>
      <c r="CH1687" s="468">
        <v>465</v>
      </c>
      <c r="CI1687" s="468">
        <v>476</v>
      </c>
      <c r="CJ1687" s="468">
        <v>488</v>
      </c>
      <c r="CK1687" s="468">
        <v>474</v>
      </c>
      <c r="CL1687" s="468">
        <v>336</v>
      </c>
      <c r="CM1687" s="468">
        <v>344</v>
      </c>
      <c r="CN1687" s="468">
        <v>356</v>
      </c>
      <c r="CO1687" s="468">
        <v>322</v>
      </c>
      <c r="CP1687" s="468">
        <v>249</v>
      </c>
      <c r="CQ1687" s="468">
        <v>225</v>
      </c>
      <c r="CR1687" s="468">
        <v>215</v>
      </c>
      <c r="CS1687" s="468">
        <v>230</v>
      </c>
      <c r="CT1687" s="468">
        <v>174</v>
      </c>
      <c r="CU1687" s="468">
        <v>163</v>
      </c>
      <c r="CV1687" s="468">
        <v>124</v>
      </c>
      <c r="CW1687" s="468">
        <v>97</v>
      </c>
      <c r="CX1687" s="468">
        <v>73</v>
      </c>
      <c r="CY1687" s="468">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1721</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68">
        <v>324</v>
      </c>
      <c r="N1688" s="468">
        <v>330</v>
      </c>
      <c r="O1688" s="468">
        <v>336</v>
      </c>
      <c r="P1688" s="468">
        <v>335</v>
      </c>
      <c r="Q1688" s="468">
        <v>319</v>
      </c>
      <c r="R1688" s="468">
        <v>374</v>
      </c>
      <c r="S1688" s="468">
        <v>406</v>
      </c>
      <c r="T1688" s="468">
        <v>392</v>
      </c>
      <c r="U1688" s="468">
        <v>364</v>
      </c>
      <c r="V1688" s="468">
        <v>351</v>
      </c>
      <c r="W1688" s="468">
        <v>355</v>
      </c>
      <c r="X1688" s="468">
        <v>379</v>
      </c>
      <c r="Y1688" s="468">
        <v>408</v>
      </c>
      <c r="Z1688" s="468">
        <v>353</v>
      </c>
      <c r="AA1688" s="468">
        <v>367</v>
      </c>
      <c r="AB1688" s="468">
        <v>373</v>
      </c>
      <c r="AC1688" s="468">
        <v>375</v>
      </c>
      <c r="AD1688" s="468">
        <v>343</v>
      </c>
      <c r="AE1688" s="468">
        <v>298</v>
      </c>
      <c r="AF1688" s="468">
        <v>288</v>
      </c>
      <c r="AG1688" s="468">
        <v>325</v>
      </c>
      <c r="AH1688" s="468">
        <v>284</v>
      </c>
      <c r="AI1688" s="468">
        <v>281</v>
      </c>
      <c r="AJ1688" s="468">
        <v>335</v>
      </c>
      <c r="AK1688" s="468">
        <v>323</v>
      </c>
      <c r="AL1688" s="468">
        <v>328</v>
      </c>
      <c r="AM1688" s="468">
        <v>367</v>
      </c>
      <c r="AN1688" s="468">
        <v>351</v>
      </c>
      <c r="AO1688" s="468">
        <v>332</v>
      </c>
      <c r="AP1688" s="468">
        <v>370</v>
      </c>
      <c r="AQ1688" s="468">
        <v>364</v>
      </c>
      <c r="AR1688" s="468">
        <v>359</v>
      </c>
      <c r="AS1688" s="468">
        <v>386</v>
      </c>
      <c r="AT1688" s="468">
        <v>392</v>
      </c>
      <c r="AU1688" s="468">
        <v>365</v>
      </c>
      <c r="AV1688" s="468">
        <v>390</v>
      </c>
      <c r="AW1688" s="468">
        <v>400</v>
      </c>
      <c r="AX1688" s="468">
        <v>415</v>
      </c>
      <c r="AY1688" s="468">
        <v>443</v>
      </c>
      <c r="AZ1688" s="468">
        <v>404</v>
      </c>
      <c r="BA1688" s="468">
        <v>340</v>
      </c>
      <c r="BB1688" s="468">
        <v>352</v>
      </c>
      <c r="BC1688" s="468">
        <v>383</v>
      </c>
      <c r="BD1688" s="468">
        <v>384</v>
      </c>
      <c r="BE1688" s="468">
        <v>339</v>
      </c>
      <c r="BF1688" s="468">
        <v>282</v>
      </c>
      <c r="BG1688" s="468">
        <v>275</v>
      </c>
      <c r="BH1688" s="468">
        <v>319</v>
      </c>
      <c r="BI1688" s="468">
        <v>327</v>
      </c>
      <c r="BJ1688" s="468">
        <v>293</v>
      </c>
      <c r="BK1688" s="468">
        <v>329</v>
      </c>
      <c r="BL1688" s="468">
        <v>355</v>
      </c>
      <c r="BM1688" s="468">
        <v>387</v>
      </c>
      <c r="BN1688" s="468">
        <v>361</v>
      </c>
      <c r="BO1688" s="468">
        <v>411</v>
      </c>
      <c r="BP1688" s="468">
        <v>384</v>
      </c>
      <c r="BQ1688" s="468">
        <v>380</v>
      </c>
      <c r="BR1688" s="468">
        <v>420</v>
      </c>
      <c r="BS1688" s="468">
        <v>416</v>
      </c>
      <c r="BT1688" s="468">
        <v>425</v>
      </c>
      <c r="BU1688" s="468">
        <v>373</v>
      </c>
      <c r="BV1688" s="468">
        <v>394</v>
      </c>
      <c r="BW1688" s="468">
        <v>360</v>
      </c>
      <c r="BX1688" s="468">
        <v>376</v>
      </c>
      <c r="BY1688" s="468">
        <v>402</v>
      </c>
      <c r="BZ1688" s="468">
        <v>387</v>
      </c>
      <c r="CA1688" s="468">
        <v>318</v>
      </c>
      <c r="CB1688" s="468">
        <v>301</v>
      </c>
      <c r="CC1688" s="468">
        <v>292</v>
      </c>
      <c r="CD1688" s="468">
        <v>317</v>
      </c>
      <c r="CE1688" s="468">
        <v>281</v>
      </c>
      <c r="CF1688" s="468">
        <v>286</v>
      </c>
      <c r="CG1688" s="468">
        <v>288</v>
      </c>
      <c r="CH1688" s="468">
        <v>267</v>
      </c>
      <c r="CI1688" s="468">
        <v>309</v>
      </c>
      <c r="CJ1688" s="468">
        <v>297</v>
      </c>
      <c r="CK1688" s="468">
        <v>242</v>
      </c>
      <c r="CL1688" s="468">
        <v>195</v>
      </c>
      <c r="CM1688" s="468">
        <v>213</v>
      </c>
      <c r="CN1688" s="468">
        <v>203</v>
      </c>
      <c r="CO1688" s="468">
        <v>177</v>
      </c>
      <c r="CP1688" s="468">
        <v>164</v>
      </c>
      <c r="CQ1688" s="468">
        <v>109</v>
      </c>
      <c r="CR1688" s="468">
        <v>113</v>
      </c>
      <c r="CS1688" s="468">
        <v>109</v>
      </c>
      <c r="CT1688" s="468">
        <v>113</v>
      </c>
      <c r="CU1688" s="468">
        <v>76</v>
      </c>
      <c r="CV1688" s="468">
        <v>61</v>
      </c>
      <c r="CW1688" s="468">
        <v>67</v>
      </c>
      <c r="CX1688" s="468">
        <v>42</v>
      </c>
      <c r="CY1688" s="468">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1722</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68">
        <v>354</v>
      </c>
      <c r="N1689" s="468">
        <v>391</v>
      </c>
      <c r="O1689" s="468">
        <v>411</v>
      </c>
      <c r="P1689" s="468">
        <v>441</v>
      </c>
      <c r="Q1689" s="468">
        <v>402</v>
      </c>
      <c r="R1689" s="468">
        <v>455</v>
      </c>
      <c r="S1689" s="468">
        <v>488</v>
      </c>
      <c r="T1689" s="468">
        <v>496</v>
      </c>
      <c r="U1689" s="468">
        <v>504</v>
      </c>
      <c r="V1689" s="468">
        <v>507</v>
      </c>
      <c r="W1689" s="468">
        <v>510</v>
      </c>
      <c r="X1689" s="468">
        <v>540</v>
      </c>
      <c r="Y1689" s="468">
        <v>542</v>
      </c>
      <c r="Z1689" s="468">
        <v>520</v>
      </c>
      <c r="AA1689" s="468">
        <v>570</v>
      </c>
      <c r="AB1689" s="468">
        <v>571</v>
      </c>
      <c r="AC1689" s="468">
        <v>576</v>
      </c>
      <c r="AD1689" s="468">
        <v>517</v>
      </c>
      <c r="AE1689" s="468">
        <v>509</v>
      </c>
      <c r="AF1689" s="468">
        <v>359</v>
      </c>
      <c r="AG1689" s="468">
        <v>271</v>
      </c>
      <c r="AH1689" s="468">
        <v>359</v>
      </c>
      <c r="AI1689" s="468">
        <v>389</v>
      </c>
      <c r="AJ1689" s="468">
        <v>436</v>
      </c>
      <c r="AK1689" s="468">
        <v>476</v>
      </c>
      <c r="AL1689" s="468">
        <v>433</v>
      </c>
      <c r="AM1689" s="468">
        <v>508</v>
      </c>
      <c r="AN1689" s="468">
        <v>469</v>
      </c>
      <c r="AO1689" s="468">
        <v>470</v>
      </c>
      <c r="AP1689" s="468">
        <v>490</v>
      </c>
      <c r="AQ1689" s="468">
        <v>454</v>
      </c>
      <c r="AR1689" s="468">
        <v>531</v>
      </c>
      <c r="AS1689" s="468">
        <v>565</v>
      </c>
      <c r="AT1689" s="468">
        <v>516</v>
      </c>
      <c r="AU1689" s="468">
        <v>515</v>
      </c>
      <c r="AV1689" s="468">
        <v>485</v>
      </c>
      <c r="AW1689" s="468">
        <v>515</v>
      </c>
      <c r="AX1689" s="468">
        <v>481</v>
      </c>
      <c r="AY1689" s="468">
        <v>486</v>
      </c>
      <c r="AZ1689" s="468">
        <v>500</v>
      </c>
      <c r="BA1689" s="468">
        <v>512</v>
      </c>
      <c r="BB1689" s="468">
        <v>485</v>
      </c>
      <c r="BC1689" s="468">
        <v>470</v>
      </c>
      <c r="BD1689" s="468">
        <v>519</v>
      </c>
      <c r="BE1689" s="468">
        <v>521</v>
      </c>
      <c r="BF1689" s="468">
        <v>468</v>
      </c>
      <c r="BG1689" s="468">
        <v>528</v>
      </c>
      <c r="BH1689" s="468">
        <v>501</v>
      </c>
      <c r="BI1689" s="468">
        <v>548</v>
      </c>
      <c r="BJ1689" s="468">
        <v>544</v>
      </c>
      <c r="BK1689" s="468">
        <v>606</v>
      </c>
      <c r="BL1689" s="468">
        <v>670</v>
      </c>
      <c r="BM1689" s="468">
        <v>705</v>
      </c>
      <c r="BN1689" s="468">
        <v>652</v>
      </c>
      <c r="BO1689" s="468">
        <v>695</v>
      </c>
      <c r="BP1689" s="468">
        <v>766</v>
      </c>
      <c r="BQ1689" s="468">
        <v>752</v>
      </c>
      <c r="BR1689" s="468">
        <v>781</v>
      </c>
      <c r="BS1689" s="468">
        <v>754</v>
      </c>
      <c r="BT1689" s="468">
        <v>756</v>
      </c>
      <c r="BU1689" s="468">
        <v>776</v>
      </c>
      <c r="BV1689" s="468">
        <v>719</v>
      </c>
      <c r="BW1689" s="468">
        <v>715</v>
      </c>
      <c r="BX1689" s="468">
        <v>664</v>
      </c>
      <c r="BY1689" s="468">
        <v>631</v>
      </c>
      <c r="BZ1689" s="468">
        <v>679</v>
      </c>
      <c r="CA1689" s="468">
        <v>623</v>
      </c>
      <c r="CB1689" s="468">
        <v>575</v>
      </c>
      <c r="CC1689" s="468">
        <v>599</v>
      </c>
      <c r="CD1689" s="468">
        <v>561</v>
      </c>
      <c r="CE1689" s="468">
        <v>597</v>
      </c>
      <c r="CF1689" s="468">
        <v>600</v>
      </c>
      <c r="CG1689" s="468">
        <v>564</v>
      </c>
      <c r="CH1689" s="468">
        <v>619</v>
      </c>
      <c r="CI1689" s="468">
        <v>586</v>
      </c>
      <c r="CJ1689" s="468">
        <v>582</v>
      </c>
      <c r="CK1689" s="468">
        <v>641</v>
      </c>
      <c r="CL1689" s="468">
        <v>477</v>
      </c>
      <c r="CM1689" s="468">
        <v>455</v>
      </c>
      <c r="CN1689" s="468">
        <v>468</v>
      </c>
      <c r="CO1689" s="468">
        <v>410</v>
      </c>
      <c r="CP1689" s="468">
        <v>349</v>
      </c>
      <c r="CQ1689" s="468">
        <v>293</v>
      </c>
      <c r="CR1689" s="468">
        <v>318</v>
      </c>
      <c r="CS1689" s="468">
        <v>263</v>
      </c>
      <c r="CT1689" s="468">
        <v>221</v>
      </c>
      <c r="CU1689" s="468">
        <v>198</v>
      </c>
      <c r="CV1689" s="468">
        <v>191</v>
      </c>
      <c r="CW1689" s="468">
        <v>149</v>
      </c>
      <c r="CX1689" s="468">
        <v>137</v>
      </c>
      <c r="CY1689" s="468">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1723</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68">
        <v>619</v>
      </c>
      <c r="N1690" s="468">
        <v>647</v>
      </c>
      <c r="O1690" s="468">
        <v>662</v>
      </c>
      <c r="P1690" s="468">
        <v>656</v>
      </c>
      <c r="Q1690" s="468">
        <v>714</v>
      </c>
      <c r="R1690" s="468">
        <v>779</v>
      </c>
      <c r="S1690" s="468">
        <v>782</v>
      </c>
      <c r="T1690" s="468">
        <v>821</v>
      </c>
      <c r="U1690" s="468">
        <v>822</v>
      </c>
      <c r="V1690" s="468">
        <v>830</v>
      </c>
      <c r="W1690" s="468">
        <v>797</v>
      </c>
      <c r="X1690" s="468">
        <v>927</v>
      </c>
      <c r="Y1690" s="468">
        <v>928</v>
      </c>
      <c r="Z1690" s="468">
        <v>867</v>
      </c>
      <c r="AA1690" s="468">
        <v>870</v>
      </c>
      <c r="AB1690" s="468">
        <v>876</v>
      </c>
      <c r="AC1690" s="468">
        <v>850</v>
      </c>
      <c r="AD1690" s="468">
        <v>858</v>
      </c>
      <c r="AE1690" s="468">
        <v>1006</v>
      </c>
      <c r="AF1690" s="468">
        <v>1747</v>
      </c>
      <c r="AG1690" s="468">
        <v>932</v>
      </c>
      <c r="AH1690" s="468">
        <v>866</v>
      </c>
      <c r="AI1690" s="468">
        <v>586</v>
      </c>
      <c r="AJ1690" s="468">
        <v>608</v>
      </c>
      <c r="AK1690" s="468">
        <v>672</v>
      </c>
      <c r="AL1690" s="468">
        <v>707</v>
      </c>
      <c r="AM1690" s="468">
        <v>788</v>
      </c>
      <c r="AN1690" s="468">
        <v>800</v>
      </c>
      <c r="AO1690" s="468">
        <v>814</v>
      </c>
      <c r="AP1690" s="468">
        <v>799</v>
      </c>
      <c r="AQ1690" s="468">
        <v>859</v>
      </c>
      <c r="AR1690" s="468">
        <v>911</v>
      </c>
      <c r="AS1690" s="468">
        <v>868</v>
      </c>
      <c r="AT1690" s="468">
        <v>869</v>
      </c>
      <c r="AU1690" s="468">
        <v>859</v>
      </c>
      <c r="AV1690" s="468">
        <v>835</v>
      </c>
      <c r="AW1690" s="468">
        <v>847</v>
      </c>
      <c r="AX1690" s="468">
        <v>917</v>
      </c>
      <c r="AY1690" s="468">
        <v>882</v>
      </c>
      <c r="AZ1690" s="468">
        <v>884</v>
      </c>
      <c r="BA1690" s="468">
        <v>840</v>
      </c>
      <c r="BB1690" s="468">
        <v>830</v>
      </c>
      <c r="BC1690" s="468">
        <v>824</v>
      </c>
      <c r="BD1690" s="468">
        <v>817</v>
      </c>
      <c r="BE1690" s="468">
        <v>864</v>
      </c>
      <c r="BF1690" s="468">
        <v>816</v>
      </c>
      <c r="BG1690" s="468">
        <v>750</v>
      </c>
      <c r="BH1690" s="468">
        <v>734</v>
      </c>
      <c r="BI1690" s="468">
        <v>817</v>
      </c>
      <c r="BJ1690" s="468">
        <v>770</v>
      </c>
      <c r="BK1690" s="468">
        <v>857</v>
      </c>
      <c r="BL1690" s="468">
        <v>860</v>
      </c>
      <c r="BM1690" s="468">
        <v>958</v>
      </c>
      <c r="BN1690" s="468">
        <v>900</v>
      </c>
      <c r="BO1690" s="468">
        <v>942</v>
      </c>
      <c r="BP1690" s="468">
        <v>998</v>
      </c>
      <c r="BQ1690" s="468">
        <v>956</v>
      </c>
      <c r="BR1690" s="468">
        <v>991</v>
      </c>
      <c r="BS1690" s="468">
        <v>999</v>
      </c>
      <c r="BT1690" s="468">
        <v>1046</v>
      </c>
      <c r="BU1690" s="468">
        <v>982</v>
      </c>
      <c r="BV1690" s="468">
        <v>965</v>
      </c>
      <c r="BW1690" s="468">
        <v>934</v>
      </c>
      <c r="BX1690" s="468">
        <v>956</v>
      </c>
      <c r="BY1690" s="468">
        <v>878</v>
      </c>
      <c r="BZ1690" s="468">
        <v>985</v>
      </c>
      <c r="CA1690" s="468">
        <v>869</v>
      </c>
      <c r="CB1690" s="468">
        <v>790</v>
      </c>
      <c r="CC1690" s="468">
        <v>786</v>
      </c>
      <c r="CD1690" s="468">
        <v>774</v>
      </c>
      <c r="CE1690" s="468">
        <v>795</v>
      </c>
      <c r="CF1690" s="468">
        <v>752</v>
      </c>
      <c r="CG1690" s="468">
        <v>699</v>
      </c>
      <c r="CH1690" s="468">
        <v>763</v>
      </c>
      <c r="CI1690" s="468">
        <v>726</v>
      </c>
      <c r="CJ1690" s="468">
        <v>807</v>
      </c>
      <c r="CK1690" s="468">
        <v>778</v>
      </c>
      <c r="CL1690" s="468">
        <v>554</v>
      </c>
      <c r="CM1690" s="468">
        <v>548</v>
      </c>
      <c r="CN1690" s="468">
        <v>529</v>
      </c>
      <c r="CO1690" s="468">
        <v>478</v>
      </c>
      <c r="CP1690" s="468">
        <v>413</v>
      </c>
      <c r="CQ1690" s="468">
        <v>336</v>
      </c>
      <c r="CR1690" s="468">
        <v>345</v>
      </c>
      <c r="CS1690" s="468">
        <v>292</v>
      </c>
      <c r="CT1690" s="468">
        <v>260</v>
      </c>
      <c r="CU1690" s="468">
        <v>231</v>
      </c>
      <c r="CV1690" s="468">
        <v>207</v>
      </c>
      <c r="CW1690" s="468">
        <v>150</v>
      </c>
      <c r="CX1690" s="468">
        <v>147</v>
      </c>
      <c r="CY1690" s="468">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1724</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68">
        <v>935</v>
      </c>
      <c r="N1691" s="468">
        <v>1016</v>
      </c>
      <c r="O1691" s="468">
        <v>1007</v>
      </c>
      <c r="P1691" s="468">
        <v>1009</v>
      </c>
      <c r="Q1691" s="468">
        <v>1067</v>
      </c>
      <c r="R1691" s="468">
        <v>1039</v>
      </c>
      <c r="S1691" s="468">
        <v>1035</v>
      </c>
      <c r="T1691" s="468">
        <v>1224</v>
      </c>
      <c r="U1691" s="468">
        <v>1104</v>
      </c>
      <c r="V1691" s="468">
        <v>1054</v>
      </c>
      <c r="W1691" s="468">
        <v>1100</v>
      </c>
      <c r="X1691" s="468">
        <v>1042</v>
      </c>
      <c r="Y1691" s="468">
        <v>1081</v>
      </c>
      <c r="Z1691" s="468">
        <v>1049</v>
      </c>
      <c r="AA1691" s="468">
        <v>1137</v>
      </c>
      <c r="AB1691" s="468">
        <v>1129</v>
      </c>
      <c r="AC1691" s="468">
        <v>958</v>
      </c>
      <c r="AD1691" s="468">
        <v>957</v>
      </c>
      <c r="AE1691" s="468">
        <v>959</v>
      </c>
      <c r="AF1691" s="468">
        <v>850</v>
      </c>
      <c r="AG1691" s="468">
        <v>751</v>
      </c>
      <c r="AH1691" s="468">
        <v>735</v>
      </c>
      <c r="AI1691" s="468">
        <v>769</v>
      </c>
      <c r="AJ1691" s="468">
        <v>894</v>
      </c>
      <c r="AK1691" s="468">
        <v>1005</v>
      </c>
      <c r="AL1691" s="468">
        <v>1025</v>
      </c>
      <c r="AM1691" s="468">
        <v>1092</v>
      </c>
      <c r="AN1691" s="468">
        <v>1091</v>
      </c>
      <c r="AO1691" s="468">
        <v>1099</v>
      </c>
      <c r="AP1691" s="468">
        <v>1142</v>
      </c>
      <c r="AQ1691" s="468">
        <v>1308</v>
      </c>
      <c r="AR1691" s="468">
        <v>1286</v>
      </c>
      <c r="AS1691" s="468">
        <v>1324</v>
      </c>
      <c r="AT1691" s="468">
        <v>1217</v>
      </c>
      <c r="AU1691" s="468">
        <v>1325</v>
      </c>
      <c r="AV1691" s="468">
        <v>1387</v>
      </c>
      <c r="AW1691" s="468">
        <v>1245</v>
      </c>
      <c r="AX1691" s="468">
        <v>1190</v>
      </c>
      <c r="AY1691" s="468">
        <v>1291</v>
      </c>
      <c r="AZ1691" s="468">
        <v>1168</v>
      </c>
      <c r="BA1691" s="468">
        <v>1049</v>
      </c>
      <c r="BB1691" s="468">
        <v>1062</v>
      </c>
      <c r="BC1691" s="468">
        <v>1069</v>
      </c>
      <c r="BD1691" s="468">
        <v>1123</v>
      </c>
      <c r="BE1691" s="468">
        <v>1050</v>
      </c>
      <c r="BF1691" s="468">
        <v>962</v>
      </c>
      <c r="BG1691" s="468">
        <v>915</v>
      </c>
      <c r="BH1691" s="468">
        <v>925</v>
      </c>
      <c r="BI1691" s="468">
        <v>956</v>
      </c>
      <c r="BJ1691" s="468">
        <v>945</v>
      </c>
      <c r="BK1691" s="468">
        <v>1005</v>
      </c>
      <c r="BL1691" s="468">
        <v>980</v>
      </c>
      <c r="BM1691" s="468">
        <v>1087</v>
      </c>
      <c r="BN1691" s="468">
        <v>1072</v>
      </c>
      <c r="BO1691" s="468">
        <v>1118</v>
      </c>
      <c r="BP1691" s="468">
        <v>929</v>
      </c>
      <c r="BQ1691" s="468">
        <v>1068</v>
      </c>
      <c r="BR1691" s="468">
        <v>1043</v>
      </c>
      <c r="BS1691" s="468">
        <v>1035</v>
      </c>
      <c r="BT1691" s="468">
        <v>1016</v>
      </c>
      <c r="BU1691" s="468">
        <v>1017</v>
      </c>
      <c r="BV1691" s="468">
        <v>915</v>
      </c>
      <c r="BW1691" s="468">
        <v>967</v>
      </c>
      <c r="BX1691" s="468">
        <v>878</v>
      </c>
      <c r="BY1691" s="468">
        <v>955</v>
      </c>
      <c r="BZ1691" s="468">
        <v>826</v>
      </c>
      <c r="CA1691" s="468">
        <v>782</v>
      </c>
      <c r="CB1691" s="468">
        <v>662</v>
      </c>
      <c r="CC1691" s="468">
        <v>663</v>
      </c>
      <c r="CD1691" s="468">
        <v>706</v>
      </c>
      <c r="CE1691" s="468">
        <v>734</v>
      </c>
      <c r="CF1691" s="468">
        <v>662</v>
      </c>
      <c r="CG1691" s="468">
        <v>588</v>
      </c>
      <c r="CH1691" s="468">
        <v>632</v>
      </c>
      <c r="CI1691" s="468">
        <v>601</v>
      </c>
      <c r="CJ1691" s="468">
        <v>678</v>
      </c>
      <c r="CK1691" s="468">
        <v>722</v>
      </c>
      <c r="CL1691" s="468">
        <v>491</v>
      </c>
      <c r="CM1691" s="468">
        <v>489</v>
      </c>
      <c r="CN1691" s="468">
        <v>471</v>
      </c>
      <c r="CO1691" s="468">
        <v>428</v>
      </c>
      <c r="CP1691" s="468">
        <v>358</v>
      </c>
      <c r="CQ1691" s="468">
        <v>296</v>
      </c>
      <c r="CR1691" s="468">
        <v>291</v>
      </c>
      <c r="CS1691" s="468">
        <v>281</v>
      </c>
      <c r="CT1691" s="468">
        <v>226</v>
      </c>
      <c r="CU1691" s="468">
        <v>209</v>
      </c>
      <c r="CV1691" s="468">
        <v>199</v>
      </c>
      <c r="CW1691" s="468">
        <v>141</v>
      </c>
      <c r="CX1691" s="468">
        <v>118</v>
      </c>
      <c r="CY1691" s="468">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1725</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68">
        <v>527</v>
      </c>
      <c r="N1692" s="468">
        <v>557</v>
      </c>
      <c r="O1692" s="468">
        <v>555</v>
      </c>
      <c r="P1692" s="468">
        <v>581</v>
      </c>
      <c r="Q1692" s="468">
        <v>606</v>
      </c>
      <c r="R1692" s="468">
        <v>651</v>
      </c>
      <c r="S1692" s="468">
        <v>642</v>
      </c>
      <c r="T1692" s="468">
        <v>679</v>
      </c>
      <c r="U1692" s="468">
        <v>704</v>
      </c>
      <c r="V1692" s="468">
        <v>714</v>
      </c>
      <c r="W1692" s="468">
        <v>705</v>
      </c>
      <c r="X1692" s="468">
        <v>709</v>
      </c>
      <c r="Y1692" s="468">
        <v>757</v>
      </c>
      <c r="Z1692" s="468">
        <v>735</v>
      </c>
      <c r="AA1692" s="468">
        <v>698</v>
      </c>
      <c r="AB1692" s="468">
        <v>780</v>
      </c>
      <c r="AC1692" s="468">
        <v>696</v>
      </c>
      <c r="AD1692" s="468">
        <v>764</v>
      </c>
      <c r="AE1692" s="468">
        <v>721</v>
      </c>
      <c r="AF1692" s="468">
        <v>587</v>
      </c>
      <c r="AG1692" s="468">
        <v>490</v>
      </c>
      <c r="AH1692" s="468">
        <v>500</v>
      </c>
      <c r="AI1692" s="468">
        <v>596</v>
      </c>
      <c r="AJ1692" s="468">
        <v>641</v>
      </c>
      <c r="AK1692" s="468">
        <v>603</v>
      </c>
      <c r="AL1692" s="468">
        <v>650</v>
      </c>
      <c r="AM1692" s="468">
        <v>669</v>
      </c>
      <c r="AN1692" s="468">
        <v>616</v>
      </c>
      <c r="AO1692" s="468">
        <v>532</v>
      </c>
      <c r="AP1692" s="468">
        <v>583</v>
      </c>
      <c r="AQ1692" s="468">
        <v>655</v>
      </c>
      <c r="AR1692" s="468">
        <v>732</v>
      </c>
      <c r="AS1692" s="468">
        <v>702</v>
      </c>
      <c r="AT1692" s="468">
        <v>647</v>
      </c>
      <c r="AU1692" s="468">
        <v>607</v>
      </c>
      <c r="AV1692" s="468">
        <v>714</v>
      </c>
      <c r="AW1692" s="468">
        <v>658</v>
      </c>
      <c r="AX1692" s="468">
        <v>651</v>
      </c>
      <c r="AY1692" s="468">
        <v>619</v>
      </c>
      <c r="AZ1692" s="468">
        <v>628</v>
      </c>
      <c r="BA1692" s="468">
        <v>616</v>
      </c>
      <c r="BB1692" s="468">
        <v>626</v>
      </c>
      <c r="BC1692" s="468">
        <v>619</v>
      </c>
      <c r="BD1692" s="468">
        <v>667</v>
      </c>
      <c r="BE1692" s="468">
        <v>608</v>
      </c>
      <c r="BF1692" s="468">
        <v>582</v>
      </c>
      <c r="BG1692" s="468">
        <v>557</v>
      </c>
      <c r="BH1692" s="468">
        <v>583</v>
      </c>
      <c r="BI1692" s="468">
        <v>621</v>
      </c>
      <c r="BJ1692" s="468">
        <v>660</v>
      </c>
      <c r="BK1692" s="468">
        <v>725</v>
      </c>
      <c r="BL1692" s="468">
        <v>748</v>
      </c>
      <c r="BM1692" s="468">
        <v>771</v>
      </c>
      <c r="BN1692" s="468">
        <v>821</v>
      </c>
      <c r="BO1692" s="468">
        <v>820</v>
      </c>
      <c r="BP1692" s="468">
        <v>859</v>
      </c>
      <c r="BQ1692" s="468">
        <v>918</v>
      </c>
      <c r="BR1692" s="468">
        <v>929</v>
      </c>
      <c r="BS1692" s="468">
        <v>940</v>
      </c>
      <c r="BT1692" s="468">
        <v>906</v>
      </c>
      <c r="BU1692" s="468">
        <v>1025</v>
      </c>
      <c r="BV1692" s="468">
        <v>987</v>
      </c>
      <c r="BW1692" s="468">
        <v>922</v>
      </c>
      <c r="BX1692" s="468">
        <v>902</v>
      </c>
      <c r="BY1692" s="468">
        <v>979</v>
      </c>
      <c r="BZ1692" s="468">
        <v>904</v>
      </c>
      <c r="CA1692" s="468">
        <v>858</v>
      </c>
      <c r="CB1692" s="468">
        <v>861</v>
      </c>
      <c r="CC1692" s="468">
        <v>859</v>
      </c>
      <c r="CD1692" s="468">
        <v>881</v>
      </c>
      <c r="CE1692" s="468">
        <v>858</v>
      </c>
      <c r="CF1692" s="468">
        <v>788</v>
      </c>
      <c r="CG1692" s="468">
        <v>819</v>
      </c>
      <c r="CH1692" s="468">
        <v>819</v>
      </c>
      <c r="CI1692" s="468">
        <v>769</v>
      </c>
      <c r="CJ1692" s="468">
        <v>808</v>
      </c>
      <c r="CK1692" s="468">
        <v>861</v>
      </c>
      <c r="CL1692" s="468">
        <v>588</v>
      </c>
      <c r="CM1692" s="468">
        <v>613</v>
      </c>
      <c r="CN1692" s="468">
        <v>589</v>
      </c>
      <c r="CO1692" s="468">
        <v>511</v>
      </c>
      <c r="CP1692" s="468">
        <v>462</v>
      </c>
      <c r="CQ1692" s="468">
        <v>433</v>
      </c>
      <c r="CR1692" s="468">
        <v>384</v>
      </c>
      <c r="CS1692" s="468">
        <v>345</v>
      </c>
      <c r="CT1692" s="468">
        <v>297</v>
      </c>
      <c r="CU1692" s="468">
        <v>234</v>
      </c>
      <c r="CV1692" s="468">
        <v>223</v>
      </c>
      <c r="CW1692" s="468">
        <v>188</v>
      </c>
      <c r="CX1692" s="468">
        <v>113</v>
      </c>
      <c r="CY1692" s="468">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1726</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68">
        <v>500</v>
      </c>
      <c r="N1693" s="468">
        <v>567</v>
      </c>
      <c r="O1693" s="468">
        <v>567</v>
      </c>
      <c r="P1693" s="468">
        <v>565</v>
      </c>
      <c r="Q1693" s="468">
        <v>628</v>
      </c>
      <c r="R1693" s="468">
        <v>679</v>
      </c>
      <c r="S1693" s="468">
        <v>663</v>
      </c>
      <c r="T1693" s="468">
        <v>649</v>
      </c>
      <c r="U1693" s="468">
        <v>706</v>
      </c>
      <c r="V1693" s="468">
        <v>704</v>
      </c>
      <c r="W1693" s="468">
        <v>721</v>
      </c>
      <c r="X1693" s="468">
        <v>696</v>
      </c>
      <c r="Y1693" s="468">
        <v>721</v>
      </c>
      <c r="Z1693" s="468">
        <v>714</v>
      </c>
      <c r="AA1693" s="468">
        <v>729</v>
      </c>
      <c r="AB1693" s="468">
        <v>832</v>
      </c>
      <c r="AC1693" s="468">
        <v>724</v>
      </c>
      <c r="AD1693" s="468">
        <v>726</v>
      </c>
      <c r="AE1693" s="468">
        <v>743</v>
      </c>
      <c r="AF1693" s="468">
        <v>546</v>
      </c>
      <c r="AG1693" s="468">
        <v>499</v>
      </c>
      <c r="AH1693" s="468">
        <v>488</v>
      </c>
      <c r="AI1693" s="468">
        <v>542</v>
      </c>
      <c r="AJ1693" s="468">
        <v>618</v>
      </c>
      <c r="AK1693" s="468">
        <v>731</v>
      </c>
      <c r="AL1693" s="468">
        <v>629</v>
      </c>
      <c r="AM1693" s="468">
        <v>657</v>
      </c>
      <c r="AN1693" s="468">
        <v>702</v>
      </c>
      <c r="AO1693" s="468">
        <v>637</v>
      </c>
      <c r="AP1693" s="468">
        <v>685</v>
      </c>
      <c r="AQ1693" s="468">
        <v>668</v>
      </c>
      <c r="AR1693" s="468">
        <v>675</v>
      </c>
      <c r="AS1693" s="468">
        <v>697</v>
      </c>
      <c r="AT1693" s="468">
        <v>686</v>
      </c>
      <c r="AU1693" s="468">
        <v>676</v>
      </c>
      <c r="AV1693" s="468">
        <v>708</v>
      </c>
      <c r="AW1693" s="468">
        <v>618</v>
      </c>
      <c r="AX1693" s="468">
        <v>646</v>
      </c>
      <c r="AY1693" s="468">
        <v>707</v>
      </c>
      <c r="AZ1693" s="468">
        <v>646</v>
      </c>
      <c r="BA1693" s="468">
        <v>628</v>
      </c>
      <c r="BB1693" s="468">
        <v>688</v>
      </c>
      <c r="BC1693" s="468">
        <v>664</v>
      </c>
      <c r="BD1693" s="468">
        <v>683</v>
      </c>
      <c r="BE1693" s="468">
        <v>662</v>
      </c>
      <c r="BF1693" s="468">
        <v>629</v>
      </c>
      <c r="BG1693" s="468">
        <v>651</v>
      </c>
      <c r="BH1693" s="468">
        <v>664</v>
      </c>
      <c r="BI1693" s="468">
        <v>737</v>
      </c>
      <c r="BJ1693" s="468">
        <v>727</v>
      </c>
      <c r="BK1693" s="468">
        <v>742</v>
      </c>
      <c r="BL1693" s="468">
        <v>939</v>
      </c>
      <c r="BM1693" s="468">
        <v>931</v>
      </c>
      <c r="BN1693" s="468">
        <v>885</v>
      </c>
      <c r="BO1693" s="468">
        <v>995</v>
      </c>
      <c r="BP1693" s="468">
        <v>947</v>
      </c>
      <c r="BQ1693" s="468">
        <v>1071</v>
      </c>
      <c r="BR1693" s="468">
        <v>1051</v>
      </c>
      <c r="BS1693" s="468">
        <v>1105</v>
      </c>
      <c r="BT1693" s="468">
        <v>1052</v>
      </c>
      <c r="BU1693" s="468">
        <v>1097</v>
      </c>
      <c r="BV1693" s="468">
        <v>1105</v>
      </c>
      <c r="BW1693" s="468">
        <v>1093</v>
      </c>
      <c r="BX1693" s="468">
        <v>1092</v>
      </c>
      <c r="BY1693" s="468">
        <v>1073</v>
      </c>
      <c r="BZ1693" s="468">
        <v>974</v>
      </c>
      <c r="CA1693" s="468">
        <v>1011</v>
      </c>
      <c r="CB1693" s="468">
        <v>1034</v>
      </c>
      <c r="CC1693" s="468">
        <v>919</v>
      </c>
      <c r="CD1693" s="468">
        <v>973</v>
      </c>
      <c r="CE1693" s="468">
        <v>971</v>
      </c>
      <c r="CF1693" s="468">
        <v>935</v>
      </c>
      <c r="CG1693" s="468">
        <v>898</v>
      </c>
      <c r="CH1693" s="468">
        <v>940</v>
      </c>
      <c r="CI1693" s="468">
        <v>949</v>
      </c>
      <c r="CJ1693" s="468">
        <v>1019</v>
      </c>
      <c r="CK1693" s="468">
        <v>991</v>
      </c>
      <c r="CL1693" s="468">
        <v>736</v>
      </c>
      <c r="CM1693" s="468">
        <v>674</v>
      </c>
      <c r="CN1693" s="468">
        <v>776</v>
      </c>
      <c r="CO1693" s="468">
        <v>629</v>
      </c>
      <c r="CP1693" s="468">
        <v>531</v>
      </c>
      <c r="CQ1693" s="468">
        <v>455</v>
      </c>
      <c r="CR1693" s="468">
        <v>447</v>
      </c>
      <c r="CS1693" s="468">
        <v>377</v>
      </c>
      <c r="CT1693" s="468">
        <v>377</v>
      </c>
      <c r="CU1693" s="468">
        <v>326</v>
      </c>
      <c r="CV1693" s="468">
        <v>256</v>
      </c>
      <c r="CW1693" s="468">
        <v>251</v>
      </c>
      <c r="CX1693" s="468">
        <v>205</v>
      </c>
      <c r="CY1693" s="468">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1727</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68">
        <v>1140</v>
      </c>
      <c r="N1694" s="468">
        <v>1193</v>
      </c>
      <c r="O1694" s="468">
        <v>1210</v>
      </c>
      <c r="P1694" s="468">
        <v>1259</v>
      </c>
      <c r="Q1694" s="468">
        <v>1323</v>
      </c>
      <c r="R1694" s="468">
        <v>1394</v>
      </c>
      <c r="S1694" s="468">
        <v>1347</v>
      </c>
      <c r="T1694" s="468">
        <v>1353</v>
      </c>
      <c r="U1694" s="468">
        <v>1441</v>
      </c>
      <c r="V1694" s="468">
        <v>1459</v>
      </c>
      <c r="W1694" s="468">
        <v>1469</v>
      </c>
      <c r="X1694" s="468">
        <v>1475</v>
      </c>
      <c r="Y1694" s="468">
        <v>1526</v>
      </c>
      <c r="Z1694" s="468">
        <v>1426</v>
      </c>
      <c r="AA1694" s="468">
        <v>1603</v>
      </c>
      <c r="AB1694" s="468">
        <v>1474</v>
      </c>
      <c r="AC1694" s="468">
        <v>1488</v>
      </c>
      <c r="AD1694" s="468">
        <v>1401</v>
      </c>
      <c r="AE1694" s="468">
        <v>1439</v>
      </c>
      <c r="AF1694" s="468">
        <v>1327</v>
      </c>
      <c r="AG1694" s="468">
        <v>1440</v>
      </c>
      <c r="AH1694" s="468">
        <v>1440</v>
      </c>
      <c r="AI1694" s="468">
        <v>1500</v>
      </c>
      <c r="AJ1694" s="468">
        <v>1367</v>
      </c>
      <c r="AK1694" s="468">
        <v>1559</v>
      </c>
      <c r="AL1694" s="468">
        <v>1408</v>
      </c>
      <c r="AM1694" s="468">
        <v>1581</v>
      </c>
      <c r="AN1694" s="468">
        <v>1460</v>
      </c>
      <c r="AO1694" s="468">
        <v>1582</v>
      </c>
      <c r="AP1694" s="468">
        <v>1538</v>
      </c>
      <c r="AQ1694" s="468">
        <v>1616</v>
      </c>
      <c r="AR1694" s="468">
        <v>1610</v>
      </c>
      <c r="AS1694" s="468">
        <v>1537</v>
      </c>
      <c r="AT1694" s="468">
        <v>1739</v>
      </c>
      <c r="AU1694" s="468">
        <v>1696</v>
      </c>
      <c r="AV1694" s="468">
        <v>1559</v>
      </c>
      <c r="AW1694" s="468">
        <v>1589</v>
      </c>
      <c r="AX1694" s="468">
        <v>1564</v>
      </c>
      <c r="AY1694" s="468">
        <v>1593</v>
      </c>
      <c r="AZ1694" s="468">
        <v>1551</v>
      </c>
      <c r="BA1694" s="468">
        <v>1502</v>
      </c>
      <c r="BB1694" s="468">
        <v>1496</v>
      </c>
      <c r="BC1694" s="468">
        <v>1401</v>
      </c>
      <c r="BD1694" s="468">
        <v>1480</v>
      </c>
      <c r="BE1694" s="468">
        <v>1460</v>
      </c>
      <c r="BF1694" s="468">
        <v>1318</v>
      </c>
      <c r="BG1694" s="468">
        <v>1264</v>
      </c>
      <c r="BH1694" s="468">
        <v>1238</v>
      </c>
      <c r="BI1694" s="468">
        <v>1355</v>
      </c>
      <c r="BJ1694" s="468">
        <v>1271</v>
      </c>
      <c r="BK1694" s="468">
        <v>1523</v>
      </c>
      <c r="BL1694" s="468">
        <v>1620</v>
      </c>
      <c r="BM1694" s="468">
        <v>1690</v>
      </c>
      <c r="BN1694" s="468">
        <v>1562</v>
      </c>
      <c r="BO1694" s="468">
        <v>1621</v>
      </c>
      <c r="BP1694" s="468">
        <v>1659</v>
      </c>
      <c r="BQ1694" s="468">
        <v>1650</v>
      </c>
      <c r="BR1694" s="468">
        <v>1681</v>
      </c>
      <c r="BS1694" s="468">
        <v>1724</v>
      </c>
      <c r="BT1694" s="468">
        <v>1621</v>
      </c>
      <c r="BU1694" s="468">
        <v>1572</v>
      </c>
      <c r="BV1694" s="468">
        <v>1600</v>
      </c>
      <c r="BW1694" s="468">
        <v>1483</v>
      </c>
      <c r="BX1694" s="468">
        <v>1337</v>
      </c>
      <c r="BY1694" s="468">
        <v>1422</v>
      </c>
      <c r="BZ1694" s="468">
        <v>1370</v>
      </c>
      <c r="CA1694" s="468">
        <v>1353</v>
      </c>
      <c r="CB1694" s="468">
        <v>1253</v>
      </c>
      <c r="CC1694" s="468">
        <v>1168</v>
      </c>
      <c r="CD1694" s="468">
        <v>1192</v>
      </c>
      <c r="CE1694" s="468">
        <v>1131</v>
      </c>
      <c r="CF1694" s="468">
        <v>1211</v>
      </c>
      <c r="CG1694" s="468">
        <v>1146</v>
      </c>
      <c r="CH1694" s="468">
        <v>1188</v>
      </c>
      <c r="CI1694" s="468">
        <v>1207</v>
      </c>
      <c r="CJ1694" s="468">
        <v>1233</v>
      </c>
      <c r="CK1694" s="468">
        <v>1235</v>
      </c>
      <c r="CL1694" s="468">
        <v>1028</v>
      </c>
      <c r="CM1694" s="468">
        <v>956</v>
      </c>
      <c r="CN1694" s="468">
        <v>790</v>
      </c>
      <c r="CO1694" s="468">
        <v>668</v>
      </c>
      <c r="CP1694" s="468">
        <v>634</v>
      </c>
      <c r="CQ1694" s="468">
        <v>539</v>
      </c>
      <c r="CR1694" s="468">
        <v>489</v>
      </c>
      <c r="CS1694" s="468">
        <v>429</v>
      </c>
      <c r="CT1694" s="468">
        <v>400</v>
      </c>
      <c r="CU1694" s="468">
        <v>325</v>
      </c>
      <c r="CV1694" s="468">
        <v>310</v>
      </c>
      <c r="CW1694" s="468">
        <v>259</v>
      </c>
      <c r="CX1694" s="468">
        <v>199</v>
      </c>
      <c r="CY1694" s="468">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1728</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68">
        <v>1058</v>
      </c>
      <c r="N1695" s="468">
        <v>1165</v>
      </c>
      <c r="O1695" s="468">
        <v>1112</v>
      </c>
      <c r="P1695" s="468">
        <v>1172</v>
      </c>
      <c r="Q1695" s="468">
        <v>1276</v>
      </c>
      <c r="R1695" s="468">
        <v>1280</v>
      </c>
      <c r="S1695" s="468">
        <v>1294</v>
      </c>
      <c r="T1695" s="468">
        <v>1422</v>
      </c>
      <c r="U1695" s="468">
        <v>1400</v>
      </c>
      <c r="V1695" s="468">
        <v>1380</v>
      </c>
      <c r="W1695" s="468">
        <v>1437</v>
      </c>
      <c r="X1695" s="468">
        <v>1491</v>
      </c>
      <c r="Y1695" s="468">
        <v>1515</v>
      </c>
      <c r="Z1695" s="468">
        <v>1424</v>
      </c>
      <c r="AA1695" s="468">
        <v>1475</v>
      </c>
      <c r="AB1695" s="468">
        <v>1559</v>
      </c>
      <c r="AC1695" s="468">
        <v>1400</v>
      </c>
      <c r="AD1695" s="468">
        <v>1416</v>
      </c>
      <c r="AE1695" s="468">
        <v>1531</v>
      </c>
      <c r="AF1695" s="468">
        <v>1930</v>
      </c>
      <c r="AG1695" s="468">
        <v>2567</v>
      </c>
      <c r="AH1695" s="468">
        <v>2891</v>
      </c>
      <c r="AI1695" s="468">
        <v>2711</v>
      </c>
      <c r="AJ1695" s="468">
        <v>2259</v>
      </c>
      <c r="AK1695" s="468">
        <v>1905</v>
      </c>
      <c r="AL1695" s="468">
        <v>1512</v>
      </c>
      <c r="AM1695" s="468">
        <v>1601</v>
      </c>
      <c r="AN1695" s="468">
        <v>1579</v>
      </c>
      <c r="AO1695" s="468">
        <v>1461</v>
      </c>
      <c r="AP1695" s="468">
        <v>1487</v>
      </c>
      <c r="AQ1695" s="468">
        <v>1489</v>
      </c>
      <c r="AR1695" s="468">
        <v>1578</v>
      </c>
      <c r="AS1695" s="468">
        <v>1618</v>
      </c>
      <c r="AT1695" s="468">
        <v>1710</v>
      </c>
      <c r="AU1695" s="468">
        <v>1510</v>
      </c>
      <c r="AV1695" s="468">
        <v>1561</v>
      </c>
      <c r="AW1695" s="468">
        <v>1551</v>
      </c>
      <c r="AX1695" s="468">
        <v>1529</v>
      </c>
      <c r="AY1695" s="468">
        <v>1639</v>
      </c>
      <c r="AZ1695" s="468">
        <v>1427</v>
      </c>
      <c r="BA1695" s="468">
        <v>1494</v>
      </c>
      <c r="BB1695" s="468">
        <v>1424</v>
      </c>
      <c r="BC1695" s="468">
        <v>1458</v>
      </c>
      <c r="BD1695" s="468">
        <v>1607</v>
      </c>
      <c r="BE1695" s="468">
        <v>1342</v>
      </c>
      <c r="BF1695" s="468">
        <v>1281</v>
      </c>
      <c r="BG1695" s="468">
        <v>1291</v>
      </c>
      <c r="BH1695" s="468">
        <v>1360</v>
      </c>
      <c r="BI1695" s="468">
        <v>1382</v>
      </c>
      <c r="BJ1695" s="468">
        <v>1354</v>
      </c>
      <c r="BK1695" s="468">
        <v>1335</v>
      </c>
      <c r="BL1695" s="468">
        <v>1459</v>
      </c>
      <c r="BM1695" s="468">
        <v>1490</v>
      </c>
      <c r="BN1695" s="468">
        <v>1528</v>
      </c>
      <c r="BO1695" s="468">
        <v>1692</v>
      </c>
      <c r="BP1695" s="468">
        <v>1545</v>
      </c>
      <c r="BQ1695" s="468">
        <v>1520</v>
      </c>
      <c r="BR1695" s="468">
        <v>1533</v>
      </c>
      <c r="BS1695" s="468">
        <v>1670</v>
      </c>
      <c r="BT1695" s="468">
        <v>1629</v>
      </c>
      <c r="BU1695" s="468">
        <v>1477</v>
      </c>
      <c r="BV1695" s="468">
        <v>1504</v>
      </c>
      <c r="BW1695" s="468">
        <v>1450</v>
      </c>
      <c r="BX1695" s="468">
        <v>1418</v>
      </c>
      <c r="BY1695" s="468">
        <v>1382</v>
      </c>
      <c r="BZ1695" s="468">
        <v>1341</v>
      </c>
      <c r="CA1695" s="468">
        <v>1262</v>
      </c>
      <c r="CB1695" s="468">
        <v>1231</v>
      </c>
      <c r="CC1695" s="468">
        <v>1184</v>
      </c>
      <c r="CD1695" s="468">
        <v>1167</v>
      </c>
      <c r="CE1695" s="468">
        <v>1199</v>
      </c>
      <c r="CF1695" s="468">
        <v>1144</v>
      </c>
      <c r="CG1695" s="468">
        <v>1062</v>
      </c>
      <c r="CH1695" s="468">
        <v>1162</v>
      </c>
      <c r="CI1695" s="468">
        <v>1152</v>
      </c>
      <c r="CJ1695" s="468">
        <v>1198</v>
      </c>
      <c r="CK1695" s="468">
        <v>1296</v>
      </c>
      <c r="CL1695" s="468">
        <v>839</v>
      </c>
      <c r="CM1695" s="468">
        <v>878</v>
      </c>
      <c r="CN1695" s="468">
        <v>862</v>
      </c>
      <c r="CO1695" s="468">
        <v>807</v>
      </c>
      <c r="CP1695" s="468">
        <v>699</v>
      </c>
      <c r="CQ1695" s="468">
        <v>561</v>
      </c>
      <c r="CR1695" s="468">
        <v>554</v>
      </c>
      <c r="CS1695" s="468">
        <v>483</v>
      </c>
      <c r="CT1695" s="468">
        <v>465</v>
      </c>
      <c r="CU1695" s="468">
        <v>399</v>
      </c>
      <c r="CV1695" s="468">
        <v>354</v>
      </c>
      <c r="CW1695" s="468">
        <v>304</v>
      </c>
      <c r="CX1695" s="468">
        <v>227</v>
      </c>
      <c r="CY1695" s="468">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1729</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68">
        <v>488</v>
      </c>
      <c r="N1696" s="468">
        <v>536</v>
      </c>
      <c r="O1696" s="468">
        <v>477</v>
      </c>
      <c r="P1696" s="468">
        <v>559</v>
      </c>
      <c r="Q1696" s="468">
        <v>552</v>
      </c>
      <c r="R1696" s="468">
        <v>510</v>
      </c>
      <c r="S1696" s="468">
        <v>560</v>
      </c>
      <c r="T1696" s="468">
        <v>595</v>
      </c>
      <c r="U1696" s="468">
        <v>520</v>
      </c>
      <c r="V1696" s="468">
        <v>560</v>
      </c>
      <c r="W1696" s="468">
        <v>568</v>
      </c>
      <c r="X1696" s="468">
        <v>600</v>
      </c>
      <c r="Y1696" s="468">
        <v>617</v>
      </c>
      <c r="Z1696" s="468">
        <v>583</v>
      </c>
      <c r="AA1696" s="468">
        <v>632</v>
      </c>
      <c r="AB1696" s="468">
        <v>587</v>
      </c>
      <c r="AC1696" s="468">
        <v>566</v>
      </c>
      <c r="AD1696" s="468">
        <v>602</v>
      </c>
      <c r="AE1696" s="468">
        <v>574</v>
      </c>
      <c r="AF1696" s="468">
        <v>433</v>
      </c>
      <c r="AG1696" s="468">
        <v>417</v>
      </c>
      <c r="AH1696" s="468">
        <v>415</v>
      </c>
      <c r="AI1696" s="468">
        <v>426</v>
      </c>
      <c r="AJ1696" s="468">
        <v>473</v>
      </c>
      <c r="AK1696" s="468">
        <v>478</v>
      </c>
      <c r="AL1696" s="468">
        <v>522</v>
      </c>
      <c r="AM1696" s="468">
        <v>600</v>
      </c>
      <c r="AN1696" s="468">
        <v>548</v>
      </c>
      <c r="AO1696" s="468">
        <v>607</v>
      </c>
      <c r="AP1696" s="468">
        <v>562</v>
      </c>
      <c r="AQ1696" s="468">
        <v>542</v>
      </c>
      <c r="AR1696" s="468">
        <v>610</v>
      </c>
      <c r="AS1696" s="468">
        <v>637</v>
      </c>
      <c r="AT1696" s="468">
        <v>624</v>
      </c>
      <c r="AU1696" s="468">
        <v>628</v>
      </c>
      <c r="AV1696" s="468">
        <v>575</v>
      </c>
      <c r="AW1696" s="468">
        <v>605</v>
      </c>
      <c r="AX1696" s="468">
        <v>611</v>
      </c>
      <c r="AY1696" s="468">
        <v>580</v>
      </c>
      <c r="AZ1696" s="468">
        <v>541</v>
      </c>
      <c r="BA1696" s="468">
        <v>549</v>
      </c>
      <c r="BB1696" s="468">
        <v>563</v>
      </c>
      <c r="BC1696" s="468">
        <v>482</v>
      </c>
      <c r="BD1696" s="468">
        <v>532</v>
      </c>
      <c r="BE1696" s="468">
        <v>542</v>
      </c>
      <c r="BF1696" s="468">
        <v>440</v>
      </c>
      <c r="BG1696" s="468">
        <v>519</v>
      </c>
      <c r="BH1696" s="468">
        <v>436</v>
      </c>
      <c r="BI1696" s="468">
        <v>496</v>
      </c>
      <c r="BJ1696" s="468">
        <v>490</v>
      </c>
      <c r="BK1696" s="468">
        <v>555</v>
      </c>
      <c r="BL1696" s="468">
        <v>579</v>
      </c>
      <c r="BM1696" s="468">
        <v>638</v>
      </c>
      <c r="BN1696" s="468">
        <v>629</v>
      </c>
      <c r="BO1696" s="468">
        <v>591</v>
      </c>
      <c r="BP1696" s="468">
        <v>589</v>
      </c>
      <c r="BQ1696" s="468">
        <v>629</v>
      </c>
      <c r="BR1696" s="468">
        <v>632</v>
      </c>
      <c r="BS1696" s="468">
        <v>712</v>
      </c>
      <c r="BT1696" s="468">
        <v>639</v>
      </c>
      <c r="BU1696" s="468">
        <v>673</v>
      </c>
      <c r="BV1696" s="468">
        <v>662</v>
      </c>
      <c r="BW1696" s="468">
        <v>647</v>
      </c>
      <c r="BX1696" s="468">
        <v>569</v>
      </c>
      <c r="BY1696" s="468">
        <v>570</v>
      </c>
      <c r="BZ1696" s="468">
        <v>582</v>
      </c>
      <c r="CA1696" s="468">
        <v>509</v>
      </c>
      <c r="CB1696" s="468">
        <v>481</v>
      </c>
      <c r="CC1696" s="468">
        <v>468</v>
      </c>
      <c r="CD1696" s="468">
        <v>525</v>
      </c>
      <c r="CE1696" s="468">
        <v>460</v>
      </c>
      <c r="CF1696" s="468">
        <v>473</v>
      </c>
      <c r="CG1696" s="468">
        <v>453</v>
      </c>
      <c r="CH1696" s="468">
        <v>449</v>
      </c>
      <c r="CI1696" s="468">
        <v>461</v>
      </c>
      <c r="CJ1696" s="468">
        <v>450</v>
      </c>
      <c r="CK1696" s="468">
        <v>525</v>
      </c>
      <c r="CL1696" s="468">
        <v>373</v>
      </c>
      <c r="CM1696" s="468">
        <v>376</v>
      </c>
      <c r="CN1696" s="468">
        <v>334</v>
      </c>
      <c r="CO1696" s="468">
        <v>283</v>
      </c>
      <c r="CP1696" s="468">
        <v>254</v>
      </c>
      <c r="CQ1696" s="468">
        <v>226</v>
      </c>
      <c r="CR1696" s="468">
        <v>201</v>
      </c>
      <c r="CS1696" s="468">
        <v>207</v>
      </c>
      <c r="CT1696" s="468">
        <v>181</v>
      </c>
      <c r="CU1696" s="468">
        <v>135</v>
      </c>
      <c r="CV1696" s="468">
        <v>127</v>
      </c>
      <c r="CW1696" s="468">
        <v>100</v>
      </c>
      <c r="CX1696" s="468">
        <v>101</v>
      </c>
      <c r="CY1696" s="468">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1730</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68">
        <v>594</v>
      </c>
      <c r="N1697" s="468">
        <v>672</v>
      </c>
      <c r="O1697" s="468">
        <v>677</v>
      </c>
      <c r="P1697" s="468">
        <v>712</v>
      </c>
      <c r="Q1697" s="468">
        <v>754</v>
      </c>
      <c r="R1697" s="468">
        <v>738</v>
      </c>
      <c r="S1697" s="468">
        <v>825</v>
      </c>
      <c r="T1697" s="468">
        <v>782</v>
      </c>
      <c r="U1697" s="468">
        <v>774</v>
      </c>
      <c r="V1697" s="468">
        <v>814</v>
      </c>
      <c r="W1697" s="468">
        <v>875</v>
      </c>
      <c r="X1697" s="468">
        <v>899</v>
      </c>
      <c r="Y1697" s="468">
        <v>880</v>
      </c>
      <c r="Z1697" s="468">
        <v>900</v>
      </c>
      <c r="AA1697" s="468">
        <v>906</v>
      </c>
      <c r="AB1697" s="468">
        <v>863</v>
      </c>
      <c r="AC1697" s="468">
        <v>859</v>
      </c>
      <c r="AD1697" s="468">
        <v>772</v>
      </c>
      <c r="AE1697" s="468">
        <v>733</v>
      </c>
      <c r="AF1697" s="468">
        <v>597</v>
      </c>
      <c r="AG1697" s="468">
        <v>564</v>
      </c>
      <c r="AH1697" s="468">
        <v>512</v>
      </c>
      <c r="AI1697" s="468">
        <v>663</v>
      </c>
      <c r="AJ1697" s="468">
        <v>713</v>
      </c>
      <c r="AK1697" s="468">
        <v>713</v>
      </c>
      <c r="AL1697" s="468">
        <v>669</v>
      </c>
      <c r="AM1697" s="468">
        <v>723</v>
      </c>
      <c r="AN1697" s="468">
        <v>699</v>
      </c>
      <c r="AO1697" s="468">
        <v>711</v>
      </c>
      <c r="AP1697" s="468">
        <v>745</v>
      </c>
      <c r="AQ1697" s="468">
        <v>703</v>
      </c>
      <c r="AR1697" s="468">
        <v>734</v>
      </c>
      <c r="AS1697" s="468">
        <v>736</v>
      </c>
      <c r="AT1697" s="468">
        <v>729</v>
      </c>
      <c r="AU1697" s="468">
        <v>809</v>
      </c>
      <c r="AV1697" s="468">
        <v>846</v>
      </c>
      <c r="AW1697" s="468">
        <v>831</v>
      </c>
      <c r="AX1697" s="468">
        <v>887</v>
      </c>
      <c r="AY1697" s="468">
        <v>751</v>
      </c>
      <c r="AZ1697" s="468">
        <v>763</v>
      </c>
      <c r="BA1697" s="468">
        <v>823</v>
      </c>
      <c r="BB1697" s="468">
        <v>841</v>
      </c>
      <c r="BC1697" s="468">
        <v>930</v>
      </c>
      <c r="BD1697" s="468">
        <v>904</v>
      </c>
      <c r="BE1697" s="468">
        <v>833</v>
      </c>
      <c r="BF1697" s="468">
        <v>696</v>
      </c>
      <c r="BG1697" s="468">
        <v>730</v>
      </c>
      <c r="BH1697" s="468">
        <v>733</v>
      </c>
      <c r="BI1697" s="468">
        <v>808</v>
      </c>
      <c r="BJ1697" s="468">
        <v>779</v>
      </c>
      <c r="BK1697" s="468">
        <v>823</v>
      </c>
      <c r="BL1697" s="468">
        <v>856</v>
      </c>
      <c r="BM1697" s="468">
        <v>879</v>
      </c>
      <c r="BN1697" s="468">
        <v>870</v>
      </c>
      <c r="BO1697" s="468">
        <v>912</v>
      </c>
      <c r="BP1697" s="468">
        <v>884</v>
      </c>
      <c r="BQ1697" s="468">
        <v>932</v>
      </c>
      <c r="BR1697" s="468">
        <v>862</v>
      </c>
      <c r="BS1697" s="468">
        <v>889</v>
      </c>
      <c r="BT1697" s="468">
        <v>947</v>
      </c>
      <c r="BU1697" s="468">
        <v>906</v>
      </c>
      <c r="BV1697" s="468">
        <v>916</v>
      </c>
      <c r="BW1697" s="468">
        <v>915</v>
      </c>
      <c r="BX1697" s="468">
        <v>827</v>
      </c>
      <c r="BY1697" s="468">
        <v>849</v>
      </c>
      <c r="BZ1697" s="468">
        <v>747</v>
      </c>
      <c r="CA1697" s="468">
        <v>787</v>
      </c>
      <c r="CB1697" s="468">
        <v>746</v>
      </c>
      <c r="CC1697" s="468">
        <v>747</v>
      </c>
      <c r="CD1697" s="468">
        <v>737</v>
      </c>
      <c r="CE1697" s="468">
        <v>745</v>
      </c>
      <c r="CF1697" s="468">
        <v>680</v>
      </c>
      <c r="CG1697" s="468">
        <v>701</v>
      </c>
      <c r="CH1697" s="468">
        <v>697</v>
      </c>
      <c r="CI1697" s="468">
        <v>697</v>
      </c>
      <c r="CJ1697" s="468">
        <v>718</v>
      </c>
      <c r="CK1697" s="468">
        <v>744</v>
      </c>
      <c r="CL1697" s="468">
        <v>543</v>
      </c>
      <c r="CM1697" s="468">
        <v>528</v>
      </c>
      <c r="CN1697" s="468">
        <v>542</v>
      </c>
      <c r="CO1697" s="468">
        <v>437</v>
      </c>
      <c r="CP1697" s="468">
        <v>390</v>
      </c>
      <c r="CQ1697" s="468">
        <v>363</v>
      </c>
      <c r="CR1697" s="468">
        <v>328</v>
      </c>
      <c r="CS1697" s="468">
        <v>306</v>
      </c>
      <c r="CT1697" s="468">
        <v>271</v>
      </c>
      <c r="CU1697" s="468">
        <v>211</v>
      </c>
      <c r="CV1697" s="468">
        <v>208</v>
      </c>
      <c r="CW1697" s="468">
        <v>147</v>
      </c>
      <c r="CX1697" s="468">
        <v>131</v>
      </c>
      <c r="CY1697" s="468">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1731</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68">
        <v>645</v>
      </c>
      <c r="N1698" s="468">
        <v>694</v>
      </c>
      <c r="O1698" s="468">
        <v>669</v>
      </c>
      <c r="P1698" s="468">
        <v>760</v>
      </c>
      <c r="Q1698" s="468">
        <v>740</v>
      </c>
      <c r="R1698" s="468">
        <v>727</v>
      </c>
      <c r="S1698" s="468">
        <v>786</v>
      </c>
      <c r="T1698" s="468">
        <v>791</v>
      </c>
      <c r="U1698" s="468">
        <v>773</v>
      </c>
      <c r="V1698" s="468">
        <v>817</v>
      </c>
      <c r="W1698" s="468">
        <v>873</v>
      </c>
      <c r="X1698" s="468">
        <v>853</v>
      </c>
      <c r="Y1698" s="468">
        <v>858</v>
      </c>
      <c r="Z1698" s="468">
        <v>867</v>
      </c>
      <c r="AA1698" s="468">
        <v>882</v>
      </c>
      <c r="AB1698" s="468">
        <v>828</v>
      </c>
      <c r="AC1698" s="468">
        <v>852</v>
      </c>
      <c r="AD1698" s="468">
        <v>834</v>
      </c>
      <c r="AE1698" s="468">
        <v>822</v>
      </c>
      <c r="AF1698" s="468">
        <v>691</v>
      </c>
      <c r="AG1698" s="468">
        <v>622</v>
      </c>
      <c r="AH1698" s="468">
        <v>632</v>
      </c>
      <c r="AI1698" s="468">
        <v>665</v>
      </c>
      <c r="AJ1698" s="468">
        <v>726</v>
      </c>
      <c r="AK1698" s="468">
        <v>779</v>
      </c>
      <c r="AL1698" s="468">
        <v>786</v>
      </c>
      <c r="AM1698" s="468">
        <v>814</v>
      </c>
      <c r="AN1698" s="468">
        <v>776</v>
      </c>
      <c r="AO1698" s="468">
        <v>844</v>
      </c>
      <c r="AP1698" s="468">
        <v>828</v>
      </c>
      <c r="AQ1698" s="468">
        <v>844</v>
      </c>
      <c r="AR1698" s="468">
        <v>781</v>
      </c>
      <c r="AS1698" s="468">
        <v>903</v>
      </c>
      <c r="AT1698" s="468">
        <v>892</v>
      </c>
      <c r="AU1698" s="468">
        <v>864</v>
      </c>
      <c r="AV1698" s="468">
        <v>903</v>
      </c>
      <c r="AW1698" s="468">
        <v>886</v>
      </c>
      <c r="AX1698" s="468">
        <v>939</v>
      </c>
      <c r="AY1698" s="468">
        <v>912</v>
      </c>
      <c r="AZ1698" s="468">
        <v>855</v>
      </c>
      <c r="BA1698" s="468">
        <v>853</v>
      </c>
      <c r="BB1698" s="468">
        <v>823</v>
      </c>
      <c r="BC1698" s="468">
        <v>886</v>
      </c>
      <c r="BD1698" s="468">
        <v>921</v>
      </c>
      <c r="BE1698" s="468">
        <v>882</v>
      </c>
      <c r="BF1698" s="468">
        <v>726</v>
      </c>
      <c r="BG1698" s="468">
        <v>757</v>
      </c>
      <c r="BH1698" s="468">
        <v>801</v>
      </c>
      <c r="BI1698" s="468">
        <v>794</v>
      </c>
      <c r="BJ1698" s="468">
        <v>783</v>
      </c>
      <c r="BK1698" s="468">
        <v>908</v>
      </c>
      <c r="BL1698" s="468">
        <v>954</v>
      </c>
      <c r="BM1698" s="468">
        <v>1009</v>
      </c>
      <c r="BN1698" s="468">
        <v>1001</v>
      </c>
      <c r="BO1698" s="468">
        <v>1001</v>
      </c>
      <c r="BP1698" s="468">
        <v>969</v>
      </c>
      <c r="BQ1698" s="468">
        <v>962</v>
      </c>
      <c r="BR1698" s="468">
        <v>993</v>
      </c>
      <c r="BS1698" s="468">
        <v>983</v>
      </c>
      <c r="BT1698" s="468">
        <v>975</v>
      </c>
      <c r="BU1698" s="468">
        <v>962</v>
      </c>
      <c r="BV1698" s="468">
        <v>895</v>
      </c>
      <c r="BW1698" s="468">
        <v>892</v>
      </c>
      <c r="BX1698" s="468">
        <v>838</v>
      </c>
      <c r="BY1698" s="468">
        <v>735</v>
      </c>
      <c r="BZ1698" s="468">
        <v>787</v>
      </c>
      <c r="CA1698" s="468">
        <v>784</v>
      </c>
      <c r="CB1698" s="468">
        <v>763</v>
      </c>
      <c r="CC1698" s="468">
        <v>694</v>
      </c>
      <c r="CD1698" s="468">
        <v>683</v>
      </c>
      <c r="CE1698" s="468">
        <v>703</v>
      </c>
      <c r="CF1698" s="468">
        <v>668</v>
      </c>
      <c r="CG1698" s="468">
        <v>663</v>
      </c>
      <c r="CH1698" s="468">
        <v>662</v>
      </c>
      <c r="CI1698" s="468">
        <v>675</v>
      </c>
      <c r="CJ1698" s="468">
        <v>680</v>
      </c>
      <c r="CK1698" s="468">
        <v>725</v>
      </c>
      <c r="CL1698" s="468">
        <v>549</v>
      </c>
      <c r="CM1698" s="468">
        <v>478</v>
      </c>
      <c r="CN1698" s="468">
        <v>487</v>
      </c>
      <c r="CO1698" s="468">
        <v>472</v>
      </c>
      <c r="CP1698" s="468">
        <v>402</v>
      </c>
      <c r="CQ1698" s="468">
        <v>321</v>
      </c>
      <c r="CR1698" s="468">
        <v>281</v>
      </c>
      <c r="CS1698" s="468">
        <v>251</v>
      </c>
      <c r="CT1698" s="468">
        <v>253</v>
      </c>
      <c r="CU1698" s="468">
        <v>212</v>
      </c>
      <c r="CV1698" s="468">
        <v>195</v>
      </c>
      <c r="CW1698" s="468">
        <v>135</v>
      </c>
      <c r="CX1698" s="468">
        <v>112</v>
      </c>
      <c r="CY1698" s="468">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1732</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1733</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1734</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1735</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1736</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1737</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1738</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1739</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1740</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1741</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1742</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739" t="s">
        <v>1743</v>
      </c>
      <c r="B1714" s="740"/>
      <c r="C1714" s="741"/>
      <c r="D1714" s="738"/>
      <c r="E1714" s="738"/>
      <c r="F1714" s="738"/>
      <c r="G1714" s="738"/>
      <c r="H1714" s="738"/>
      <c r="I1714" s="738"/>
      <c r="J1714" s="738"/>
      <c r="K1714" s="738"/>
      <c r="L1714" s="738"/>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488" t="s">
        <v>1744</v>
      </c>
      <c r="E1716" s="489" t="s">
        <v>1745</v>
      </c>
      <c r="F1716" s="488"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490" t="s">
        <v>1747</v>
      </c>
      <c r="E1717" s="490" t="s">
        <v>1747</v>
      </c>
      <c r="F1717" s="490"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490">
        <v>2023</v>
      </c>
      <c r="E1718" s="491">
        <v>2024</v>
      </c>
      <c r="F1718" s="490">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1748</v>
      </c>
      <c r="D1719" s="492">
        <v>57690323</v>
      </c>
      <c r="E1719" s="493"/>
      <c r="F1719" s="494"/>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495" t="s">
        <v>1749</v>
      </c>
      <c r="D1720" s="496"/>
      <c r="E1720" s="497"/>
      <c r="F1720" s="492">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495" t="s">
        <v>1750</v>
      </c>
      <c r="D1721" s="496"/>
      <c r="E1721" s="498"/>
      <c r="F1721" s="719">
        <f>(F1720-D1719)/D1719</f>
        <v>2.5222393017282987E-2</v>
      </c>
      <c r="G1721" s="723">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495" t="s">
        <v>1751</v>
      </c>
      <c r="D1722" s="496"/>
      <c r="E1722" s="499"/>
      <c r="F1722" s="492">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495" t="s">
        <v>1752</v>
      </c>
      <c r="D1723" s="496"/>
      <c r="E1723" s="499"/>
      <c r="F1723" s="492">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739" t="s">
        <v>1753</v>
      </c>
      <c r="B1726" s="740"/>
      <c r="C1726" s="741"/>
      <c r="D1726" s="738"/>
      <c r="E1726" s="738"/>
      <c r="F1726" s="738"/>
      <c r="G1726" s="738"/>
      <c r="H1726" s="738"/>
      <c r="I1726" s="738"/>
      <c r="J1726" s="738"/>
      <c r="K1726" s="738"/>
      <c r="L1726" s="738"/>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500"/>
      <c r="K1727" s="501" t="s">
        <v>1754</v>
      </c>
      <c r="L1727" s="50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484"/>
      <c r="B1728" s="485"/>
      <c r="C1728" s="20" t="s">
        <v>1755</v>
      </c>
      <c r="D1728" s="127" t="s">
        <v>1756</v>
      </c>
      <c r="E1728" s="127" t="s">
        <v>1757</v>
      </c>
      <c r="F1728" s="127" t="s">
        <v>1758</v>
      </c>
      <c r="G1728" s="127" t="s">
        <v>1759</v>
      </c>
      <c r="H1728" s="127" t="s">
        <v>1760</v>
      </c>
      <c r="I1728" s="127" t="s">
        <v>1761</v>
      </c>
      <c r="J1728" s="725" t="s">
        <v>1762</v>
      </c>
      <c r="K1728" s="726" t="s">
        <v>1763</v>
      </c>
      <c r="L1728" s="297"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486"/>
      <c r="C1729" s="20" t="s">
        <v>1765</v>
      </c>
      <c r="D1729" s="894" t="s">
        <v>1766</v>
      </c>
      <c r="E1729" s="895"/>
      <c r="F1729" s="895"/>
      <c r="G1729" s="895"/>
      <c r="H1729" s="895"/>
      <c r="I1729" s="896"/>
      <c r="J1729" s="727"/>
      <c r="K1729" s="727"/>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486"/>
      <c r="B1730" s="10">
        <v>0</v>
      </c>
      <c r="C1730" s="126" t="s">
        <v>1767</v>
      </c>
      <c r="D1730" s="130"/>
      <c r="E1730" s="130"/>
      <c r="F1730" s="130"/>
      <c r="G1730" s="130"/>
      <c r="H1730" s="130"/>
      <c r="I1730" s="130"/>
      <c r="J1730" s="727"/>
      <c r="K1730" s="727"/>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486"/>
      <c r="B1731" s="10">
        <v>1</v>
      </c>
      <c r="C1731" s="853" t="s">
        <v>1768</v>
      </c>
      <c r="D1731" s="427"/>
      <c r="E1731" s="427">
        <v>1.0083396326386167</v>
      </c>
      <c r="F1731" s="427">
        <v>1.0068144721288348</v>
      </c>
      <c r="G1731" s="427">
        <v>1.0052783852289084</v>
      </c>
      <c r="H1731" s="427">
        <v>1.005159569821475</v>
      </c>
      <c r="I1731" s="427">
        <v>1.005034244714381</v>
      </c>
      <c r="J1731" s="728">
        <f>(I1731-100%)/5</f>
        <v>1.0068489428761928E-3</v>
      </c>
      <c r="K1731" s="729">
        <f t="shared" ref="K1731:K1741" si="354">(I1731/100%)^(1/5)-1</f>
        <v>1.0048275559169095E-3</v>
      </c>
      <c r="L1731" s="487">
        <v>1.0048275559169095E-3</v>
      </c>
      <c r="M1731" s="12"/>
      <c r="N1731" s="428"/>
      <c r="O1731" s="429"/>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486" t="s">
        <v>1769</v>
      </c>
      <c r="B1732" s="10">
        <v>2</v>
      </c>
      <c r="C1732" s="182" t="s">
        <v>1770</v>
      </c>
      <c r="D1732" s="130"/>
      <c r="E1732" s="130">
        <v>0.99220867160133164</v>
      </c>
      <c r="F1732" s="130">
        <v>0.99099332816200558</v>
      </c>
      <c r="G1732" s="130">
        <v>0.99149832442765373</v>
      </c>
      <c r="H1732" s="130">
        <v>0.99306376744162606</v>
      </c>
      <c r="I1732" s="130">
        <v>0.99322960389630777</v>
      </c>
      <c r="J1732" s="728">
        <f t="shared" ref="J1732:J1741" si="355">(I1732-100%)/5</f>
        <v>-1.3540792207384466E-3</v>
      </c>
      <c r="K1732" s="729">
        <f t="shared" si="354"/>
        <v>-1.357761249247913E-3</v>
      </c>
      <c r="L1732" s="432">
        <v>-1.357761249247913E-3</v>
      </c>
      <c r="M1732" s="12"/>
      <c r="N1732" s="428"/>
      <c r="O1732" s="429"/>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486" t="s">
        <v>1769</v>
      </c>
      <c r="B1733" s="10">
        <v>3</v>
      </c>
      <c r="C1733" s="182" t="s">
        <v>1771</v>
      </c>
      <c r="D1733" s="130"/>
      <c r="E1733" s="130">
        <v>1.0143809141680851</v>
      </c>
      <c r="F1733" s="130">
        <v>1.0083971212477236</v>
      </c>
      <c r="G1733" s="130">
        <v>1.003626338830879</v>
      </c>
      <c r="H1733" s="130">
        <v>1.0019091820289452</v>
      </c>
      <c r="I1733" s="130">
        <v>1.0029969851890055</v>
      </c>
      <c r="J1733" s="728">
        <f t="shared" si="355"/>
        <v>5.993970378010971E-4</v>
      </c>
      <c r="K1733" s="729">
        <f t="shared" si="354"/>
        <v>5.9867977357552782E-4</v>
      </c>
      <c r="L1733" s="432">
        <v>5.9867977357552782E-4</v>
      </c>
      <c r="M1733" s="12"/>
      <c r="N1733" s="428"/>
      <c r="O1733" s="429"/>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486" t="s">
        <v>1769</v>
      </c>
      <c r="B1734" s="10">
        <v>4</v>
      </c>
      <c r="C1734" s="182" t="s">
        <v>1772</v>
      </c>
      <c r="D1734" s="130"/>
      <c r="E1734" s="130">
        <v>1.0119831388235714</v>
      </c>
      <c r="F1734" s="130">
        <v>1.0123152749187849</v>
      </c>
      <c r="G1734" s="130">
        <v>1.0092966846901532</v>
      </c>
      <c r="H1734" s="130">
        <v>1.0093024499843755</v>
      </c>
      <c r="I1734" s="130">
        <v>1.0058607612889943</v>
      </c>
      <c r="J1734" s="728">
        <f t="shared" si="355"/>
        <v>1.1721522577988531E-3</v>
      </c>
      <c r="K1734" s="729">
        <f t="shared" si="354"/>
        <v>1.1694139993094765E-3</v>
      </c>
      <c r="L1734" s="432">
        <v>1.1694139993094765E-3</v>
      </c>
      <c r="M1734" s="12"/>
      <c r="N1734" s="428"/>
      <c r="O1734" s="429"/>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486" t="s">
        <v>1769</v>
      </c>
      <c r="B1735" s="10">
        <v>5</v>
      </c>
      <c r="C1735" s="182" t="s">
        <v>1773</v>
      </c>
      <c r="D1735" s="130"/>
      <c r="E1735" s="130">
        <v>0.99868810197260138</v>
      </c>
      <c r="F1735" s="130">
        <v>0.99777419677997459</v>
      </c>
      <c r="G1735" s="130">
        <v>0.99863727568848948</v>
      </c>
      <c r="H1735" s="130">
        <v>0.99899133935284168</v>
      </c>
      <c r="I1735" s="130">
        <v>1.0032834988438057</v>
      </c>
      <c r="J1735" s="728">
        <f t="shared" si="355"/>
        <v>6.5669976876114866E-4</v>
      </c>
      <c r="K1735" s="729">
        <f t="shared" si="354"/>
        <v>6.5583895492138389E-4</v>
      </c>
      <c r="L1735" s="432">
        <v>6.5583895492138389E-4</v>
      </c>
      <c r="M1735" s="12"/>
      <c r="N1735" s="428"/>
      <c r="O1735" s="429"/>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486" t="s">
        <v>1769</v>
      </c>
      <c r="B1736" s="10">
        <v>6</v>
      </c>
      <c r="C1736" s="182" t="s">
        <v>1774</v>
      </c>
      <c r="D1736" s="130"/>
      <c r="E1736" s="130">
        <v>1.0185737392830623</v>
      </c>
      <c r="F1736" s="130">
        <v>1.018863566736369</v>
      </c>
      <c r="G1736" s="130">
        <v>1.0165082772965106</v>
      </c>
      <c r="H1736" s="130">
        <v>1.0156627003170711</v>
      </c>
      <c r="I1736" s="130">
        <v>1.0139248252188859</v>
      </c>
      <c r="J1736" s="728">
        <f t="shared" si="355"/>
        <v>2.784965043777188E-3</v>
      </c>
      <c r="K1736" s="729">
        <f t="shared" si="354"/>
        <v>2.7695813347723419E-3</v>
      </c>
      <c r="L1736" s="432">
        <v>2.7695813347723419E-3</v>
      </c>
      <c r="M1736" s="12"/>
      <c r="N1736" s="428"/>
      <c r="O1736" s="429"/>
      <c r="P1736" s="12"/>
      <c r="Q1736" s="430"/>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486" t="s">
        <v>1769</v>
      </c>
      <c r="B1737" s="10">
        <v>7</v>
      </c>
      <c r="C1737" s="182" t="s">
        <v>1775</v>
      </c>
      <c r="D1737" s="130"/>
      <c r="E1737" s="130">
        <v>1.0186430018515642</v>
      </c>
      <c r="F1737" s="130">
        <v>1.016281083830104</v>
      </c>
      <c r="G1737" s="130">
        <v>1.0168046783204194</v>
      </c>
      <c r="H1737" s="130">
        <v>1.0163751107042418</v>
      </c>
      <c r="I1737" s="130">
        <v>1.0143846521681685</v>
      </c>
      <c r="J1737" s="728">
        <f t="shared" si="355"/>
        <v>2.8769304336337064E-3</v>
      </c>
      <c r="K1737" s="729">
        <f t="shared" si="354"/>
        <v>2.8605184225896085E-3</v>
      </c>
      <c r="L1737" s="432">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486" t="s">
        <v>1769</v>
      </c>
      <c r="B1738" s="10">
        <v>8</v>
      </c>
      <c r="C1738" s="853" t="s">
        <v>1776</v>
      </c>
      <c r="D1738" s="427"/>
      <c r="E1738" s="427">
        <v>1.0115317316189907</v>
      </c>
      <c r="F1738" s="427">
        <v>1.0098854557273558</v>
      </c>
      <c r="G1738" s="427">
        <v>1.0079031437924768</v>
      </c>
      <c r="H1738" s="427">
        <v>1.0074260195736053</v>
      </c>
      <c r="I1738" s="427">
        <v>1.0072146044968846</v>
      </c>
      <c r="J1738" s="728">
        <f t="shared" si="355"/>
        <v>1.4429208993769205E-3</v>
      </c>
      <c r="K1738" s="729">
        <f t="shared" si="354"/>
        <v>1.4387747925457273E-3</v>
      </c>
      <c r="L1738" s="487">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486" t="s">
        <v>1769</v>
      </c>
      <c r="B1739" s="10">
        <v>9</v>
      </c>
      <c r="C1739" s="182" t="s">
        <v>1777</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728">
        <f t="shared" si="355"/>
        <v>-1.3540792207384466E-3</v>
      </c>
      <c r="K1739" s="729">
        <f t="shared" si="354"/>
        <v>-1.357761249247913E-3</v>
      </c>
      <c r="L1739" s="432">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486" t="s">
        <v>1769</v>
      </c>
      <c r="B1740" s="10">
        <v>10</v>
      </c>
      <c r="C1740" s="182" t="s">
        <v>1778</v>
      </c>
      <c r="D1740" s="130"/>
      <c r="E1740" s="130">
        <v>1.0101622336917053</v>
      </c>
      <c r="F1740" s="130">
        <v>1.0086801518353343</v>
      </c>
      <c r="G1740" s="130">
        <v>1.0069295256394797</v>
      </c>
      <c r="H1740" s="130">
        <v>1.0064889037252818</v>
      </c>
      <c r="I1740" s="130">
        <v>1.0062891385473149</v>
      </c>
      <c r="J1740" s="728">
        <f t="shared" si="355"/>
        <v>1.2578277094629886E-3</v>
      </c>
      <c r="K1740" s="729">
        <f t="shared" si="354"/>
        <v>1.2546753363396057E-3</v>
      </c>
      <c r="L1740" s="432">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486" t="s">
        <v>1769</v>
      </c>
      <c r="B1741" s="10">
        <v>11</v>
      </c>
      <c r="C1741" s="182" t="s">
        <v>1779</v>
      </c>
      <c r="D1741" s="130"/>
      <c r="E1741" s="130">
        <v>1.0095905530762708</v>
      </c>
      <c r="F1741" s="130">
        <v>1.0083132699804231</v>
      </c>
      <c r="G1741" s="130">
        <v>1.006695740502793</v>
      </c>
      <c r="H1741" s="130">
        <v>1.0063437323937274</v>
      </c>
      <c r="I1741" s="130">
        <v>1.0061665544670078</v>
      </c>
      <c r="J1741" s="728">
        <f t="shared" si="355"/>
        <v>1.2333108934015514E-3</v>
      </c>
      <c r="K1741" s="729">
        <f t="shared" si="354"/>
        <v>1.2302799891306115E-3</v>
      </c>
      <c r="L1741" s="432">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486" t="s">
        <v>1769</v>
      </c>
      <c r="B1742" s="10">
        <v>12</v>
      </c>
      <c r="C1742" s="182"/>
      <c r="D1742" s="126"/>
      <c r="E1742" s="126"/>
      <c r="F1742" s="126"/>
      <c r="G1742" s="126"/>
      <c r="H1742" s="126"/>
      <c r="I1742" s="126"/>
      <c r="J1742" s="728"/>
      <c r="K1742" s="729"/>
      <c r="L1742" s="730"/>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486" t="s">
        <v>1769</v>
      </c>
      <c r="B1743" s="10">
        <v>13</v>
      </c>
      <c r="C1743" s="126"/>
      <c r="D1743" s="126"/>
      <c r="E1743" s="126"/>
      <c r="F1743" s="126"/>
      <c r="G1743" s="126"/>
      <c r="H1743" s="126"/>
      <c r="I1743" s="126"/>
      <c r="J1743" s="728"/>
      <c r="K1743" s="729"/>
      <c r="L1743" s="730"/>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346">
        <v>14</v>
      </c>
      <c r="C1744" s="126"/>
      <c r="D1744" s="126"/>
      <c r="E1744" s="126"/>
      <c r="F1744" s="126"/>
      <c r="G1744" s="126"/>
      <c r="H1744" s="126"/>
      <c r="I1744" s="126"/>
      <c r="J1744" s="728"/>
      <c r="K1744" s="729"/>
      <c r="L1744" s="730"/>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6"/>
      <c r="D1745" s="126"/>
      <c r="E1745" s="126"/>
      <c r="F1745" s="126"/>
      <c r="G1745" s="126"/>
      <c r="H1745" s="126"/>
      <c r="I1745" s="126"/>
      <c r="J1745" s="724" t="s">
        <v>1780</v>
      </c>
      <c r="K1745" s="727"/>
      <c r="L1745" s="296"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724" t="s">
        <v>1782</v>
      </c>
      <c r="K1746" s="727"/>
      <c r="L1746" s="296"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438" t="s">
        <v>1784</v>
      </c>
      <c r="F1747" s="737"/>
      <c r="G1747" s="737"/>
      <c r="H1747" s="737"/>
      <c r="I1747" s="737"/>
      <c r="J1747" s="724" t="s">
        <v>1785</v>
      </c>
      <c r="K1747" s="727"/>
      <c r="L1747" s="296" t="s">
        <v>1786</v>
      </c>
      <c r="M1747" s="12"/>
      <c r="N1747" s="12"/>
      <c r="O1747" s="12"/>
      <c r="P1747" s="12"/>
      <c r="Q1747" s="12"/>
      <c r="R1747" s="431"/>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296" t="s">
        <v>1787</v>
      </c>
      <c r="M1748" s="12"/>
      <c r="N1748" s="12"/>
      <c r="O1748" s="12"/>
      <c r="P1748" s="12"/>
      <c r="Q1748" s="12"/>
      <c r="R1748" s="431"/>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296"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296"/>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296"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296" t="s">
        <v>1790</v>
      </c>
      <c r="M1752" s="12"/>
      <c r="N1752" s="12"/>
      <c r="O1752" s="500"/>
      <c r="P1752" s="501" t="s">
        <v>1791</v>
      </c>
      <c r="Q1752" s="50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5" hidden="1" customHeight="1" x14ac:dyDescent="0.25">
      <c r="C1753" s="10"/>
      <c r="M1753" s="12"/>
      <c r="N1753" s="12"/>
      <c r="O1753" s="736" t="s">
        <v>1762</v>
      </c>
      <c r="P1753" s="736" t="s">
        <v>1763</v>
      </c>
      <c r="Q1753" s="734"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484"/>
      <c r="B1754" s="485"/>
      <c r="C1754" s="853" t="s">
        <v>1768</v>
      </c>
      <c r="D1754" s="427"/>
      <c r="E1754" s="427">
        <f>E1731</f>
        <v>1.0083396326386167</v>
      </c>
      <c r="F1754" s="427">
        <f t="shared" ref="F1754:I1754" si="357">F1731</f>
        <v>1.0068144721288348</v>
      </c>
      <c r="G1754" s="427">
        <f t="shared" si="357"/>
        <v>1.0052783852289084</v>
      </c>
      <c r="H1754" s="427">
        <f t="shared" si="357"/>
        <v>1.005159569821475</v>
      </c>
      <c r="I1754" s="427">
        <f t="shared" si="357"/>
        <v>1.005034244714381</v>
      </c>
      <c r="J1754" s="427">
        <v>1.0049046476669568</v>
      </c>
      <c r="K1754" s="427">
        <v>1.0047743417635073</v>
      </c>
      <c r="L1754" s="427">
        <v>1.0046496264171023</v>
      </c>
      <c r="M1754" s="427">
        <v>1.0045344880171496</v>
      </c>
      <c r="N1754" s="427">
        <v>1.0044234456443373</v>
      </c>
      <c r="O1754" s="728">
        <f>(N1754-100%)/10</f>
        <v>4.4234456443372763E-4</v>
      </c>
      <c r="P1754" s="729">
        <f>(N1754/100%)^(1/10)-1</f>
        <v>4.4146651409882054E-4</v>
      </c>
      <c r="Q1754" s="437">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486" t="s">
        <v>1792</v>
      </c>
      <c r="C1755" s="126" t="s">
        <v>1770</v>
      </c>
      <c r="D1755" s="731"/>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728">
        <f t="shared" ref="O1755:O1764" si="359">(N1755-100%)/10</f>
        <v>-2.7495426767735196E-4</v>
      </c>
      <c r="P1755" s="729">
        <f t="shared" ref="P1755:P1764" si="360">(N1755/100%)^(1/10)-1</f>
        <v>-2.7529506059797981E-4</v>
      </c>
      <c r="Q1755" s="735">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486" t="s">
        <v>1792</v>
      </c>
      <c r="C1756" s="126" t="s">
        <v>1771</v>
      </c>
      <c r="D1756" s="731"/>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728">
        <f t="shared" si="359"/>
        <v>-1.8398147543005061E-4</v>
      </c>
      <c r="P1756" s="729">
        <f t="shared" si="360"/>
        <v>-1.8413397447925028E-4</v>
      </c>
      <c r="Q1756" s="735">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486" t="s">
        <v>1792</v>
      </c>
      <c r="C1757" s="126" t="s">
        <v>1772</v>
      </c>
      <c r="D1757" s="731"/>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728">
        <f t="shared" si="359"/>
        <v>2.8297433769999272E-4</v>
      </c>
      <c r="P1757" s="729">
        <f t="shared" si="360"/>
        <v>2.8261464701917483E-4</v>
      </c>
      <c r="Q1757" s="735">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486" t="s">
        <v>1792</v>
      </c>
      <c r="C1758" s="126" t="s">
        <v>1773</v>
      </c>
      <c r="D1758" s="731"/>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728">
        <f t="shared" si="359"/>
        <v>1.4722659182130116E-3</v>
      </c>
      <c r="P1758" s="729">
        <f t="shared" si="360"/>
        <v>1.4626018574257493E-3</v>
      </c>
      <c r="Q1758" s="735">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486" t="s">
        <v>1792</v>
      </c>
      <c r="C1759" s="126" t="s">
        <v>1774</v>
      </c>
      <c r="D1759" s="731"/>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728">
        <f t="shared" si="359"/>
        <v>-1.2706952153392903E-4</v>
      </c>
      <c r="P1759" s="729">
        <f t="shared" si="360"/>
        <v>-1.2714224004750641E-4</v>
      </c>
      <c r="Q1759" s="735">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486" t="s">
        <v>1792</v>
      </c>
      <c r="C1760" s="126" t="s">
        <v>1775</v>
      </c>
      <c r="D1760" s="731"/>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728">
        <f t="shared" si="359"/>
        <v>1.997144648803051E-3</v>
      </c>
      <c r="P1760" s="729">
        <f t="shared" si="360"/>
        <v>1.9794197965237181E-3</v>
      </c>
      <c r="Q1760" s="735">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486" t="s">
        <v>1792</v>
      </c>
      <c r="C1761" s="853" t="s">
        <v>1776</v>
      </c>
      <c r="D1761" s="427"/>
      <c r="E1761" s="427">
        <f t="shared" si="358"/>
        <v>1.0115317316189907</v>
      </c>
      <c r="F1761" s="427">
        <f t="shared" si="358"/>
        <v>1.0098854557273558</v>
      </c>
      <c r="G1761" s="427">
        <f t="shared" si="358"/>
        <v>1.0079031437924768</v>
      </c>
      <c r="H1761" s="427">
        <f t="shared" si="358"/>
        <v>1.0074260195736053</v>
      </c>
      <c r="I1761" s="427">
        <f t="shared" si="358"/>
        <v>1.0072146044968846</v>
      </c>
      <c r="J1761" s="427">
        <v>1.0071891367326733</v>
      </c>
      <c r="K1761" s="427">
        <v>1.0067029595434946</v>
      </c>
      <c r="L1761" s="427">
        <v>1.0062767419722747</v>
      </c>
      <c r="M1761" s="427">
        <v>1.005993095083189</v>
      </c>
      <c r="N1761" s="427">
        <v>1.0056686088348645</v>
      </c>
      <c r="O1761" s="728">
        <f t="shared" si="359"/>
        <v>5.6686088348645303E-4</v>
      </c>
      <c r="P1761" s="729">
        <f t="shared" si="360"/>
        <v>5.6542006284843183E-4</v>
      </c>
      <c r="Q1761" s="437">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486" t="s">
        <v>1792</v>
      </c>
      <c r="C1762" s="126" t="s">
        <v>1777</v>
      </c>
      <c r="D1762" s="731"/>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728">
        <f t="shared" si="359"/>
        <v>-2.7495426767735196E-4</v>
      </c>
      <c r="P1762" s="729">
        <f t="shared" si="360"/>
        <v>-2.7529506059797981E-4</v>
      </c>
      <c r="Q1762" s="735">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486" t="s">
        <v>1792</v>
      </c>
      <c r="C1763" s="126" t="s">
        <v>1778</v>
      </c>
      <c r="D1763" s="731"/>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728">
        <f t="shared" si="359"/>
        <v>5.0246174221415532E-4</v>
      </c>
      <c r="P1763" s="729">
        <f t="shared" si="360"/>
        <v>5.0132923936385687E-4</v>
      </c>
      <c r="Q1763" s="735">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486" t="s">
        <v>1792</v>
      </c>
      <c r="C1764" s="126" t="s">
        <v>1779</v>
      </c>
      <c r="D1764" s="731"/>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728">
        <f t="shared" si="359"/>
        <v>4.9267004020239205E-4</v>
      </c>
      <c r="P1764" s="729">
        <f t="shared" si="360"/>
        <v>4.9158117922520894E-4</v>
      </c>
      <c r="Q1764" s="735">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486" t="s">
        <v>1792</v>
      </c>
      <c r="C1765" s="126"/>
      <c r="D1765" s="731"/>
      <c r="E1765" s="731"/>
      <c r="F1765" s="731"/>
      <c r="G1765" s="731"/>
      <c r="H1765" s="731"/>
      <c r="I1765" s="731"/>
      <c r="J1765" s="731"/>
      <c r="K1765" s="731"/>
      <c r="L1765" s="731"/>
      <c r="M1765" s="731"/>
      <c r="N1765" s="731"/>
      <c r="O1765" s="728"/>
      <c r="P1765" s="729"/>
      <c r="Q1765" s="73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486" t="s">
        <v>1792</v>
      </c>
      <c r="C1766" s="126"/>
      <c r="D1766" s="731"/>
      <c r="E1766" s="731"/>
      <c r="F1766" s="731"/>
      <c r="G1766" s="731"/>
      <c r="H1766" s="731"/>
      <c r="I1766" s="731"/>
      <c r="J1766" s="731"/>
      <c r="K1766" s="731"/>
      <c r="L1766" s="731"/>
      <c r="M1766" s="731"/>
      <c r="N1766" s="731"/>
      <c r="O1766" s="728"/>
      <c r="P1766" s="729"/>
      <c r="Q1766" s="73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346"/>
      <c r="C1767" s="126"/>
      <c r="D1767" s="731"/>
      <c r="E1767" s="731"/>
      <c r="F1767" s="731"/>
      <c r="G1767" s="731"/>
      <c r="H1767" s="731"/>
      <c r="I1767" s="731"/>
      <c r="J1767" s="731"/>
      <c r="K1767" s="731"/>
      <c r="L1767" s="731"/>
      <c r="M1767" s="731"/>
      <c r="N1767" s="731"/>
      <c r="O1767" s="728"/>
      <c r="P1767" s="729"/>
      <c r="Q1767" s="73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724" t="s">
        <v>1780</v>
      </c>
      <c r="P1768" s="727"/>
      <c r="Q1768" s="733"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438" t="s">
        <v>1784</v>
      </c>
      <c r="F1769" s="737"/>
      <c r="G1769" s="438"/>
      <c r="H1769" s="737"/>
      <c r="I1769" s="737"/>
      <c r="M1769" s="12"/>
      <c r="N1769" s="12"/>
      <c r="O1769" s="724" t="s">
        <v>1782</v>
      </c>
      <c r="P1769" s="727"/>
      <c r="Q1769" s="733"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724" t="s">
        <v>1785</v>
      </c>
      <c r="P1770" s="727"/>
      <c r="Q1770" s="733"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739" t="s">
        <v>1753</v>
      </c>
      <c r="B1771" s="740"/>
      <c r="C1771" s="741"/>
      <c r="D1771" s="738"/>
      <c r="E1771" s="738"/>
      <c r="F1771" s="738"/>
      <c r="G1771" s="738"/>
      <c r="H1771" s="738"/>
      <c r="I1771" s="738"/>
      <c r="J1771" s="738"/>
      <c r="K1771" s="738"/>
      <c r="L1771" s="738"/>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501" t="s">
        <v>1754</v>
      </c>
      <c r="E1772" s="501" t="s">
        <v>1791</v>
      </c>
      <c r="M1772" s="12"/>
      <c r="N1772" s="12"/>
      <c r="O1772" s="12"/>
      <c r="P1772" s="12"/>
      <c r="Q1772" s="733"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484"/>
      <c r="B1773" s="485"/>
      <c r="C1773" s="20" t="s">
        <v>1755</v>
      </c>
      <c r="D1773" s="297" t="s">
        <v>1764</v>
      </c>
      <c r="E1773" s="297" t="s">
        <v>1764</v>
      </c>
      <c r="M1773" s="12"/>
      <c r="N1773" s="12"/>
      <c r="O1773" s="12"/>
      <c r="P1773" s="12"/>
      <c r="Q1773" s="733"/>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486"/>
      <c r="C1774" s="20" t="s">
        <v>1765</v>
      </c>
      <c r="E1774" s="14"/>
      <c r="M1774" s="12"/>
      <c r="N1774" s="12"/>
      <c r="O1774" s="12"/>
      <c r="P1774" s="12"/>
      <c r="Q1774" s="733"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486"/>
      <c r="B1775" s="10">
        <v>0</v>
      </c>
      <c r="C1775" s="126" t="s">
        <v>1767</v>
      </c>
      <c r="E1775" s="14"/>
      <c r="M1775" s="12"/>
      <c r="N1775" s="12"/>
      <c r="O1775" s="12"/>
      <c r="P1775" s="12"/>
      <c r="Q1775" s="733"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486"/>
      <c r="B1776" s="10">
        <v>1</v>
      </c>
      <c r="C1776" s="853" t="s">
        <v>1768</v>
      </c>
      <c r="D1776" s="858">
        <v>6.1244446078418946E-3</v>
      </c>
      <c r="E1776" s="858">
        <v>5.3906024298502331E-3</v>
      </c>
      <c r="F1776" s="296"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486" t="s">
        <v>1769</v>
      </c>
      <c r="B1777" s="10">
        <v>2</v>
      </c>
      <c r="C1777" s="182" t="s">
        <v>1770</v>
      </c>
      <c r="D1777" s="857">
        <v>-7.8016393354566338E-3</v>
      </c>
      <c r="E1777" s="857">
        <v>-6.3705142428090999E-3</v>
      </c>
      <c r="F1777" s="296" t="s">
        <v>1783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486" t="s">
        <v>1769</v>
      </c>
      <c r="B1778" s="10">
        <v>3</v>
      </c>
      <c r="C1778" s="182" t="s">
        <v>1771</v>
      </c>
      <c r="D1778" s="857">
        <v>6.2514987067481265E-3</v>
      </c>
      <c r="E1778" s="857">
        <v>3.5265583166539383E-3</v>
      </c>
      <c r="F1778" s="296" t="s">
        <v>1786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486" t="s">
        <v>1769</v>
      </c>
      <c r="B1779" s="10">
        <v>4</v>
      </c>
      <c r="C1779" s="182" t="s">
        <v>1772</v>
      </c>
      <c r="D1779" s="857">
        <v>9.748976115757868E-3</v>
      </c>
      <c r="E1779" s="857">
        <v>6.7166791378556745E-3</v>
      </c>
      <c r="F1779" s="296" t="s">
        <v>1787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486" t="s">
        <v>1769</v>
      </c>
      <c r="B1780" s="10">
        <v>5</v>
      </c>
      <c r="C1780" s="182" t="s">
        <v>1773</v>
      </c>
      <c r="D1780" s="857">
        <v>-5.2701042928582353E-4</v>
      </c>
      <c r="E1780" s="857">
        <v>4.4497734674939782E-3</v>
      </c>
      <c r="F1780" s="296" t="s">
        <v>1794</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486" t="s">
        <v>1769</v>
      </c>
      <c r="B1781" s="10">
        <v>6</v>
      </c>
      <c r="C1781" s="182" t="s">
        <v>1774</v>
      </c>
      <c r="D1781" s="857">
        <v>1.670494871211603E-2</v>
      </c>
      <c r="E1781" s="857">
        <v>1.0992356943558379E-2</v>
      </c>
      <c r="F1781" s="296"/>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486" t="s">
        <v>1769</v>
      </c>
      <c r="B1782" s="10">
        <v>7</v>
      </c>
      <c r="C1782" s="182" t="s">
        <v>1775</v>
      </c>
      <c r="D1782" s="857">
        <v>1.649679802463222E-2</v>
      </c>
      <c r="E1782" s="857">
        <v>1.7408508457293692E-2</v>
      </c>
      <c r="F1782" s="296"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486" t="s">
        <v>1769</v>
      </c>
      <c r="B1783" s="10">
        <v>8</v>
      </c>
      <c r="C1783" s="853" t="s">
        <v>1776</v>
      </c>
      <c r="D1783" s="858">
        <v>8.7908194773067497E-3</v>
      </c>
      <c r="E1783" s="858">
        <v>7.5776637279063586E-3</v>
      </c>
      <c r="F1783" s="296"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486" t="s">
        <v>1769</v>
      </c>
      <c r="B1784" s="10">
        <v>9</v>
      </c>
      <c r="C1784" s="182" t="s">
        <v>1777</v>
      </c>
      <c r="D1784" s="857">
        <f>D1777</f>
        <v>-7.8016393354566338E-3</v>
      </c>
      <c r="E1784" s="857">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486" t="s">
        <v>1769</v>
      </c>
      <c r="B1785" s="10">
        <v>10</v>
      </c>
      <c r="C1785" s="182" t="s">
        <v>1778</v>
      </c>
      <c r="D1785" s="857">
        <v>9.1877436581744298E-3</v>
      </c>
      <c r="E1785" s="857">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486" t="s">
        <v>1769</v>
      </c>
      <c r="B1786" s="10">
        <v>11</v>
      </c>
      <c r="C1786" s="182" t="s">
        <v>1779</v>
      </c>
      <c r="D1786" s="857">
        <v>8.4136487204315991E-3</v>
      </c>
      <c r="E1786" s="857">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486" t="s">
        <v>1769</v>
      </c>
      <c r="B1787" s="10">
        <v>12</v>
      </c>
      <c r="C1787" s="182"/>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486" t="s">
        <v>1769</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346">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6"/>
      <c r="E1790" s="438"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6"/>
  <sheetViews>
    <sheetView showGridLines="0" topLeftCell="A3" zoomScale="70" zoomScaleNormal="70" zoomScaleSheetLayoutView="80" workbookViewId="0">
      <selection activeCell="L24" sqref="L24"/>
    </sheetView>
  </sheetViews>
  <sheetFormatPr defaultColWidth="8.77734375" defaultRowHeight="14.4" x14ac:dyDescent="0.3"/>
  <cols>
    <col min="1" max="1" width="3.5546875" customWidth="1"/>
    <col min="2" max="2" width="50.5546875" style="1" customWidth="1"/>
    <col min="3" max="8" width="11.5546875" customWidth="1"/>
    <col min="9" max="9" width="10.44140625" customWidth="1"/>
    <col min="10" max="12" width="11.44140625" bestFit="1" customWidth="1"/>
    <col min="13" max="13" width="11.44140625" customWidth="1"/>
    <col min="14" max="14" width="1.5546875" customWidth="1"/>
    <col min="15" max="20" width="10.77734375" customWidth="1"/>
    <col min="22" max="35" width="8.77734375" customWidth="1"/>
  </cols>
  <sheetData>
    <row r="1" spans="2:34" ht="30" customHeight="1" x14ac:dyDescent="0.3">
      <c r="B1" s="444" t="str">
        <f>'Inputs and population'!B1</f>
        <v>Ribociclib with an aromatase inhibitor for adjuvant treatment of hormone receptor-positive, HER2-negative early breast cancer</v>
      </c>
      <c r="C1" s="115"/>
      <c r="D1" s="115"/>
      <c r="E1" s="115"/>
      <c r="F1" s="115"/>
      <c r="G1" s="115"/>
      <c r="H1" s="115"/>
      <c r="I1" s="115"/>
      <c r="J1" s="115"/>
      <c r="K1" s="115"/>
      <c r="L1" s="115"/>
      <c r="M1" s="115"/>
      <c r="N1" s="115"/>
      <c r="O1" s="115"/>
      <c r="P1" s="115"/>
      <c r="Q1" s="115"/>
      <c r="R1" s="115"/>
      <c r="S1" s="115"/>
      <c r="T1" s="115"/>
    </row>
    <row r="2" spans="2:34" ht="38.1" customHeight="1" x14ac:dyDescent="0.3">
      <c r="B2" s="327" t="s">
        <v>2159</v>
      </c>
      <c r="C2" s="115" t="s">
        <v>1904</v>
      </c>
      <c r="D2" s="115" t="s">
        <v>1904</v>
      </c>
      <c r="E2" s="115" t="s">
        <v>1904</v>
      </c>
      <c r="F2" s="115" t="s">
        <v>1904</v>
      </c>
      <c r="G2" s="115" t="s">
        <v>1904</v>
      </c>
      <c r="H2" s="115"/>
      <c r="I2" s="115" t="s">
        <v>1904</v>
      </c>
      <c r="J2" s="115" t="s">
        <v>1904</v>
      </c>
      <c r="K2" s="115"/>
      <c r="L2" s="115"/>
      <c r="M2" s="115"/>
      <c r="N2" s="115"/>
      <c r="O2" s="115"/>
      <c r="P2" s="115"/>
      <c r="Q2" s="115"/>
      <c r="R2" s="115"/>
      <c r="S2" s="115"/>
      <c r="T2" s="115"/>
    </row>
    <row r="3" spans="2:34" x14ac:dyDescent="0.3">
      <c r="B3" s="118" t="s">
        <v>1904</v>
      </c>
      <c r="C3" s="121" t="s">
        <v>1904</v>
      </c>
      <c r="D3" s="121" t="s">
        <v>1904</v>
      </c>
      <c r="E3" s="121" t="s">
        <v>1904</v>
      </c>
      <c r="F3" s="121" t="s">
        <v>1904</v>
      </c>
      <c r="G3" s="121" t="s">
        <v>1904</v>
      </c>
      <c r="H3" s="121" t="s">
        <v>1904</v>
      </c>
      <c r="I3" s="121" t="s">
        <v>1904</v>
      </c>
      <c r="J3" s="121" t="s">
        <v>1904</v>
      </c>
      <c r="K3" s="173"/>
      <c r="L3" s="121"/>
      <c r="M3" s="121"/>
      <c r="N3" s="121"/>
      <c r="O3" s="121"/>
      <c r="P3" s="121"/>
      <c r="Q3" s="121"/>
      <c r="R3" s="121"/>
      <c r="S3" s="121"/>
      <c r="T3" s="121"/>
    </row>
    <row r="4" spans="2:34" s="215" customFormat="1" x14ac:dyDescent="0.3">
      <c r="B4" s="220" t="s">
        <v>2160</v>
      </c>
      <c r="F4" s="121"/>
      <c r="G4" s="121"/>
      <c r="H4" s="121"/>
      <c r="I4" s="121"/>
      <c r="J4" s="121" t="s">
        <v>1904</v>
      </c>
      <c r="K4" s="121"/>
      <c r="L4" s="121"/>
      <c r="M4" s="121"/>
      <c r="N4" s="121"/>
      <c r="O4" s="121"/>
      <c r="P4" s="121"/>
      <c r="Q4" s="121"/>
      <c r="R4" s="121"/>
      <c r="S4" s="121"/>
      <c r="T4" s="121"/>
    </row>
    <row r="5" spans="2:34" s="215" customFormat="1" x14ac:dyDescent="0.3">
      <c r="B5" s="220" t="s">
        <v>2161</v>
      </c>
      <c r="F5" s="121"/>
      <c r="G5" s="121"/>
      <c r="H5" s="121"/>
      <c r="I5" s="121"/>
      <c r="J5" s="121"/>
      <c r="K5" s="121"/>
      <c r="L5" s="121"/>
      <c r="M5" s="121"/>
      <c r="N5" s="121"/>
      <c r="O5" s="121"/>
      <c r="P5" s="121"/>
      <c r="Q5" s="121"/>
      <c r="R5" s="121"/>
      <c r="S5" s="121"/>
      <c r="T5" s="121"/>
    </row>
    <row r="6" spans="2:34" s="215" customFormat="1" x14ac:dyDescent="0.3">
      <c r="B6" s="220"/>
      <c r="C6" s="121" t="s">
        <v>1904</v>
      </c>
      <c r="D6" s="121" t="s">
        <v>1904</v>
      </c>
      <c r="E6" s="121"/>
      <c r="F6" s="121"/>
      <c r="G6" s="121"/>
      <c r="H6" s="121"/>
      <c r="I6" s="121" t="s">
        <v>1904</v>
      </c>
      <c r="J6" s="121" t="s">
        <v>1904</v>
      </c>
      <c r="K6" s="121"/>
      <c r="L6" s="121"/>
      <c r="M6" s="121"/>
      <c r="N6" s="121"/>
      <c r="O6" s="121"/>
      <c r="P6" s="121"/>
      <c r="Q6" s="121"/>
      <c r="R6" s="121"/>
      <c r="S6" s="121"/>
      <c r="T6" s="121"/>
    </row>
    <row r="7" spans="2:34" s="215" customFormat="1" ht="43.2" x14ac:dyDescent="0.3">
      <c r="B7" s="231" t="s">
        <v>2133</v>
      </c>
      <c r="C7" s="242"/>
      <c r="D7" s="844" t="s">
        <v>2162</v>
      </c>
      <c r="E7" s="243" t="s">
        <v>1896</v>
      </c>
      <c r="F7" s="243" t="s">
        <v>1897</v>
      </c>
      <c r="G7" s="244" t="s">
        <v>2130</v>
      </c>
      <c r="H7" s="244" t="s">
        <v>2131</v>
      </c>
      <c r="I7" s="243" t="s">
        <v>2132</v>
      </c>
      <c r="K7" s="121"/>
      <c r="L7" s="121"/>
      <c r="N7" s="121"/>
      <c r="O7" s="121"/>
      <c r="P7" s="121"/>
      <c r="Q7" s="121"/>
      <c r="R7" s="121"/>
      <c r="S7" s="121"/>
      <c r="T7" s="121"/>
    </row>
    <row r="8" spans="2:34" s="136" customFormat="1" x14ac:dyDescent="0.3">
      <c r="B8" s="202" t="s">
        <v>2133</v>
      </c>
      <c r="C8" s="164"/>
      <c r="D8" s="163">
        <f>'Inputs and population'!E34</f>
        <v>8124.305720358896</v>
      </c>
      <c r="E8" s="163">
        <f>'Inputs and population'!F34</f>
        <v>8195.7250253250222</v>
      </c>
      <c r="F8" s="163">
        <f>'Inputs and population'!G34</f>
        <v>8267.7721645083002</v>
      </c>
      <c r="G8" s="163">
        <f>'Inputs and population'!H34</f>
        <v>8340.4526570859944</v>
      </c>
      <c r="H8" s="163">
        <f>'Inputs and population'!I34</f>
        <v>8413.7720707534609</v>
      </c>
      <c r="I8" s="163">
        <f>'Inputs and population'!J34</f>
        <v>8487.7360221506606</v>
      </c>
      <c r="K8" s="121"/>
      <c r="L8" s="121"/>
    </row>
    <row r="9" spans="2:34" s="215" customFormat="1" x14ac:dyDescent="0.3">
      <c r="B9" s="217" t="s">
        <v>1904</v>
      </c>
      <c r="C9" s="121" t="s">
        <v>1904</v>
      </c>
      <c r="D9" s="121" t="s">
        <v>1904</v>
      </c>
      <c r="E9" s="121" t="s">
        <v>1904</v>
      </c>
      <c r="F9" s="121" t="s">
        <v>1904</v>
      </c>
      <c r="G9" s="121" t="s">
        <v>1904</v>
      </c>
      <c r="H9" s="121"/>
      <c r="I9" s="121"/>
      <c r="K9" s="121"/>
      <c r="L9" s="121"/>
      <c r="N9" s="121"/>
      <c r="O9" s="121"/>
      <c r="P9" s="121"/>
      <c r="Q9" s="121"/>
      <c r="R9" s="121"/>
      <c r="S9" s="121"/>
      <c r="T9" s="121"/>
      <c r="AD9" s="245"/>
      <c r="AE9" s="245"/>
      <c r="AF9" s="245"/>
      <c r="AG9" s="245"/>
      <c r="AH9" s="245"/>
    </row>
    <row r="10" spans="2:34" s="215" customFormat="1" x14ac:dyDescent="0.3">
      <c r="B10" s="298" t="s">
        <v>2141</v>
      </c>
      <c r="C10" s="299"/>
      <c r="D10" s="300"/>
      <c r="E10" s="300"/>
      <c r="F10" s="300"/>
      <c r="G10" s="300"/>
      <c r="H10" s="300"/>
      <c r="I10" s="301"/>
      <c r="K10" s="121"/>
      <c r="L10" s="121"/>
      <c r="N10" s="121"/>
      <c r="O10" s="121"/>
      <c r="P10" s="121"/>
      <c r="Q10" s="121"/>
      <c r="R10" s="121"/>
      <c r="S10" s="121"/>
      <c r="T10" s="121"/>
    </row>
    <row r="11" spans="2:34" s="215" customFormat="1" x14ac:dyDescent="0.3">
      <c r="B11" s="217"/>
      <c r="C11" s="121"/>
      <c r="D11" s="121"/>
      <c r="E11" s="121"/>
      <c r="F11" s="121"/>
      <c r="G11" s="121"/>
      <c r="H11" s="121"/>
      <c r="I11" s="121"/>
      <c r="N11" s="121"/>
      <c r="O11" s="121"/>
      <c r="P11" s="121"/>
      <c r="Q11" s="121"/>
      <c r="R11" s="121"/>
      <c r="S11" s="121"/>
      <c r="T11" s="121"/>
      <c r="AD11" s="245"/>
      <c r="AE11" s="245"/>
      <c r="AF11" s="245"/>
      <c r="AG11" s="245"/>
      <c r="AH11" s="245"/>
    </row>
    <row r="12" spans="2:34" s="215" customFormat="1" x14ac:dyDescent="0.3">
      <c r="B12" s="251" t="s">
        <v>2163</v>
      </c>
      <c r="C12" s="246"/>
      <c r="D12" s="165"/>
      <c r="E12" s="165"/>
      <c r="F12" s="165"/>
      <c r="G12" s="165"/>
      <c r="H12" s="165"/>
      <c r="I12" s="166"/>
      <c r="N12" s="121"/>
      <c r="O12" s="121"/>
      <c r="P12" s="121"/>
      <c r="Q12" s="121"/>
      <c r="R12" s="121"/>
      <c r="S12" s="121"/>
      <c r="T12" s="121"/>
    </row>
    <row r="13" spans="2:34" s="215" customFormat="1" x14ac:dyDescent="0.3">
      <c r="B13" s="304" t="s">
        <v>2164</v>
      </c>
      <c r="C13" s="845"/>
      <c r="D13" s="247">
        <f>'Inputs and population'!K61</f>
        <v>0</v>
      </c>
      <c r="E13" s="247">
        <f>'Inputs and population'!L61</f>
        <v>3442.204510636509</v>
      </c>
      <c r="F13" s="247">
        <f>'Inputs and population'!M61</f>
        <v>3968.5306389639841</v>
      </c>
      <c r="G13" s="247">
        <f>'Inputs and population'!N61</f>
        <v>4337.0353816847173</v>
      </c>
      <c r="H13" s="247">
        <f>'Inputs and population'!O61</f>
        <v>4375.1614767917999</v>
      </c>
      <c r="I13" s="247">
        <f>'Inputs and population'!P61</f>
        <v>4413.6227315183432</v>
      </c>
      <c r="N13" s="121"/>
      <c r="O13" s="121"/>
      <c r="P13" s="121"/>
      <c r="Q13" s="121"/>
      <c r="R13" s="121"/>
      <c r="S13" s="121"/>
      <c r="T13" s="121"/>
      <c r="V13" s="245"/>
      <c r="W13" s="245"/>
      <c r="X13" s="245"/>
      <c r="Y13" s="245"/>
      <c r="Z13" s="245"/>
      <c r="AA13" s="245"/>
      <c r="AC13" s="245"/>
      <c r="AD13" s="245"/>
      <c r="AE13" s="245"/>
      <c r="AF13" s="245"/>
      <c r="AG13" s="245"/>
      <c r="AH13" s="245"/>
    </row>
    <row r="14" spans="2:34" s="215" customFormat="1" x14ac:dyDescent="0.3">
      <c r="B14" s="304" t="s">
        <v>2165</v>
      </c>
      <c r="C14" s="845"/>
      <c r="D14" s="247">
        <v>0</v>
      </c>
      <c r="E14" s="247">
        <f>D13</f>
        <v>0</v>
      </c>
      <c r="F14" s="247">
        <f t="shared" ref="F14:I15" si="0">E13</f>
        <v>3442.204510636509</v>
      </c>
      <c r="G14" s="247">
        <f t="shared" si="0"/>
        <v>3968.5306389639841</v>
      </c>
      <c r="H14" s="247">
        <f t="shared" si="0"/>
        <v>4337.0353816847173</v>
      </c>
      <c r="I14" s="247">
        <f t="shared" si="0"/>
        <v>4375.1614767917999</v>
      </c>
      <c r="N14" s="121"/>
      <c r="O14" s="121"/>
      <c r="P14" s="121"/>
      <c r="Q14" s="121"/>
      <c r="R14" s="121"/>
      <c r="S14" s="121"/>
      <c r="T14" s="121"/>
      <c r="V14" s="245"/>
      <c r="W14" s="245"/>
      <c r="X14" s="245"/>
      <c r="Y14" s="245"/>
      <c r="Z14" s="245"/>
      <c r="AA14" s="245"/>
      <c r="AC14" s="245"/>
      <c r="AD14" s="245"/>
      <c r="AE14" s="245"/>
      <c r="AF14" s="245"/>
      <c r="AG14" s="245"/>
      <c r="AH14" s="245"/>
    </row>
    <row r="15" spans="2:34" s="215" customFormat="1" x14ac:dyDescent="0.3">
      <c r="B15" s="304" t="s">
        <v>2166</v>
      </c>
      <c r="C15" s="845"/>
      <c r="D15" s="247">
        <v>0</v>
      </c>
      <c r="E15" s="247">
        <v>0</v>
      </c>
      <c r="F15" s="247">
        <f>E14</f>
        <v>0</v>
      </c>
      <c r="G15" s="247">
        <f t="shared" si="0"/>
        <v>3442.204510636509</v>
      </c>
      <c r="H15" s="247">
        <f t="shared" si="0"/>
        <v>3968.5306389639841</v>
      </c>
      <c r="I15" s="247">
        <f t="shared" si="0"/>
        <v>4337.0353816847173</v>
      </c>
      <c r="N15" s="121"/>
      <c r="O15" s="121"/>
      <c r="P15" s="121"/>
      <c r="Q15" s="121"/>
      <c r="R15" s="121"/>
      <c r="S15" s="121"/>
      <c r="T15" s="121"/>
      <c r="V15" s="245"/>
      <c r="W15" s="245"/>
      <c r="X15" s="245"/>
      <c r="Y15" s="245"/>
      <c r="Z15" s="245"/>
      <c r="AA15" s="245"/>
      <c r="AC15" s="245"/>
      <c r="AD15" s="245"/>
      <c r="AE15" s="245"/>
      <c r="AF15" s="245"/>
      <c r="AG15" s="245"/>
      <c r="AH15" s="245"/>
    </row>
    <row r="16" spans="2:34" s="215" customFormat="1" x14ac:dyDescent="0.3">
      <c r="B16" s="304" t="s">
        <v>2167</v>
      </c>
      <c r="C16" s="845"/>
      <c r="D16" s="247">
        <f>'Inputs and population'!K62</f>
        <v>3818.423688568681</v>
      </c>
      <c r="E16" s="247">
        <f>'Inputs and population'!L62</f>
        <v>655.65800202600178</v>
      </c>
      <c r="F16" s="247">
        <f>'Inputs and population'!M62</f>
        <v>578.74405151558108</v>
      </c>
      <c r="G16" s="247">
        <f>'Inputs and population'!N62</f>
        <v>500.42715942515963</v>
      </c>
      <c r="H16" s="247">
        <f>'Inputs and population'!O62</f>
        <v>504.82632424520762</v>
      </c>
      <c r="I16" s="247">
        <f>'Inputs and population'!P62</f>
        <v>509.26416132903961</v>
      </c>
      <c r="N16" s="121"/>
      <c r="O16" s="121"/>
      <c r="P16" s="121"/>
      <c r="Q16" s="121"/>
      <c r="R16" s="121"/>
      <c r="S16" s="121"/>
      <c r="T16" s="121"/>
      <c r="V16" s="245"/>
      <c r="W16" s="245"/>
      <c r="X16" s="245"/>
      <c r="Y16" s="245"/>
      <c r="Z16" s="245"/>
      <c r="AA16" s="245"/>
      <c r="AC16" s="245"/>
      <c r="AD16" s="245"/>
      <c r="AE16" s="245"/>
      <c r="AF16" s="245"/>
      <c r="AG16" s="245"/>
      <c r="AH16" s="245"/>
    </row>
    <row r="17" spans="2:34" s="215" customFormat="1" x14ac:dyDescent="0.3">
      <c r="B17" s="304" t="s">
        <v>2168</v>
      </c>
      <c r="C17" s="845"/>
      <c r="D17" s="247">
        <f>D16</f>
        <v>3818.423688568681</v>
      </c>
      <c r="E17" s="247">
        <f>D16</f>
        <v>3818.423688568681</v>
      </c>
      <c r="F17" s="247">
        <f t="shared" ref="F17:I18" si="1">E16</f>
        <v>655.65800202600178</v>
      </c>
      <c r="G17" s="247">
        <f t="shared" si="1"/>
        <v>578.74405151558108</v>
      </c>
      <c r="H17" s="247">
        <f t="shared" si="1"/>
        <v>500.42715942515963</v>
      </c>
      <c r="I17" s="247">
        <f t="shared" si="1"/>
        <v>504.82632424520762</v>
      </c>
      <c r="N17" s="121"/>
      <c r="O17" s="121"/>
      <c r="P17" s="121"/>
      <c r="Q17" s="121"/>
      <c r="R17" s="121"/>
      <c r="S17" s="121"/>
      <c r="T17" s="121"/>
      <c r="V17" s="245"/>
      <c r="W17" s="245"/>
      <c r="X17" s="245"/>
      <c r="Y17" s="245"/>
      <c r="Z17" s="245"/>
      <c r="AA17" s="245"/>
      <c r="AC17" s="245"/>
      <c r="AD17" s="245"/>
      <c r="AE17" s="245"/>
      <c r="AF17" s="245"/>
      <c r="AG17" s="245"/>
      <c r="AH17" s="245"/>
    </row>
    <row r="18" spans="2:34" s="215" customFormat="1" x14ac:dyDescent="0.3">
      <c r="B18" s="304" t="s">
        <v>2169</v>
      </c>
      <c r="C18" s="845"/>
      <c r="D18" s="247">
        <f>D17</f>
        <v>3818.423688568681</v>
      </c>
      <c r="E18" s="247">
        <f>D17</f>
        <v>3818.423688568681</v>
      </c>
      <c r="F18" s="247">
        <f>E17</f>
        <v>3818.423688568681</v>
      </c>
      <c r="G18" s="247">
        <f t="shared" si="1"/>
        <v>655.65800202600178</v>
      </c>
      <c r="H18" s="247">
        <f t="shared" si="1"/>
        <v>578.74405151558108</v>
      </c>
      <c r="I18" s="247">
        <f t="shared" si="1"/>
        <v>500.42715942515963</v>
      </c>
      <c r="N18" s="121"/>
      <c r="O18" s="121"/>
      <c r="P18" s="121"/>
      <c r="Q18" s="121"/>
      <c r="R18" s="121"/>
      <c r="S18" s="121"/>
      <c r="T18" s="121"/>
      <c r="V18" s="245"/>
      <c r="W18" s="245"/>
      <c r="X18" s="245"/>
      <c r="Y18" s="245"/>
      <c r="Z18" s="245"/>
      <c r="AA18" s="245"/>
      <c r="AC18" s="245"/>
      <c r="AD18" s="245"/>
      <c r="AE18" s="245"/>
      <c r="AF18" s="245"/>
      <c r="AG18" s="245"/>
      <c r="AH18" s="245"/>
    </row>
    <row r="19" spans="2:34" s="215" customFormat="1" x14ac:dyDescent="0.3">
      <c r="B19" s="304" t="s">
        <v>2170</v>
      </c>
      <c r="C19" s="845"/>
      <c r="D19" s="247">
        <f>D18</f>
        <v>3818.423688568681</v>
      </c>
      <c r="E19" s="247">
        <f>D18</f>
        <v>3818.423688568681</v>
      </c>
      <c r="F19" s="247">
        <f>E18</f>
        <v>3818.423688568681</v>
      </c>
      <c r="G19" s="247">
        <f t="shared" ref="G19:I20" si="2">F18</f>
        <v>3818.423688568681</v>
      </c>
      <c r="H19" s="247">
        <f t="shared" si="2"/>
        <v>655.65800202600178</v>
      </c>
      <c r="I19" s="247">
        <f t="shared" si="2"/>
        <v>578.74405151558108</v>
      </c>
      <c r="N19" s="121"/>
      <c r="O19" s="121"/>
      <c r="P19" s="121"/>
      <c r="Q19" s="121"/>
      <c r="R19" s="121"/>
      <c r="S19" s="121"/>
      <c r="T19" s="121"/>
      <c r="V19" s="245"/>
      <c r="W19" s="245"/>
      <c r="X19" s="245"/>
      <c r="Y19" s="245"/>
      <c r="Z19" s="245"/>
      <c r="AA19" s="245"/>
      <c r="AC19" s="245"/>
      <c r="AD19" s="245"/>
      <c r="AE19" s="245"/>
      <c r="AF19" s="245"/>
      <c r="AG19" s="245"/>
      <c r="AH19" s="245"/>
    </row>
    <row r="20" spans="2:34" s="215" customFormat="1" x14ac:dyDescent="0.3">
      <c r="B20" s="304" t="s">
        <v>2171</v>
      </c>
      <c r="C20" s="845"/>
      <c r="D20" s="247">
        <f>D19</f>
        <v>3818.423688568681</v>
      </c>
      <c r="E20" s="247">
        <f>D19</f>
        <v>3818.423688568681</v>
      </c>
      <c r="F20" s="247">
        <f>E19</f>
        <v>3818.423688568681</v>
      </c>
      <c r="G20" s="247">
        <f t="shared" si="2"/>
        <v>3818.423688568681</v>
      </c>
      <c r="H20" s="247">
        <f t="shared" si="2"/>
        <v>3818.423688568681</v>
      </c>
      <c r="I20" s="247">
        <f t="shared" si="2"/>
        <v>655.65800202600178</v>
      </c>
      <c r="N20" s="121"/>
      <c r="O20" s="121"/>
      <c r="P20" s="121"/>
      <c r="Q20" s="121"/>
      <c r="R20" s="121"/>
      <c r="S20" s="121"/>
      <c r="T20" s="121"/>
      <c r="V20" s="245"/>
      <c r="W20" s="245"/>
      <c r="X20" s="245"/>
      <c r="Y20" s="245"/>
      <c r="Z20" s="245"/>
      <c r="AA20" s="245"/>
      <c r="AC20" s="245"/>
      <c r="AD20" s="245"/>
      <c r="AE20" s="245"/>
      <c r="AF20" s="245"/>
      <c r="AG20" s="245"/>
      <c r="AH20" s="245"/>
    </row>
    <row r="21" spans="2:34" s="215" customFormat="1" x14ac:dyDescent="0.3">
      <c r="B21" s="304" t="s">
        <v>2172</v>
      </c>
      <c r="C21" s="305"/>
      <c r="D21" s="247">
        <f>'Inputs and population'!K63</f>
        <v>4305.8820317902155</v>
      </c>
      <c r="E21" s="247">
        <f>'Inputs and population'!L63</f>
        <v>4097.8625126625111</v>
      </c>
      <c r="F21" s="247">
        <f>'Inputs and population'!M63</f>
        <v>3720.4974740287353</v>
      </c>
      <c r="G21" s="247">
        <f>'Inputs and population'!N63</f>
        <v>3502.9901159761175</v>
      </c>
      <c r="H21" s="247">
        <f>'Inputs and population'!O63</f>
        <v>3533.7842697164533</v>
      </c>
      <c r="I21" s="247">
        <f>'Inputs and population'!P63</f>
        <v>3564.8491293032771</v>
      </c>
      <c r="N21" s="121"/>
      <c r="O21" s="121"/>
      <c r="P21" s="121"/>
      <c r="Q21" s="121"/>
      <c r="R21" s="121"/>
      <c r="S21" s="121"/>
      <c r="T21" s="121"/>
      <c r="V21" s="245"/>
      <c r="W21" s="245"/>
      <c r="X21" s="245"/>
      <c r="Y21" s="245"/>
      <c r="Z21" s="245"/>
      <c r="AA21" s="245"/>
      <c r="AC21" s="245"/>
      <c r="AD21" s="245"/>
      <c r="AE21" s="245"/>
      <c r="AF21" s="245"/>
      <c r="AG21" s="245"/>
      <c r="AH21" s="245"/>
    </row>
    <row r="22" spans="2:34" s="215" customFormat="1" x14ac:dyDescent="0.3">
      <c r="B22" s="304" t="s">
        <v>2173</v>
      </c>
      <c r="C22" s="882"/>
      <c r="D22" s="247">
        <f>D21</f>
        <v>4305.8820317902155</v>
      </c>
      <c r="E22" s="247">
        <f>D21</f>
        <v>4305.8820317902155</v>
      </c>
      <c r="F22" s="247">
        <f t="shared" ref="F22:I22" si="3">E21</f>
        <v>4097.8625126625111</v>
      </c>
      <c r="G22" s="247">
        <f t="shared" si="3"/>
        <v>3720.4974740287353</v>
      </c>
      <c r="H22" s="247">
        <f t="shared" si="3"/>
        <v>3502.9901159761175</v>
      </c>
      <c r="I22" s="247">
        <f t="shared" si="3"/>
        <v>3533.7842697164533</v>
      </c>
      <c r="N22" s="121"/>
      <c r="O22" s="121"/>
      <c r="P22" s="121"/>
      <c r="Q22" s="121"/>
      <c r="R22" s="121"/>
      <c r="S22" s="121"/>
      <c r="T22" s="121"/>
      <c r="V22" s="245"/>
      <c r="W22" s="245"/>
      <c r="X22" s="245"/>
      <c r="Y22" s="245"/>
      <c r="Z22" s="245"/>
      <c r="AA22" s="245"/>
      <c r="AC22" s="245"/>
      <c r="AD22" s="245"/>
      <c r="AE22" s="245"/>
      <c r="AF22" s="245"/>
      <c r="AG22" s="245"/>
      <c r="AH22" s="245"/>
    </row>
    <row r="23" spans="2:34" s="215" customFormat="1" x14ac:dyDescent="0.3">
      <c r="B23" s="252"/>
      <c r="C23" s="167"/>
      <c r="D23" s="168">
        <f>SUM(D13:D22)</f>
        <v>27703.882506423834</v>
      </c>
      <c r="E23" s="168">
        <f t="shared" ref="E23:I23" si="4">SUM(E13:E22)</f>
        <v>27775.30181138996</v>
      </c>
      <c r="F23" s="168">
        <f t="shared" si="4"/>
        <v>27918.768255539366</v>
      </c>
      <c r="G23" s="168">
        <f t="shared" si="4"/>
        <v>28342.934711394169</v>
      </c>
      <c r="H23" s="168">
        <f t="shared" si="4"/>
        <v>25775.581108913706</v>
      </c>
      <c r="I23" s="168">
        <f t="shared" si="4"/>
        <v>22973.37268755558</v>
      </c>
      <c r="N23" s="121"/>
      <c r="O23" s="121"/>
      <c r="P23" s="121"/>
      <c r="Q23" s="121"/>
      <c r="R23" s="121"/>
      <c r="S23" s="121"/>
      <c r="T23" s="121"/>
      <c r="V23" s="245"/>
      <c r="W23" s="245"/>
      <c r="X23" s="245"/>
      <c r="Y23" s="245"/>
      <c r="Z23" s="245"/>
      <c r="AA23" s="245"/>
      <c r="AC23" s="245"/>
      <c r="AD23" s="245"/>
      <c r="AE23" s="245"/>
      <c r="AF23" s="245"/>
      <c r="AG23" s="245"/>
      <c r="AH23" s="245"/>
    </row>
    <row r="24" spans="2:34" s="215" customFormat="1" x14ac:dyDescent="0.3">
      <c r="B24" s="253"/>
      <c r="C24" s="121"/>
      <c r="D24" s="121"/>
      <c r="E24" s="121"/>
      <c r="F24" s="121"/>
      <c r="G24" s="121"/>
      <c r="H24" s="121"/>
      <c r="I24" s="121"/>
      <c r="N24" s="121"/>
      <c r="O24" s="121"/>
      <c r="P24" s="121"/>
      <c r="Q24" s="121"/>
      <c r="R24" s="121"/>
      <c r="S24" s="121"/>
      <c r="T24" s="121"/>
      <c r="AD24" s="245"/>
      <c r="AE24" s="245"/>
      <c r="AF24" s="245"/>
      <c r="AG24" s="245"/>
      <c r="AH24" s="245"/>
    </row>
    <row r="25" spans="2:34" s="215" customFormat="1" x14ac:dyDescent="0.3">
      <c r="B25" s="254" t="s">
        <v>2174</v>
      </c>
      <c r="C25" s="248" t="s">
        <v>2175</v>
      </c>
      <c r="D25" s="554" t="s">
        <v>2142</v>
      </c>
      <c r="E25" s="554" t="s">
        <v>2142</v>
      </c>
      <c r="F25" s="554" t="s">
        <v>2142</v>
      </c>
      <c r="G25" s="554" t="s">
        <v>2142</v>
      </c>
      <c r="H25" s="554" t="s">
        <v>2142</v>
      </c>
      <c r="I25" s="554" t="s">
        <v>2142</v>
      </c>
      <c r="N25" s="121"/>
      <c r="O25" s="121"/>
      <c r="P25" s="121"/>
      <c r="Q25" s="121"/>
      <c r="R25" s="121"/>
      <c r="S25" s="121"/>
      <c r="T25" s="121"/>
      <c r="AD25" s="245"/>
      <c r="AE25" s="245"/>
      <c r="AF25" s="245"/>
      <c r="AG25" s="245"/>
      <c r="AH25" s="245"/>
    </row>
    <row r="26" spans="2:34" s="215" customFormat="1" x14ac:dyDescent="0.3">
      <c r="B26" s="303" t="s">
        <v>1973</v>
      </c>
      <c r="C26" s="249">
        <f>'Unit costs'!P29</f>
        <v>0</v>
      </c>
      <c r="D26" s="249">
        <f t="shared" ref="D26:I26" si="5">SUM(D13:D15)*$C26/1000</f>
        <v>0</v>
      </c>
      <c r="E26" s="249">
        <f t="shared" si="5"/>
        <v>0</v>
      </c>
      <c r="F26" s="249">
        <f t="shared" si="5"/>
        <v>0</v>
      </c>
      <c r="G26" s="249">
        <f t="shared" si="5"/>
        <v>0</v>
      </c>
      <c r="H26" s="249">
        <f t="shared" si="5"/>
        <v>0</v>
      </c>
      <c r="I26" s="249">
        <f t="shared" si="5"/>
        <v>0</v>
      </c>
      <c r="N26" s="121"/>
      <c r="O26" s="121"/>
      <c r="P26" s="121"/>
      <c r="Q26" s="121"/>
      <c r="R26" s="121"/>
      <c r="S26" s="121"/>
      <c r="T26" s="121"/>
      <c r="AD26" s="245"/>
      <c r="AE26" s="245"/>
      <c r="AF26" s="245"/>
      <c r="AG26" s="245"/>
      <c r="AH26" s="245"/>
    </row>
    <row r="27" spans="2:34" s="215" customFormat="1" x14ac:dyDescent="0.3">
      <c r="B27" s="303" t="s">
        <v>1932</v>
      </c>
      <c r="C27" s="249">
        <f>'Unit costs'!P46</f>
        <v>0</v>
      </c>
      <c r="D27" s="249">
        <f>SUM(D16:D20)*$C27/1000</f>
        <v>0</v>
      </c>
      <c r="E27" s="249">
        <f t="shared" ref="E27:I27" si="6">SUM(E16:E20)*$C27/1000</f>
        <v>0</v>
      </c>
      <c r="F27" s="249">
        <f t="shared" si="6"/>
        <v>0</v>
      </c>
      <c r="G27" s="249">
        <f t="shared" si="6"/>
        <v>0</v>
      </c>
      <c r="H27" s="249">
        <f t="shared" si="6"/>
        <v>0</v>
      </c>
      <c r="I27" s="249">
        <f t="shared" si="6"/>
        <v>0</v>
      </c>
      <c r="N27" s="121"/>
      <c r="O27" s="121"/>
      <c r="P27" s="121"/>
      <c r="Q27" s="121"/>
      <c r="R27" s="121"/>
      <c r="S27" s="121"/>
      <c r="T27" s="121"/>
      <c r="AD27" s="245"/>
      <c r="AE27" s="245"/>
      <c r="AF27" s="245"/>
      <c r="AG27" s="245"/>
      <c r="AH27" s="245"/>
    </row>
    <row r="28" spans="2:34" s="215" customFormat="1" x14ac:dyDescent="0.3">
      <c r="B28" s="303" t="s">
        <v>1934</v>
      </c>
      <c r="C28" s="249">
        <f>'Unit costs'!P62</f>
        <v>0</v>
      </c>
      <c r="D28" s="249">
        <f>SUM(D21:D22)*$C28/1000</f>
        <v>0</v>
      </c>
      <c r="E28" s="249">
        <f t="shared" ref="E28:I28" si="7">SUM(E21:E22)*$C28/1000</f>
        <v>0</v>
      </c>
      <c r="F28" s="249">
        <f t="shared" si="7"/>
        <v>0</v>
      </c>
      <c r="G28" s="249">
        <f t="shared" si="7"/>
        <v>0</v>
      </c>
      <c r="H28" s="249">
        <f t="shared" si="7"/>
        <v>0</v>
      </c>
      <c r="I28" s="249">
        <f t="shared" si="7"/>
        <v>0</v>
      </c>
      <c r="N28" s="121"/>
      <c r="O28" s="121"/>
      <c r="P28" s="121"/>
      <c r="Q28" s="121"/>
      <c r="R28" s="121"/>
      <c r="S28" s="121"/>
      <c r="T28" s="121"/>
      <c r="AD28" s="245"/>
      <c r="AE28" s="245"/>
      <c r="AF28" s="245"/>
      <c r="AG28" s="245"/>
      <c r="AH28" s="245"/>
    </row>
    <row r="29" spans="2:34" s="215" customFormat="1" x14ac:dyDescent="0.3">
      <c r="B29" s="252" t="s">
        <v>2176</v>
      </c>
      <c r="C29" s="538"/>
      <c r="D29" s="169">
        <f t="shared" ref="D29:I29" si="8">SUM(D26:D28)</f>
        <v>0</v>
      </c>
      <c r="E29" s="169">
        <f t="shared" si="8"/>
        <v>0</v>
      </c>
      <c r="F29" s="169">
        <f t="shared" si="8"/>
        <v>0</v>
      </c>
      <c r="G29" s="169">
        <f t="shared" si="8"/>
        <v>0</v>
      </c>
      <c r="H29" s="169">
        <f t="shared" si="8"/>
        <v>0</v>
      </c>
      <c r="I29" s="169">
        <f t="shared" si="8"/>
        <v>0</v>
      </c>
      <c r="J29" s="312"/>
      <c r="N29" s="121"/>
      <c r="O29" s="121"/>
      <c r="P29" s="121"/>
      <c r="Q29" s="121"/>
      <c r="R29" s="121"/>
      <c r="S29" s="121"/>
      <c r="T29" s="121"/>
      <c r="AD29" s="245"/>
      <c r="AE29" s="245"/>
      <c r="AF29" s="245"/>
      <c r="AG29" s="245"/>
      <c r="AH29" s="245"/>
    </row>
    <row r="30" spans="2:34" s="215" customFormat="1" x14ac:dyDescent="0.3">
      <c r="B30" s="253"/>
      <c r="C30" s="121"/>
      <c r="D30" s="121"/>
      <c r="E30" s="121"/>
      <c r="F30" s="121"/>
      <c r="G30" s="121"/>
      <c r="H30" s="121"/>
      <c r="I30" s="121"/>
      <c r="N30" s="121"/>
      <c r="O30" s="121"/>
      <c r="P30" s="121"/>
      <c r="Q30" s="121"/>
      <c r="R30" s="121"/>
      <c r="S30" s="121"/>
      <c r="T30" s="121"/>
      <c r="AD30" s="245"/>
      <c r="AE30" s="245"/>
      <c r="AF30" s="245"/>
      <c r="AG30" s="245"/>
      <c r="AH30" s="245"/>
    </row>
    <row r="31" spans="2:34" s="215" customFormat="1" x14ac:dyDescent="0.3">
      <c r="B31" s="328"/>
      <c r="C31" s="250"/>
      <c r="D31" s="311" t="s">
        <v>2144</v>
      </c>
      <c r="E31" s="169">
        <f>E29-$D$29</f>
        <v>0</v>
      </c>
      <c r="F31" s="169">
        <f t="shared" ref="F31:I31" si="9">F29-$D$29</f>
        <v>0</v>
      </c>
      <c r="G31" s="169">
        <f t="shared" si="9"/>
        <v>0</v>
      </c>
      <c r="H31" s="169">
        <f t="shared" si="9"/>
        <v>0</v>
      </c>
      <c r="I31" s="169">
        <f t="shared" si="9"/>
        <v>0</v>
      </c>
      <c r="N31" s="121"/>
      <c r="O31" s="121"/>
      <c r="P31" s="121"/>
      <c r="Q31" s="121"/>
      <c r="R31" s="121"/>
      <c r="S31" s="121"/>
      <c r="T31" s="121"/>
      <c r="AD31" s="245"/>
      <c r="AE31" s="245"/>
      <c r="AF31" s="245"/>
      <c r="AG31" s="245"/>
      <c r="AH31" s="245"/>
    </row>
    <row r="32" spans="2:34" s="215" customFormat="1" x14ac:dyDescent="0.3">
      <c r="B32" s="328"/>
      <c r="C32" s="250"/>
      <c r="D32" s="256" t="s">
        <v>2177</v>
      </c>
      <c r="E32" s="169">
        <f>E31</f>
        <v>0</v>
      </c>
      <c r="F32" s="170">
        <f>F31-E31</f>
        <v>0</v>
      </c>
      <c r="G32" s="170">
        <f t="shared" ref="G32:I32" si="10">G31-F31</f>
        <v>0</v>
      </c>
      <c r="H32" s="170">
        <f t="shared" si="10"/>
        <v>0</v>
      </c>
      <c r="I32" s="170">
        <f t="shared" si="10"/>
        <v>0</v>
      </c>
      <c r="J32" s="121"/>
      <c r="K32" s="121"/>
      <c r="L32" s="121"/>
      <c r="M32" s="121"/>
      <c r="N32" s="121"/>
      <c r="O32" s="121"/>
      <c r="P32" s="121"/>
      <c r="Q32" s="121"/>
      <c r="R32" s="121"/>
      <c r="S32" s="121"/>
      <c r="T32" s="121"/>
      <c r="AD32" s="245"/>
      <c r="AE32" s="245"/>
      <c r="AF32" s="245"/>
      <c r="AG32" s="245"/>
      <c r="AH32" s="245"/>
    </row>
    <row r="34" spans="10:11" x14ac:dyDescent="0.3">
      <c r="J34" s="215"/>
      <c r="K34" s="215"/>
    </row>
    <row r="35" spans="10:11" x14ac:dyDescent="0.3">
      <c r="J35" s="215"/>
      <c r="K35" s="215"/>
    </row>
    <row r="36" spans="10:11" x14ac:dyDescent="0.3">
      <c r="J36" s="215"/>
      <c r="K36" s="215"/>
    </row>
  </sheetData>
  <sheetProtection algorithmName="SHA-512" hashValue="SynPQvLJxnFT7uvT560cNMOf9j3+DFEkKdi3oExma31SXHoCmcbqsAWL08pFzCB1rEAJ0nvndBSSP0p1/08yhw==" saltValue="vQgQ1d1L5S3clVqweWXL3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ignoredErrors>
    <ignoredError sqref="F16:I16 D21:I2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63"/>
  <sheetViews>
    <sheetView showGridLines="0" zoomScale="60" zoomScaleNormal="60" zoomScaleSheetLayoutView="30" workbookViewId="0">
      <selection activeCell="E15" sqref="E15"/>
    </sheetView>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8" width="11.5546875" customWidth="1"/>
    <col min="19" max="19" width="11.44140625" customWidth="1"/>
    <col min="20" max="20" width="11.5546875" customWidth="1"/>
    <col min="21" max="26" width="10.77734375" customWidth="1"/>
    <col min="28" max="41" width="0" hidden="1" customWidth="1"/>
  </cols>
  <sheetData>
    <row r="1" spans="1:40" ht="30" customHeight="1" x14ac:dyDescent="0.3">
      <c r="B1" s="444" t="str">
        <f>'Inputs and population'!B1</f>
        <v>Ribociclib with an aromatase inhibitor for adjuvant treatment of hormone receptor-positive, HER2-negative early breast cancer</v>
      </c>
      <c r="C1" s="115"/>
      <c r="D1" s="115"/>
      <c r="F1" s="115"/>
      <c r="G1" s="115"/>
      <c r="H1" s="115"/>
      <c r="I1" s="115"/>
      <c r="J1" s="115"/>
      <c r="K1" s="115"/>
      <c r="L1" s="115"/>
      <c r="M1" s="115"/>
      <c r="N1" s="115"/>
      <c r="O1" s="115"/>
      <c r="P1" s="115"/>
      <c r="R1" s="115"/>
      <c r="S1" s="115"/>
      <c r="T1" s="115"/>
      <c r="U1" s="115"/>
      <c r="V1" s="115"/>
      <c r="W1" s="115"/>
      <c r="X1" s="115"/>
      <c r="Y1" s="115"/>
      <c r="Z1" s="115"/>
    </row>
    <row r="2" spans="1:40" ht="42.6" customHeight="1" x14ac:dyDescent="0.3">
      <c r="B2" s="191" t="s">
        <v>2178</v>
      </c>
      <c r="C2" s="115" t="s">
        <v>1904</v>
      </c>
      <c r="D2" s="115" t="s">
        <v>1904</v>
      </c>
      <c r="E2" s="418"/>
      <c r="F2" s="115" t="s">
        <v>1904</v>
      </c>
      <c r="G2" s="115" t="s">
        <v>1904</v>
      </c>
      <c r="H2" s="115" t="s">
        <v>1904</v>
      </c>
      <c r="I2" s="115" t="s">
        <v>1904</v>
      </c>
      <c r="J2" s="115"/>
      <c r="K2" s="115"/>
      <c r="L2" s="115"/>
      <c r="M2" s="115"/>
      <c r="N2" s="115"/>
      <c r="O2" s="115"/>
      <c r="P2" s="115"/>
      <c r="Q2" s="115"/>
      <c r="R2" s="115"/>
      <c r="S2" s="115"/>
      <c r="T2" s="115"/>
      <c r="U2" s="115"/>
      <c r="V2" s="115"/>
      <c r="W2" s="115"/>
      <c r="X2" s="115"/>
      <c r="Y2" s="115"/>
      <c r="Z2" s="115"/>
    </row>
    <row r="3" spans="1:40" ht="14.55" customHeight="1" x14ac:dyDescent="0.3">
      <c r="B3" s="118" t="s">
        <v>1904</v>
      </c>
      <c r="C3" s="121" t="s">
        <v>1904</v>
      </c>
      <c r="D3" s="121" t="s">
        <v>1904</v>
      </c>
      <c r="F3" s="121" t="s">
        <v>1904</v>
      </c>
      <c r="G3" s="121" t="s">
        <v>1904</v>
      </c>
      <c r="H3" s="121" t="s">
        <v>1904</v>
      </c>
      <c r="I3" s="121" t="s">
        <v>1904</v>
      </c>
      <c r="J3" s="115"/>
      <c r="K3" s="115"/>
      <c r="L3" s="115"/>
      <c r="M3" s="115"/>
      <c r="N3" s="115"/>
      <c r="O3" s="115"/>
      <c r="P3" s="115"/>
      <c r="Q3" s="121"/>
      <c r="R3" s="121"/>
      <c r="S3" s="121"/>
      <c r="T3" s="121"/>
      <c r="U3" s="121"/>
      <c r="V3" s="121"/>
      <c r="W3" s="121"/>
      <c r="X3" s="121"/>
      <c r="Y3" s="121"/>
      <c r="Z3" s="121"/>
    </row>
    <row r="4" spans="1:40" ht="14.55" customHeight="1" x14ac:dyDescent="0.3">
      <c r="B4" t="s">
        <v>2179</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55" customHeight="1" x14ac:dyDescent="0.3">
      <c r="B5" s="5"/>
      <c r="F5" s="121"/>
      <c r="G5" s="121"/>
      <c r="H5" s="121"/>
      <c r="I5" s="121"/>
      <c r="J5" s="121"/>
      <c r="K5" s="121"/>
      <c r="L5" s="121"/>
      <c r="M5" s="121"/>
      <c r="N5" s="121"/>
      <c r="O5" s="121"/>
      <c r="P5" s="121"/>
      <c r="Q5" s="121"/>
      <c r="R5" s="121"/>
      <c r="S5" s="121"/>
      <c r="T5" s="121"/>
      <c r="U5" s="121"/>
      <c r="V5" s="121"/>
      <c r="W5" s="121"/>
      <c r="X5" s="121"/>
      <c r="Y5" s="121"/>
      <c r="Z5" s="121"/>
    </row>
    <row r="6" spans="1:40" ht="43.2" x14ac:dyDescent="0.3">
      <c r="B6" s="231" t="s">
        <v>2133</v>
      </c>
      <c r="C6" s="187"/>
      <c r="D6" s="844" t="s">
        <v>2162</v>
      </c>
      <c r="E6" s="229" t="s">
        <v>1896</v>
      </c>
      <c r="F6" s="229" t="s">
        <v>1897</v>
      </c>
      <c r="G6" s="152" t="s">
        <v>2130</v>
      </c>
      <c r="H6" s="152" t="s">
        <v>2131</v>
      </c>
      <c r="I6" s="229" t="s">
        <v>2132</v>
      </c>
      <c r="L6" s="844" t="s">
        <v>2162</v>
      </c>
      <c r="M6" s="229" t="s">
        <v>1896</v>
      </c>
      <c r="N6" s="229" t="s">
        <v>1897</v>
      </c>
      <c r="O6" s="152" t="s">
        <v>2130</v>
      </c>
      <c r="P6" s="152" t="s">
        <v>2131</v>
      </c>
      <c r="Q6" s="229" t="s">
        <v>2132</v>
      </c>
      <c r="R6" s="121"/>
      <c r="S6" s="121"/>
      <c r="T6" s="121"/>
      <c r="U6" s="121"/>
      <c r="V6" s="121"/>
      <c r="W6" s="121"/>
      <c r="X6" s="121"/>
      <c r="Y6" s="121"/>
      <c r="Z6" s="121"/>
      <c r="AJ6" s="258"/>
      <c r="AK6" s="258"/>
      <c r="AL6" s="258"/>
      <c r="AM6" s="258"/>
      <c r="AN6" s="258"/>
    </row>
    <row r="7" spans="1:40" x14ac:dyDescent="0.3">
      <c r="B7" s="202" t="s">
        <v>2133</v>
      </c>
      <c r="C7" s="155"/>
      <c r="D7" s="329">
        <f>'Inputs and population'!E34</f>
        <v>8124.305720358896</v>
      </c>
      <c r="E7" s="329">
        <f>'Inputs and population'!F34</f>
        <v>8195.7250253250222</v>
      </c>
      <c r="F7" s="329">
        <f>'Inputs and population'!G34</f>
        <v>8267.7721645083002</v>
      </c>
      <c r="G7" s="329">
        <f>'Inputs and population'!H34</f>
        <v>8340.4526570859944</v>
      </c>
      <c r="H7" s="329">
        <f>'Inputs and population'!I34</f>
        <v>8413.7720707534609</v>
      </c>
      <c r="I7" s="329">
        <f>'Inputs and population'!J34</f>
        <v>8487.7360221506606</v>
      </c>
      <c r="P7" s="121"/>
      <c r="Q7" s="121"/>
      <c r="R7" s="121"/>
      <c r="S7" s="121"/>
      <c r="T7" s="121"/>
      <c r="U7" s="121"/>
      <c r="V7" s="121"/>
      <c r="W7" s="121"/>
      <c r="X7" s="121"/>
      <c r="Y7" s="121"/>
      <c r="Z7" s="121"/>
      <c r="AJ7" s="258"/>
      <c r="AK7" s="258"/>
      <c r="AL7" s="258"/>
      <c r="AM7" s="258"/>
      <c r="AN7" s="258"/>
    </row>
    <row r="8" spans="1:40" x14ac:dyDescent="0.3">
      <c r="B8"/>
      <c r="P8" s="121"/>
      <c r="Q8" s="121"/>
      <c r="R8" s="121"/>
      <c r="S8" s="121"/>
      <c r="T8" s="121"/>
      <c r="U8" s="121"/>
      <c r="V8" s="121"/>
      <c r="W8" s="121"/>
      <c r="X8" s="121"/>
      <c r="Y8" s="121"/>
      <c r="Z8" s="121"/>
      <c r="AJ8" s="258"/>
      <c r="AK8" s="258"/>
      <c r="AL8" s="258"/>
      <c r="AM8" s="258"/>
      <c r="AN8" s="258"/>
    </row>
    <row r="9" spans="1:40" x14ac:dyDescent="0.3">
      <c r="B9" s="251" t="s">
        <v>2180</v>
      </c>
      <c r="C9" s="352" t="s">
        <v>2181</v>
      </c>
      <c r="D9" s="369"/>
      <c r="E9" s="370"/>
      <c r="F9" s="369"/>
      <c r="G9" s="371"/>
      <c r="H9" s="372"/>
      <c r="I9" s="466"/>
      <c r="K9" s="706" t="s">
        <v>2182</v>
      </c>
      <c r="L9" s="554" t="s">
        <v>2142</v>
      </c>
      <c r="M9" s="554" t="s">
        <v>2142</v>
      </c>
      <c r="N9" s="554" t="s">
        <v>2142</v>
      </c>
      <c r="O9" s="554" t="s">
        <v>2142</v>
      </c>
      <c r="P9" s="554" t="s">
        <v>2142</v>
      </c>
      <c r="Q9" s="554" t="s">
        <v>2142</v>
      </c>
      <c r="R9" s="121"/>
      <c r="S9" s="121"/>
      <c r="T9" s="121"/>
      <c r="U9" s="121"/>
      <c r="V9" s="121"/>
      <c r="W9" s="121"/>
      <c r="X9" s="121"/>
      <c r="Y9" s="121"/>
      <c r="Z9" s="121"/>
      <c r="AJ9" s="258"/>
      <c r="AK9" s="258"/>
      <c r="AL9" s="258"/>
      <c r="AM9" s="258"/>
      <c r="AN9" s="258"/>
    </row>
    <row r="10" spans="1:40" x14ac:dyDescent="0.3">
      <c r="A10" s="260"/>
      <c r="B10" s="462" t="str">
        <f>B32</f>
        <v>First attendances</v>
      </c>
      <c r="C10" s="334"/>
      <c r="D10" s="360">
        <f>D37</f>
        <v>0</v>
      </c>
      <c r="E10" s="360">
        <f t="shared" ref="E10:I10" si="0">E37</f>
        <v>0</v>
      </c>
      <c r="F10" s="360">
        <f t="shared" si="0"/>
        <v>0</v>
      </c>
      <c r="G10" s="360">
        <f t="shared" si="0"/>
        <v>0</v>
      </c>
      <c r="H10" s="360">
        <f t="shared" si="0"/>
        <v>0</v>
      </c>
      <c r="I10" s="360">
        <f t="shared" si="0"/>
        <v>0</v>
      </c>
      <c r="K10" s="155"/>
      <c r="L10" s="225"/>
      <c r="M10" s="225"/>
      <c r="N10" s="225"/>
      <c r="O10" s="225"/>
      <c r="P10" s="225"/>
      <c r="Q10" s="225"/>
      <c r="R10" s="121"/>
      <c r="S10" s="121"/>
      <c r="T10" s="121"/>
      <c r="U10" s="121"/>
      <c r="V10" s="121"/>
      <c r="W10" s="121"/>
      <c r="X10" s="121"/>
      <c r="Y10" s="121"/>
      <c r="Z10" s="121"/>
      <c r="AJ10" s="258"/>
      <c r="AK10" s="258"/>
      <c r="AL10" s="258"/>
      <c r="AM10" s="258"/>
      <c r="AN10" s="258"/>
    </row>
    <row r="11" spans="1:40" x14ac:dyDescent="0.3">
      <c r="A11" s="260"/>
      <c r="B11" s="462" t="str">
        <f>B32&amp;" - hours"</f>
        <v>First attendances - hours</v>
      </c>
      <c r="C11" s="707">
        <f>'Capacity inputs'!F13</f>
        <v>30</v>
      </c>
      <c r="D11" s="360">
        <f>$C11/60*D10</f>
        <v>0</v>
      </c>
      <c r="E11" s="360">
        <f t="shared" ref="E11:I11" si="1">$C11/60*E10</f>
        <v>0</v>
      </c>
      <c r="F11" s="360">
        <f t="shared" si="1"/>
        <v>0</v>
      </c>
      <c r="G11" s="360">
        <f t="shared" si="1"/>
        <v>0</v>
      </c>
      <c r="H11" s="360">
        <f t="shared" si="1"/>
        <v>0</v>
      </c>
      <c r="I11" s="360">
        <f t="shared" si="1"/>
        <v>0</v>
      </c>
      <c r="K11" s="461">
        <f>'Capacity inputs'!N13</f>
        <v>127.43</v>
      </c>
      <c r="L11" s="463">
        <f>$K11*D11/1000</f>
        <v>0</v>
      </c>
      <c r="M11" s="463">
        <f t="shared" ref="M11:Q11" si="2">$K11*E11/1000</f>
        <v>0</v>
      </c>
      <c r="N11" s="463">
        <f t="shared" si="2"/>
        <v>0</v>
      </c>
      <c r="O11" s="463">
        <f t="shared" si="2"/>
        <v>0</v>
      </c>
      <c r="P11" s="463">
        <f t="shared" si="2"/>
        <v>0</v>
      </c>
      <c r="Q11" s="463">
        <f t="shared" si="2"/>
        <v>0</v>
      </c>
      <c r="R11" s="121"/>
      <c r="S11" s="121"/>
      <c r="T11" s="121"/>
      <c r="U11" s="121"/>
      <c r="V11" s="121"/>
      <c r="W11" s="121"/>
      <c r="X11" s="121"/>
      <c r="Y11" s="121"/>
      <c r="Z11" s="121"/>
      <c r="AJ11" s="258"/>
      <c r="AK11" s="258"/>
      <c r="AL11" s="258"/>
      <c r="AM11" s="258"/>
      <c r="AN11" s="258"/>
    </row>
    <row r="12" spans="1:40" x14ac:dyDescent="0.3">
      <c r="A12" s="260"/>
      <c r="B12" s="462" t="str">
        <f>B40</f>
        <v>Follow up attendances</v>
      </c>
      <c r="C12" s="334"/>
      <c r="D12" s="360">
        <f>D52</f>
        <v>110815.53002569533</v>
      </c>
      <c r="E12" s="360">
        <f t="shared" ref="E12:I12" si="3">E52</f>
        <v>111101.20724555984</v>
      </c>
      <c r="F12" s="360">
        <f t="shared" si="3"/>
        <v>111675.07302215746</v>
      </c>
      <c r="G12" s="360">
        <f t="shared" si="3"/>
        <v>113371.73884557668</v>
      </c>
      <c r="H12" s="360">
        <f t="shared" si="3"/>
        <v>103102.32443565482</v>
      </c>
      <c r="I12" s="360">
        <f t="shared" si="3"/>
        <v>91893.490750222321</v>
      </c>
      <c r="K12" s="155"/>
      <c r="L12" s="225"/>
      <c r="M12" s="225"/>
      <c r="N12" s="225"/>
      <c r="O12" s="225"/>
      <c r="P12" s="225"/>
      <c r="Q12" s="225"/>
      <c r="R12" s="121"/>
      <c r="S12" s="121"/>
      <c r="T12" s="121"/>
      <c r="U12" s="121"/>
      <c r="V12" s="121"/>
      <c r="W12" s="121"/>
      <c r="X12" s="121"/>
      <c r="Y12" s="121"/>
      <c r="Z12" s="121"/>
      <c r="AJ12" s="258"/>
      <c r="AK12" s="258"/>
      <c r="AL12" s="258"/>
      <c r="AM12" s="258"/>
      <c r="AN12" s="258"/>
    </row>
    <row r="13" spans="1:40" x14ac:dyDescent="0.3">
      <c r="A13" s="260"/>
      <c r="B13" s="462" t="str">
        <f>B40&amp;" - hours"</f>
        <v>Follow up attendances - hours</v>
      </c>
      <c r="C13" s="707">
        <f>'Capacity inputs'!F14</f>
        <v>20</v>
      </c>
      <c r="D13" s="360">
        <f>$C13/60*D12</f>
        <v>36938.510008565107</v>
      </c>
      <c r="E13" s="360">
        <f t="shared" ref="E13:I13" si="4">$C13/60*E12</f>
        <v>37033.735748519946</v>
      </c>
      <c r="F13" s="360">
        <f t="shared" si="4"/>
        <v>37225.024340719152</v>
      </c>
      <c r="G13" s="360">
        <f t="shared" si="4"/>
        <v>37790.579615192226</v>
      </c>
      <c r="H13" s="360">
        <f t="shared" si="4"/>
        <v>34367.441478551606</v>
      </c>
      <c r="I13" s="360">
        <f t="shared" si="4"/>
        <v>30631.16358340744</v>
      </c>
      <c r="K13" s="461">
        <f>'Capacity inputs'!N14</f>
        <v>127.43</v>
      </c>
      <c r="L13" s="463">
        <f>$K13*D13/1000</f>
        <v>4707.0743303914514</v>
      </c>
      <c r="M13" s="463">
        <f t="shared" ref="M13:Q13" si="5">$K13*E13/1000</f>
        <v>4719.2089464338969</v>
      </c>
      <c r="N13" s="463">
        <f t="shared" si="5"/>
        <v>4743.5848517378417</v>
      </c>
      <c r="O13" s="463">
        <f t="shared" si="5"/>
        <v>4815.6535603639459</v>
      </c>
      <c r="P13" s="463">
        <f t="shared" si="5"/>
        <v>4379.4430676118309</v>
      </c>
      <c r="Q13" s="463">
        <f t="shared" si="5"/>
        <v>3903.3291754336105</v>
      </c>
      <c r="R13" s="121"/>
      <c r="S13" s="121"/>
      <c r="T13" s="121"/>
      <c r="U13" s="121"/>
      <c r="V13" s="121"/>
      <c r="W13" s="121"/>
      <c r="X13" s="121"/>
      <c r="Y13" s="121"/>
      <c r="Z13" s="121"/>
      <c r="AJ13" s="258"/>
      <c r="AK13" s="258"/>
      <c r="AL13" s="258"/>
      <c r="AM13" s="258"/>
      <c r="AN13" s="258"/>
    </row>
    <row r="14" spans="1:40" x14ac:dyDescent="0.3">
      <c r="A14" s="266"/>
      <c r="B14" s="373" t="str">
        <f>B71</f>
        <v>Number of administrations</v>
      </c>
      <c r="C14" s="356"/>
      <c r="D14" s="355">
        <f>D76</f>
        <v>360150.47258350987</v>
      </c>
      <c r="E14" s="355">
        <f t="shared" ref="E14:I14" si="6">E76</f>
        <v>361078.92354806949</v>
      </c>
      <c r="F14" s="355">
        <f t="shared" si="6"/>
        <v>362943.98732201173</v>
      </c>
      <c r="G14" s="355">
        <f t="shared" si="6"/>
        <v>368458.1512481242</v>
      </c>
      <c r="H14" s="355">
        <f t="shared" si="6"/>
        <v>335082.55441587814</v>
      </c>
      <c r="I14" s="355">
        <f t="shared" si="6"/>
        <v>298653.84493822255</v>
      </c>
      <c r="K14" s="720"/>
      <c r="L14" s="186"/>
      <c r="M14" s="186"/>
      <c r="N14" s="186"/>
      <c r="O14" s="186"/>
      <c r="P14" s="354"/>
      <c r="Q14" s="354"/>
      <c r="R14" s="121"/>
      <c r="S14" s="121"/>
      <c r="T14" s="121"/>
      <c r="U14" s="121"/>
      <c r="V14" s="121"/>
      <c r="W14" s="121"/>
      <c r="X14" s="121"/>
      <c r="Y14" s="121"/>
      <c r="Z14" s="121"/>
      <c r="AJ14" s="258"/>
      <c r="AK14" s="258"/>
      <c r="AL14" s="258"/>
      <c r="AM14" s="258"/>
      <c r="AN14" s="258"/>
    </row>
    <row r="15" spans="1:40" x14ac:dyDescent="0.3">
      <c r="A15" s="259"/>
      <c r="B15" s="374" t="str">
        <f>B80&amp;" "</f>
        <v xml:space="preserve">Nursing - administrations (hours) </v>
      </c>
      <c r="C15" s="378"/>
      <c r="D15" s="357">
        <f t="shared" ref="D15:I15" si="7">D85</f>
        <v>0</v>
      </c>
      <c r="E15" s="357">
        <f t="shared" si="7"/>
        <v>0</v>
      </c>
      <c r="F15" s="357">
        <f t="shared" si="7"/>
        <v>0</v>
      </c>
      <c r="G15" s="357">
        <f t="shared" si="7"/>
        <v>0</v>
      </c>
      <c r="H15" s="357">
        <f t="shared" si="7"/>
        <v>0</v>
      </c>
      <c r="I15" s="357">
        <f t="shared" si="7"/>
        <v>0</v>
      </c>
      <c r="K15" s="461">
        <f>'Capacity inputs'!N15</f>
        <v>44.4</v>
      </c>
      <c r="L15" s="463">
        <f>$K15*D15/1000</f>
        <v>0</v>
      </c>
      <c r="M15" s="463">
        <f t="shared" ref="M15:Q15" si="8">$K15*E15/1000</f>
        <v>0</v>
      </c>
      <c r="N15" s="463">
        <f t="shared" si="8"/>
        <v>0</v>
      </c>
      <c r="O15" s="463">
        <f t="shared" si="8"/>
        <v>0</v>
      </c>
      <c r="P15" s="463">
        <f t="shared" si="8"/>
        <v>0</v>
      </c>
      <c r="Q15" s="463">
        <f t="shared" si="8"/>
        <v>0</v>
      </c>
      <c r="R15" s="121"/>
      <c r="S15" s="121"/>
      <c r="T15" s="121"/>
      <c r="U15" s="121"/>
      <c r="V15" s="121"/>
      <c r="W15" s="121"/>
      <c r="X15" s="121"/>
      <c r="Y15" s="121"/>
      <c r="Z15" s="121"/>
      <c r="AJ15" s="258"/>
      <c r="AK15" s="258"/>
      <c r="AL15" s="258"/>
      <c r="AM15" s="258"/>
      <c r="AN15" s="258"/>
    </row>
    <row r="16" spans="1:40" x14ac:dyDescent="0.3">
      <c r="A16" s="259"/>
      <c r="B16" s="374" t="str">
        <f>B88&amp;" "</f>
        <v xml:space="preserve">Nursing patient preparation time (hours) </v>
      </c>
      <c r="C16" s="378"/>
      <c r="D16" s="357">
        <f t="shared" ref="D16:I16" si="9">D93</f>
        <v>0</v>
      </c>
      <c r="E16" s="357">
        <f t="shared" si="9"/>
        <v>0</v>
      </c>
      <c r="F16" s="357">
        <f t="shared" si="9"/>
        <v>0</v>
      </c>
      <c r="G16" s="357">
        <f t="shared" si="9"/>
        <v>0</v>
      </c>
      <c r="H16" s="357">
        <f t="shared" si="9"/>
        <v>0</v>
      </c>
      <c r="I16" s="357">
        <f t="shared" si="9"/>
        <v>0</v>
      </c>
      <c r="K16" s="461">
        <f>'Capacity inputs'!N16</f>
        <v>44.4</v>
      </c>
      <c r="L16" s="463">
        <f>$K16*D16/1000</f>
        <v>0</v>
      </c>
      <c r="M16" s="463">
        <f t="shared" ref="M16:Q16" si="10">$K16*E16/1000</f>
        <v>0</v>
      </c>
      <c r="N16" s="463">
        <f t="shared" si="10"/>
        <v>0</v>
      </c>
      <c r="O16" s="463">
        <f t="shared" si="10"/>
        <v>0</v>
      </c>
      <c r="P16" s="463">
        <f t="shared" si="10"/>
        <v>0</v>
      </c>
      <c r="Q16" s="463">
        <f t="shared" si="10"/>
        <v>0</v>
      </c>
      <c r="R16" s="121"/>
      <c r="S16" s="121"/>
      <c r="T16" s="121"/>
      <c r="U16" s="121"/>
      <c r="V16" s="121"/>
      <c r="W16" s="121"/>
      <c r="X16" s="121"/>
      <c r="Y16" s="121"/>
      <c r="Z16" s="121"/>
      <c r="AJ16" s="258"/>
      <c r="AK16" s="258"/>
      <c r="AL16" s="258"/>
      <c r="AM16" s="258"/>
      <c r="AN16" s="258"/>
    </row>
    <row r="17" spans="1:40" x14ac:dyDescent="0.3">
      <c r="A17" s="259"/>
      <c r="B17" s="374" t="str">
        <f>B96&amp;" "</f>
        <v xml:space="preserve">Post administration nursing time (hours) </v>
      </c>
      <c r="C17" s="378"/>
      <c r="D17" s="357">
        <f t="shared" ref="D17:I17" si="11">D101</f>
        <v>0</v>
      </c>
      <c r="E17" s="357">
        <f t="shared" si="11"/>
        <v>0</v>
      </c>
      <c r="F17" s="357">
        <f t="shared" si="11"/>
        <v>0</v>
      </c>
      <c r="G17" s="357">
        <f t="shared" si="11"/>
        <v>0</v>
      </c>
      <c r="H17" s="357">
        <f t="shared" si="11"/>
        <v>0</v>
      </c>
      <c r="I17" s="357">
        <f t="shared" si="11"/>
        <v>0</v>
      </c>
      <c r="K17" s="461">
        <f>'Capacity inputs'!N17</f>
        <v>44.4</v>
      </c>
      <c r="L17" s="463">
        <f>$K17*D17/1000</f>
        <v>0</v>
      </c>
      <c r="M17" s="463">
        <f t="shared" ref="M17:Q17" si="12">$K17*E17/1000</f>
        <v>0</v>
      </c>
      <c r="N17" s="463">
        <f t="shared" si="12"/>
        <v>0</v>
      </c>
      <c r="O17" s="463">
        <f t="shared" si="12"/>
        <v>0</v>
      </c>
      <c r="P17" s="463">
        <f t="shared" si="12"/>
        <v>0</v>
      </c>
      <c r="Q17" s="463">
        <f t="shared" si="12"/>
        <v>0</v>
      </c>
      <c r="R17" s="121"/>
      <c r="S17" s="121"/>
      <c r="T17" s="121"/>
      <c r="U17" s="121"/>
      <c r="V17" s="121"/>
      <c r="W17" s="121"/>
      <c r="X17" s="121"/>
      <c r="Y17" s="121"/>
      <c r="Z17" s="121"/>
      <c r="AJ17" s="258"/>
      <c r="AK17" s="258"/>
      <c r="AL17" s="258"/>
      <c r="AM17" s="258"/>
      <c r="AN17" s="258"/>
    </row>
    <row r="18" spans="1:40" x14ac:dyDescent="0.3">
      <c r="A18" s="261"/>
      <c r="B18" s="375" t="str">
        <f>B105</f>
        <v>Pharmacy support</v>
      </c>
      <c r="C18" s="379"/>
      <c r="D18" s="358">
        <f>D110</f>
        <v>0</v>
      </c>
      <c r="E18" s="358">
        <f t="shared" ref="E18:I18" si="13">E110</f>
        <v>0</v>
      </c>
      <c r="F18" s="358">
        <f t="shared" si="13"/>
        <v>0</v>
      </c>
      <c r="G18" s="358">
        <f t="shared" si="13"/>
        <v>0</v>
      </c>
      <c r="H18" s="358">
        <f t="shared" si="13"/>
        <v>0</v>
      </c>
      <c r="I18" s="358">
        <f t="shared" si="13"/>
        <v>0</v>
      </c>
      <c r="K18" s="155"/>
      <c r="L18" s="225"/>
      <c r="M18" s="225"/>
      <c r="N18" s="225"/>
      <c r="O18" s="225"/>
      <c r="P18" s="225"/>
      <c r="Q18" s="225"/>
      <c r="R18" s="121"/>
      <c r="S18" s="121"/>
      <c r="T18" s="121"/>
      <c r="U18" s="121"/>
      <c r="V18" s="121"/>
      <c r="W18" s="121"/>
      <c r="X18" s="121"/>
      <c r="Y18" s="121"/>
      <c r="Z18" s="121"/>
      <c r="AJ18" s="258"/>
      <c r="AK18" s="258"/>
      <c r="AL18" s="258"/>
      <c r="AM18" s="258"/>
      <c r="AN18" s="258"/>
    </row>
    <row r="19" spans="1:40" x14ac:dyDescent="0.3">
      <c r="A19" s="261"/>
      <c r="B19" s="375" t="str">
        <f>B105&amp;" - hours"</f>
        <v>Pharmacy support - hours</v>
      </c>
      <c r="C19" s="379"/>
      <c r="D19" s="358">
        <f>(($C107*D107)+($C108*D108)+($C109*D109))/60</f>
        <v>0</v>
      </c>
      <c r="E19" s="358">
        <f t="shared" ref="E19:I19" si="14">(($C107*E107)+($C108*E108)+($C109*E109))/60</f>
        <v>0</v>
      </c>
      <c r="F19" s="358">
        <f t="shared" si="14"/>
        <v>0</v>
      </c>
      <c r="G19" s="358">
        <f t="shared" si="14"/>
        <v>0</v>
      </c>
      <c r="H19" s="358">
        <f t="shared" si="14"/>
        <v>0</v>
      </c>
      <c r="I19" s="358">
        <f t="shared" si="14"/>
        <v>0</v>
      </c>
      <c r="K19" s="461">
        <f>'Capacity inputs'!N18</f>
        <v>49.24</v>
      </c>
      <c r="L19" s="463">
        <f>$K19*D19/1000</f>
        <v>0</v>
      </c>
      <c r="M19" s="463">
        <f t="shared" ref="M19:Q19" si="15">$K19*E19/1000</f>
        <v>0</v>
      </c>
      <c r="N19" s="463">
        <f t="shared" si="15"/>
        <v>0</v>
      </c>
      <c r="O19" s="463">
        <f t="shared" si="15"/>
        <v>0</v>
      </c>
      <c r="P19" s="463">
        <f t="shared" si="15"/>
        <v>0</v>
      </c>
      <c r="Q19" s="463">
        <f t="shared" si="15"/>
        <v>0</v>
      </c>
      <c r="R19" s="121"/>
      <c r="S19" s="121"/>
      <c r="T19" s="121"/>
      <c r="U19" s="121"/>
      <c r="V19" s="121"/>
      <c r="W19" s="121"/>
      <c r="X19" s="121"/>
      <c r="Y19" s="121"/>
      <c r="Z19" s="121"/>
      <c r="AJ19" s="258"/>
      <c r="AK19" s="258"/>
      <c r="AL19" s="258"/>
      <c r="AM19" s="258"/>
      <c r="AN19" s="258"/>
    </row>
    <row r="20" spans="1:40" x14ac:dyDescent="0.3">
      <c r="A20" s="262"/>
      <c r="B20" s="377" t="str">
        <f>B114</f>
        <v>ECG</v>
      </c>
      <c r="C20" s="368"/>
      <c r="D20" s="361">
        <f>D123</f>
        <v>0</v>
      </c>
      <c r="E20" s="361">
        <f t="shared" ref="E20:I20" si="16">E123</f>
        <v>6884.409021273018</v>
      </c>
      <c r="F20" s="361">
        <f t="shared" si="16"/>
        <v>7937.0612779279681</v>
      </c>
      <c r="G20" s="361">
        <f t="shared" si="16"/>
        <v>8674.0707633694346</v>
      </c>
      <c r="H20" s="361">
        <f t="shared" si="16"/>
        <v>8750.3229535835999</v>
      </c>
      <c r="I20" s="361">
        <f t="shared" si="16"/>
        <v>8827.2454630366865</v>
      </c>
      <c r="K20" s="155"/>
      <c r="L20" s="225"/>
      <c r="M20" s="225"/>
      <c r="N20" s="225"/>
      <c r="O20" s="225"/>
      <c r="P20" s="225"/>
      <c r="Q20" s="225"/>
      <c r="R20" s="121"/>
      <c r="S20" s="121"/>
      <c r="T20" s="121"/>
      <c r="U20" s="121"/>
      <c r="V20" s="121"/>
      <c r="W20" s="121"/>
      <c r="X20" s="121"/>
      <c r="Y20" s="121"/>
      <c r="Z20" s="121"/>
      <c r="AJ20" s="258"/>
      <c r="AK20" s="258"/>
      <c r="AL20" s="258"/>
      <c r="AM20" s="258"/>
      <c r="AN20" s="258"/>
    </row>
    <row r="21" spans="1:40" x14ac:dyDescent="0.3">
      <c r="A21" s="262"/>
      <c r="B21" s="377" t="str">
        <f>B114&amp;" - hours"</f>
        <v>ECG - hours</v>
      </c>
      <c r="C21" s="712">
        <f>'Capacity inputs'!F19</f>
        <v>20</v>
      </c>
      <c r="D21" s="361">
        <f>D20*$C21/60</f>
        <v>0</v>
      </c>
      <c r="E21" s="361">
        <f t="shared" ref="E21:I21" si="17">E20*$C21/60</f>
        <v>2294.8030070910058</v>
      </c>
      <c r="F21" s="361">
        <f t="shared" si="17"/>
        <v>2645.6870926426559</v>
      </c>
      <c r="G21" s="361">
        <f t="shared" si="17"/>
        <v>2891.3569211231447</v>
      </c>
      <c r="H21" s="361">
        <f t="shared" si="17"/>
        <v>2916.7743178612</v>
      </c>
      <c r="I21" s="361">
        <f t="shared" si="17"/>
        <v>2942.4151543455619</v>
      </c>
      <c r="K21" s="461">
        <f>'Capacity inputs'!N19</f>
        <v>44.4</v>
      </c>
      <c r="L21" s="463">
        <f>$K21*D21/1000</f>
        <v>0</v>
      </c>
      <c r="M21" s="463">
        <f t="shared" ref="M21:Q21" si="18">$K21*E21/1000</f>
        <v>101.88925351484066</v>
      </c>
      <c r="N21" s="463">
        <f t="shared" si="18"/>
        <v>117.46850691333391</v>
      </c>
      <c r="O21" s="463">
        <f t="shared" si="18"/>
        <v>128.37624729786762</v>
      </c>
      <c r="P21" s="463">
        <f t="shared" si="18"/>
        <v>129.50477971303727</v>
      </c>
      <c r="Q21" s="463">
        <f t="shared" si="18"/>
        <v>130.64323285294293</v>
      </c>
      <c r="R21" s="121"/>
      <c r="S21" s="121"/>
      <c r="T21" s="121"/>
      <c r="U21" s="121"/>
      <c r="V21" s="121"/>
      <c r="W21" s="121"/>
      <c r="X21" s="121"/>
      <c r="Y21" s="121"/>
      <c r="Z21" s="121"/>
      <c r="AJ21" s="258"/>
      <c r="AK21" s="258"/>
      <c r="AL21" s="258"/>
      <c r="AM21" s="258"/>
      <c r="AN21" s="258"/>
    </row>
    <row r="22" spans="1:40" x14ac:dyDescent="0.3">
      <c r="A22" s="262"/>
      <c r="B22" s="377" t="str">
        <f>B126</f>
        <v>Blood count</v>
      </c>
      <c r="C22" s="368"/>
      <c r="D22" s="361">
        <f>D135</f>
        <v>30141.17422253151</v>
      </c>
      <c r="E22" s="361">
        <f t="shared" ref="E22:I22" si="19">E135</f>
        <v>59664.878184366156</v>
      </c>
      <c r="F22" s="361">
        <f t="shared" si="19"/>
        <v>61760.258068877003</v>
      </c>
      <c r="G22" s="361">
        <f t="shared" si="19"/>
        <v>63554.249246995285</v>
      </c>
      <c r="H22" s="361">
        <f t="shared" si="19"/>
        <v>64112.943179141374</v>
      </c>
      <c r="I22" s="361">
        <f t="shared" si="19"/>
        <v>64676.54848878803</v>
      </c>
      <c r="K22" s="155"/>
      <c r="L22" s="225"/>
      <c r="M22" s="225"/>
      <c r="N22" s="225"/>
      <c r="O22" s="225"/>
      <c r="P22" s="225"/>
      <c r="Q22" s="225"/>
      <c r="R22" s="121"/>
      <c r="S22" s="121"/>
      <c r="T22" s="121"/>
      <c r="U22" s="121"/>
      <c r="V22" s="121"/>
      <c r="W22" s="121"/>
      <c r="X22" s="121"/>
      <c r="Y22" s="121"/>
      <c r="Z22" s="121"/>
      <c r="AJ22" s="258"/>
      <c r="AK22" s="258"/>
      <c r="AL22" s="258"/>
      <c r="AM22" s="258"/>
      <c r="AN22" s="258"/>
    </row>
    <row r="23" spans="1:40" x14ac:dyDescent="0.3">
      <c r="A23" s="262"/>
      <c r="B23" s="377" t="str">
        <f>B126&amp;" - hours"</f>
        <v>Blood count - hours</v>
      </c>
      <c r="C23" s="712">
        <f>'Capacity inputs'!F20</f>
        <v>20</v>
      </c>
      <c r="D23" s="361">
        <f>$C23/60*D22</f>
        <v>10047.05807417717</v>
      </c>
      <c r="E23" s="361">
        <f t="shared" ref="E23:I23" si="20">$C23/60*E22</f>
        <v>19888.292728122051</v>
      </c>
      <c r="F23" s="361">
        <f t="shared" si="20"/>
        <v>20586.752689625668</v>
      </c>
      <c r="G23" s="361">
        <f t="shared" si="20"/>
        <v>21184.749748998427</v>
      </c>
      <c r="H23" s="361">
        <f t="shared" si="20"/>
        <v>21370.981059713791</v>
      </c>
      <c r="I23" s="361">
        <f t="shared" si="20"/>
        <v>21558.849496262676</v>
      </c>
      <c r="K23" s="461">
        <f>'Capacity inputs'!N20</f>
        <v>35.97</v>
      </c>
      <c r="L23" s="463">
        <f>$K23*D23/1000</f>
        <v>361.39267892815275</v>
      </c>
      <c r="M23" s="463">
        <f t="shared" ref="M23:Q23" si="21">$K23*E23/1000</f>
        <v>715.38188943055013</v>
      </c>
      <c r="N23" s="463">
        <f t="shared" si="21"/>
        <v>740.50549424583528</v>
      </c>
      <c r="O23" s="463">
        <f t="shared" si="21"/>
        <v>762.01544847147341</v>
      </c>
      <c r="P23" s="463">
        <f t="shared" si="21"/>
        <v>768.71418871790513</v>
      </c>
      <c r="Q23" s="463">
        <f t="shared" si="21"/>
        <v>775.47181638056838</v>
      </c>
      <c r="R23" s="121"/>
      <c r="S23" s="121"/>
      <c r="T23" s="121"/>
      <c r="U23" s="121"/>
      <c r="V23" s="121"/>
      <c r="W23" s="121"/>
      <c r="X23" s="121"/>
      <c r="Y23" s="121"/>
      <c r="Z23" s="121"/>
      <c r="AJ23" s="258"/>
      <c r="AK23" s="258"/>
      <c r="AL23" s="258"/>
      <c r="AM23" s="258"/>
      <c r="AN23" s="258"/>
    </row>
    <row r="24" spans="1:40" x14ac:dyDescent="0.3">
      <c r="A24" s="262"/>
      <c r="B24" s="377" t="str">
        <f>B138</f>
        <v>Liver function tests</v>
      </c>
      <c r="C24" s="368"/>
      <c r="D24" s="361">
        <f>D147</f>
        <v>30141.17422253151</v>
      </c>
      <c r="E24" s="361">
        <f t="shared" ref="E24:I24" si="22">E147</f>
        <v>59664.878184366156</v>
      </c>
      <c r="F24" s="361">
        <f t="shared" si="22"/>
        <v>61760.258068877003</v>
      </c>
      <c r="G24" s="361">
        <f t="shared" si="22"/>
        <v>63554.249246995285</v>
      </c>
      <c r="H24" s="361">
        <f t="shared" si="22"/>
        <v>64112.943179141374</v>
      </c>
      <c r="I24" s="361">
        <f t="shared" si="22"/>
        <v>64676.54848878803</v>
      </c>
      <c r="K24" s="155"/>
      <c r="L24" s="225"/>
      <c r="M24" s="225"/>
      <c r="N24" s="225"/>
      <c r="O24" s="225"/>
      <c r="P24" s="225"/>
      <c r="Q24" s="225"/>
      <c r="R24" s="121"/>
      <c r="S24" s="121"/>
      <c r="T24" s="121"/>
      <c r="U24" s="121"/>
      <c r="V24" s="121"/>
      <c r="W24" s="121"/>
      <c r="X24" s="121"/>
      <c r="Y24" s="121"/>
      <c r="Z24" s="121"/>
      <c r="AJ24" s="258"/>
      <c r="AK24" s="258"/>
      <c r="AL24" s="258"/>
      <c r="AM24" s="258"/>
      <c r="AN24" s="258"/>
    </row>
    <row r="25" spans="1:40" x14ac:dyDescent="0.3">
      <c r="A25" s="262"/>
      <c r="B25" s="377" t="str">
        <f>B138&amp;" - hours"</f>
        <v>Liver function tests - hours</v>
      </c>
      <c r="C25" s="712">
        <f>'Capacity inputs'!F21</f>
        <v>20</v>
      </c>
      <c r="D25" s="361">
        <f>$C25/60*D24</f>
        <v>10047.05807417717</v>
      </c>
      <c r="E25" s="361">
        <f t="shared" ref="E25:I25" si="23">$C25/60*E24</f>
        <v>19888.292728122051</v>
      </c>
      <c r="F25" s="361">
        <f t="shared" si="23"/>
        <v>20586.752689625668</v>
      </c>
      <c r="G25" s="361">
        <f t="shared" si="23"/>
        <v>21184.749748998427</v>
      </c>
      <c r="H25" s="361">
        <f t="shared" si="23"/>
        <v>21370.981059713791</v>
      </c>
      <c r="I25" s="361">
        <f t="shared" si="23"/>
        <v>21558.849496262676</v>
      </c>
      <c r="K25" s="461">
        <f>'Capacity inputs'!N21</f>
        <v>35.97</v>
      </c>
      <c r="L25" s="463">
        <f>$K25*D25/1000</f>
        <v>361.39267892815275</v>
      </c>
      <c r="M25" s="463">
        <f t="shared" ref="M25:Q25" si="24">$K25*E25/1000</f>
        <v>715.38188943055013</v>
      </c>
      <c r="N25" s="463">
        <f t="shared" si="24"/>
        <v>740.50549424583528</v>
      </c>
      <c r="O25" s="463">
        <f t="shared" si="24"/>
        <v>762.01544847147341</v>
      </c>
      <c r="P25" s="463">
        <f t="shared" si="24"/>
        <v>768.71418871790513</v>
      </c>
      <c r="Q25" s="463">
        <f t="shared" si="24"/>
        <v>775.47181638056838</v>
      </c>
      <c r="R25" s="121"/>
      <c r="S25" s="121"/>
      <c r="T25" s="121"/>
      <c r="U25" s="121"/>
      <c r="V25" s="121"/>
      <c r="W25" s="121"/>
      <c r="X25" s="121"/>
      <c r="Y25" s="121"/>
      <c r="Z25" s="121"/>
      <c r="AJ25" s="258"/>
      <c r="AK25" s="258"/>
      <c r="AL25" s="258"/>
      <c r="AM25" s="258"/>
      <c r="AN25" s="258"/>
    </row>
    <row r="26" spans="1:40" x14ac:dyDescent="0.3">
      <c r="A26" s="262"/>
      <c r="B26" s="377" t="str">
        <f>B150</f>
        <v>Serum electrolytes tests</v>
      </c>
      <c r="C26" s="368"/>
      <c r="D26" s="361">
        <f>D159</f>
        <v>0</v>
      </c>
      <c r="E26" s="361">
        <f t="shared" ref="E26:I26" si="25">E159</f>
        <v>24095.431574455564</v>
      </c>
      <c r="F26" s="361">
        <f t="shared" si="25"/>
        <v>27779.714472747888</v>
      </c>
      <c r="G26" s="361">
        <f t="shared" si="25"/>
        <v>30359.247671793022</v>
      </c>
      <c r="H26" s="361">
        <f t="shared" si="25"/>
        <v>30626.1303375426</v>
      </c>
      <c r="I26" s="361">
        <f t="shared" si="25"/>
        <v>30895.359120628404</v>
      </c>
      <c r="K26" s="883"/>
      <c r="L26" s="225"/>
      <c r="M26" s="225"/>
      <c r="N26" s="225"/>
      <c r="O26" s="225"/>
      <c r="P26" s="225"/>
      <c r="Q26" s="225"/>
      <c r="R26" s="121"/>
      <c r="S26" s="121"/>
      <c r="T26" s="121"/>
      <c r="U26" s="121"/>
      <c r="V26" s="121"/>
      <c r="W26" s="121"/>
      <c r="X26" s="121"/>
      <c r="Y26" s="121"/>
      <c r="Z26" s="121"/>
      <c r="AJ26" s="258"/>
      <c r="AK26" s="258"/>
      <c r="AL26" s="258"/>
      <c r="AM26" s="258"/>
      <c r="AN26" s="258"/>
    </row>
    <row r="27" spans="1:40" x14ac:dyDescent="0.3">
      <c r="A27" s="262"/>
      <c r="B27" s="377" t="str">
        <f>B150&amp;" - hours"</f>
        <v>Serum electrolytes tests - hours</v>
      </c>
      <c r="C27" s="712">
        <f>'Capacity inputs'!F22</f>
        <v>20</v>
      </c>
      <c r="D27" s="361">
        <f>$C27/60*D26</f>
        <v>0</v>
      </c>
      <c r="E27" s="361">
        <f t="shared" ref="E27:I27" si="26">$C27/60*E26</f>
        <v>8031.8105248185211</v>
      </c>
      <c r="F27" s="361">
        <f t="shared" si="26"/>
        <v>9259.9048242492954</v>
      </c>
      <c r="G27" s="361">
        <f t="shared" si="26"/>
        <v>10119.749223931007</v>
      </c>
      <c r="H27" s="361">
        <f t="shared" si="26"/>
        <v>10208.7101125142</v>
      </c>
      <c r="I27" s="361">
        <f t="shared" si="26"/>
        <v>10298.453040209468</v>
      </c>
      <c r="K27" s="461">
        <f>'Capacity inputs'!N22</f>
        <v>35.97</v>
      </c>
      <c r="L27" s="463">
        <f>$K27*D27/1000</f>
        <v>0</v>
      </c>
      <c r="M27" s="463">
        <f t="shared" ref="M27" si="27">$K27*E27/1000</f>
        <v>288.90422457772218</v>
      </c>
      <c r="N27" s="463">
        <f t="shared" ref="N27" si="28">$K27*F27/1000</f>
        <v>333.07877652824715</v>
      </c>
      <c r="O27" s="463">
        <f t="shared" ref="O27" si="29">$K27*G27/1000</f>
        <v>364.00737958479829</v>
      </c>
      <c r="P27" s="463">
        <f t="shared" ref="P27" si="30">$K27*H27/1000</f>
        <v>367.20730274713577</v>
      </c>
      <c r="Q27" s="463">
        <f t="shared" ref="Q27" si="31">$K27*I27/1000</f>
        <v>370.43535585633458</v>
      </c>
      <c r="R27" s="121"/>
      <c r="S27" s="121"/>
      <c r="T27" s="121"/>
      <c r="U27" s="121"/>
      <c r="V27" s="121"/>
      <c r="W27" s="121"/>
      <c r="X27" s="121"/>
      <c r="Y27" s="121"/>
      <c r="Z27" s="121"/>
      <c r="AJ27" s="258"/>
      <c r="AK27" s="258"/>
      <c r="AL27" s="258"/>
      <c r="AM27" s="258"/>
      <c r="AN27" s="258"/>
    </row>
    <row r="28" spans="1:40" x14ac:dyDescent="0.3">
      <c r="B28" s="220"/>
      <c r="D28" s="258"/>
      <c r="F28" s="121"/>
      <c r="G28" s="121"/>
      <c r="H28" s="121"/>
      <c r="I28" s="121"/>
      <c r="J28" s="121"/>
      <c r="K28" s="146"/>
      <c r="L28" s="264">
        <f t="shared" ref="L28:Q28" si="32">SUM(L10:L27)</f>
        <v>5429.8596882477577</v>
      </c>
      <c r="M28" s="264">
        <f t="shared" si="32"/>
        <v>6540.7662033875604</v>
      </c>
      <c r="N28" s="264">
        <f t="shared" si="32"/>
        <v>6675.1431236710941</v>
      </c>
      <c r="O28" s="264">
        <f t="shared" si="32"/>
        <v>6832.0680841895582</v>
      </c>
      <c r="P28" s="264">
        <f t="shared" si="32"/>
        <v>6413.5835275078143</v>
      </c>
      <c r="Q28" s="264">
        <f t="shared" si="32"/>
        <v>5955.351396904025</v>
      </c>
      <c r="R28" s="121"/>
      <c r="S28" s="121"/>
      <c r="T28" s="121"/>
      <c r="U28" s="121"/>
      <c r="V28" s="121"/>
      <c r="W28" s="121"/>
      <c r="X28" s="121"/>
      <c r="Y28" s="121"/>
      <c r="Z28" s="121"/>
    </row>
    <row r="29" spans="1:40" x14ac:dyDescent="0.3">
      <c r="B29" s="286"/>
      <c r="C29" s="286"/>
      <c r="D29" s="286"/>
      <c r="E29" s="286"/>
      <c r="F29" s="286"/>
      <c r="G29" s="286"/>
      <c r="H29" s="286"/>
      <c r="I29" s="286"/>
      <c r="J29" s="286"/>
      <c r="K29" s="286"/>
      <c r="L29" s="286"/>
      <c r="P29" s="121"/>
      <c r="Q29" s="121"/>
      <c r="R29" s="121"/>
      <c r="S29" s="121"/>
      <c r="V29" s="121"/>
      <c r="W29" s="121"/>
      <c r="X29" s="121"/>
      <c r="Y29" s="121"/>
      <c r="Z29" s="121"/>
      <c r="AJ29" s="258"/>
      <c r="AK29" s="258"/>
      <c r="AL29" s="258"/>
      <c r="AM29" s="258"/>
      <c r="AN29" s="258"/>
    </row>
    <row r="30" spans="1:40" x14ac:dyDescent="0.3">
      <c r="B30" s="321" t="s">
        <v>2183</v>
      </c>
      <c r="C30" s="322"/>
      <c r="D30" s="322"/>
      <c r="E30" s="323"/>
      <c r="F30" s="322"/>
      <c r="G30" s="324"/>
      <c r="H30" s="325"/>
      <c r="I30" s="325"/>
      <c r="J30" s="325"/>
      <c r="K30" s="325"/>
      <c r="L30" s="325"/>
      <c r="M30" s="325"/>
      <c r="N30" s="325"/>
      <c r="O30" s="325"/>
      <c r="P30" s="325"/>
      <c r="Q30" s="326"/>
      <c r="R30" s="121"/>
      <c r="S30" s="121"/>
      <c r="T30" s="121"/>
      <c r="U30" s="121"/>
      <c r="V30" s="121"/>
      <c r="W30" s="121"/>
      <c r="X30" s="121"/>
      <c r="Y30" s="121"/>
      <c r="Z30" s="121"/>
      <c r="AJ30" s="258"/>
      <c r="AK30" s="258"/>
      <c r="AL30" s="258"/>
      <c r="AM30" s="258"/>
      <c r="AN30" s="258"/>
    </row>
    <row r="31" spans="1:40" x14ac:dyDescent="0.3">
      <c r="A31" s="260"/>
      <c r="B31" s="457" t="s">
        <v>2184</v>
      </c>
      <c r="C31" s="450"/>
      <c r="D31" s="451"/>
      <c r="E31" s="452"/>
      <c r="F31" s="260"/>
      <c r="G31" s="260"/>
      <c r="H31" s="196"/>
      <c r="I31" s="196"/>
      <c r="J31" s="196"/>
      <c r="K31" s="196"/>
      <c r="L31" s="196"/>
      <c r="M31" s="196"/>
      <c r="N31" s="196"/>
      <c r="O31" s="196"/>
      <c r="P31" s="196"/>
      <c r="Q31" s="196"/>
      <c r="R31" s="121"/>
      <c r="S31" s="121"/>
      <c r="T31" s="121"/>
      <c r="U31" s="121"/>
      <c r="V31" s="121"/>
      <c r="W31" s="121"/>
      <c r="X31" s="121"/>
      <c r="Y31" s="121"/>
      <c r="Z31" s="121"/>
      <c r="AJ31" s="258"/>
      <c r="AK31" s="258"/>
      <c r="AL31" s="258"/>
      <c r="AM31" s="258"/>
      <c r="AN31" s="258"/>
    </row>
    <row r="32" spans="1:40" x14ac:dyDescent="0.3">
      <c r="A32" s="448"/>
      <c r="B32" s="453" t="s">
        <v>2185</v>
      </c>
      <c r="C32" s="343"/>
      <c r="D32" s="343"/>
      <c r="E32" s="343"/>
      <c r="F32" s="343"/>
      <c r="G32" s="343"/>
      <c r="H32" s="343"/>
      <c r="I32" s="195"/>
      <c r="J32" s="196"/>
      <c r="K32" s="196"/>
      <c r="L32" s="196"/>
      <c r="M32" s="196"/>
      <c r="N32" s="196"/>
      <c r="O32" s="196"/>
      <c r="P32" s="196"/>
      <c r="Q32" s="196"/>
      <c r="R32" s="121"/>
      <c r="S32" s="121"/>
      <c r="T32" s="121"/>
      <c r="U32" s="121"/>
      <c r="V32" s="121"/>
      <c r="W32" s="121"/>
      <c r="X32" s="121"/>
      <c r="Y32" s="121"/>
      <c r="Z32" s="121"/>
      <c r="AJ32" s="258"/>
      <c r="AK32" s="258"/>
      <c r="AL32" s="258"/>
      <c r="AM32" s="258"/>
      <c r="AN32" s="258"/>
    </row>
    <row r="33" spans="1:40" ht="43.2" x14ac:dyDescent="0.3">
      <c r="A33" s="448"/>
      <c r="B33" s="285" t="s">
        <v>2084</v>
      </c>
      <c r="C33" s="153" t="s">
        <v>2186</v>
      </c>
      <c r="D33" s="844" t="s">
        <v>2162</v>
      </c>
      <c r="E33" s="229" t="s">
        <v>1896</v>
      </c>
      <c r="F33" s="229" t="s">
        <v>1897</v>
      </c>
      <c r="G33" s="152" t="s">
        <v>2130</v>
      </c>
      <c r="H33" s="152" t="s">
        <v>2131</v>
      </c>
      <c r="I33" s="229" t="s">
        <v>2132</v>
      </c>
      <c r="J33" s="456"/>
      <c r="K33" s="196"/>
      <c r="L33" s="196"/>
      <c r="M33" s="196"/>
      <c r="N33" s="196"/>
      <c r="O33" s="196"/>
      <c r="P33" s="196"/>
      <c r="Q33" s="196"/>
      <c r="R33" s="121"/>
      <c r="S33" s="121"/>
      <c r="T33" s="121"/>
      <c r="U33" s="121"/>
      <c r="V33" s="121"/>
      <c r="W33" s="121"/>
      <c r="X33" s="121"/>
      <c r="Y33" s="121"/>
      <c r="Z33" s="121"/>
      <c r="AJ33" s="258"/>
      <c r="AK33" s="258"/>
      <c r="AL33" s="258"/>
      <c r="AM33" s="258"/>
      <c r="AN33" s="258"/>
    </row>
    <row r="34" spans="1:40" x14ac:dyDescent="0.3">
      <c r="A34" s="448"/>
      <c r="B34" s="304" t="s">
        <v>2187</v>
      </c>
      <c r="C34" s="137">
        <f>'Capacity inputs'!G$13</f>
        <v>0</v>
      </c>
      <c r="D34" s="116">
        <f>'Financial impact (cash)'!D13*$C$34</f>
        <v>0</v>
      </c>
      <c r="E34" s="116">
        <f>'Financial impact (cash)'!E13*$C$34</f>
        <v>0</v>
      </c>
      <c r="F34" s="116">
        <f>'Financial impact (cash)'!F13*$C$34</f>
        <v>0</v>
      </c>
      <c r="G34" s="116">
        <f>'Financial impact (cash)'!G13*$C$34</f>
        <v>0</v>
      </c>
      <c r="H34" s="116">
        <f>'Financial impact (cash)'!H13*$C$34</f>
        <v>0</v>
      </c>
      <c r="I34" s="116">
        <f>'Financial impact (cash)'!I13*$C$34</f>
        <v>0</v>
      </c>
      <c r="J34" s="456"/>
      <c r="K34" s="196"/>
      <c r="L34" s="196"/>
      <c r="M34" s="196"/>
      <c r="N34" s="196"/>
      <c r="O34" s="196"/>
      <c r="P34" s="196"/>
      <c r="Q34" s="196"/>
      <c r="R34" s="121"/>
      <c r="S34" s="121"/>
      <c r="T34" s="121"/>
      <c r="U34" s="121"/>
      <c r="V34" s="121"/>
      <c r="W34" s="121"/>
      <c r="X34" s="121"/>
      <c r="Y34" s="121"/>
      <c r="Z34" s="121"/>
      <c r="AJ34" s="258"/>
      <c r="AK34" s="258"/>
      <c r="AL34" s="258"/>
      <c r="AM34" s="258"/>
      <c r="AN34" s="258"/>
    </row>
    <row r="35" spans="1:40" x14ac:dyDescent="0.3">
      <c r="A35" s="448"/>
      <c r="B35" s="304" t="s">
        <v>2188</v>
      </c>
      <c r="C35" s="137">
        <f>'Capacity inputs'!H$13</f>
        <v>0</v>
      </c>
      <c r="D35" s="116">
        <f>'Financial impact (cash)'!D16*$C$35</f>
        <v>0</v>
      </c>
      <c r="E35" s="116">
        <f>'Financial impact (cash)'!E16*$C$35</f>
        <v>0</v>
      </c>
      <c r="F35" s="116">
        <f>'Financial impact (cash)'!F16*$C$35</f>
        <v>0</v>
      </c>
      <c r="G35" s="116">
        <f>'Financial impact (cash)'!G16*$C$35</f>
        <v>0</v>
      </c>
      <c r="H35" s="116">
        <f>'Financial impact (cash)'!H16*$C$35</f>
        <v>0</v>
      </c>
      <c r="I35" s="116">
        <f>'Financial impact (cash)'!I16*$C$35</f>
        <v>0</v>
      </c>
      <c r="J35" s="456"/>
      <c r="K35" s="196"/>
      <c r="L35" s="196"/>
      <c r="M35" s="196"/>
      <c r="N35" s="196"/>
      <c r="O35" s="196"/>
      <c r="P35" s="196"/>
      <c r="Q35" s="196"/>
      <c r="R35" s="121"/>
      <c r="S35" s="121"/>
      <c r="T35" s="121"/>
      <c r="U35" s="121"/>
      <c r="V35" s="121"/>
      <c r="W35" s="121"/>
      <c r="X35" s="121"/>
      <c r="Y35" s="121"/>
      <c r="Z35" s="121"/>
      <c r="AJ35" s="258"/>
      <c r="AK35" s="258"/>
      <c r="AL35" s="258"/>
      <c r="AM35" s="258"/>
      <c r="AN35" s="258"/>
    </row>
    <row r="36" spans="1:40" x14ac:dyDescent="0.3">
      <c r="A36" s="448"/>
      <c r="B36" s="304" t="s">
        <v>2189</v>
      </c>
      <c r="C36" s="137">
        <f>'Capacity inputs'!I$13</f>
        <v>0</v>
      </c>
      <c r="D36" s="116">
        <f>'Financial impact (cash)'!D21*$C$36</f>
        <v>0</v>
      </c>
      <c r="E36" s="116">
        <f>'Financial impact (cash)'!E21*$C$36</f>
        <v>0</v>
      </c>
      <c r="F36" s="116">
        <f>'Financial impact (cash)'!F21*$C$36</f>
        <v>0</v>
      </c>
      <c r="G36" s="116">
        <f>'Financial impact (cash)'!G21*$C$36</f>
        <v>0</v>
      </c>
      <c r="H36" s="116">
        <f>'Financial impact (cash)'!H21*$C$36</f>
        <v>0</v>
      </c>
      <c r="I36" s="116">
        <f>'Financial impact (cash)'!I21*$C$36</f>
        <v>0</v>
      </c>
      <c r="J36" s="456"/>
      <c r="K36" s="196"/>
      <c r="L36" s="196"/>
      <c r="M36" s="196"/>
      <c r="N36" s="196"/>
      <c r="O36" s="196"/>
      <c r="P36" s="196"/>
      <c r="Q36" s="196"/>
      <c r="R36" s="121"/>
      <c r="S36" s="121"/>
      <c r="T36" s="121"/>
      <c r="U36" s="121"/>
      <c r="V36" s="121"/>
      <c r="W36" s="121"/>
      <c r="X36" s="121"/>
      <c r="Y36" s="121"/>
      <c r="Z36" s="121"/>
      <c r="AJ36" s="258"/>
      <c r="AK36" s="258"/>
      <c r="AL36" s="258"/>
      <c r="AM36" s="258"/>
      <c r="AN36" s="258"/>
    </row>
    <row r="37" spans="1:40" x14ac:dyDescent="0.3">
      <c r="A37" s="448"/>
      <c r="B37" s="434"/>
      <c r="C37" s="289"/>
      <c r="D37" s="168">
        <f t="shared" ref="D37:I37" si="33">SUM(D34:D36)</f>
        <v>0</v>
      </c>
      <c r="E37" s="168">
        <f t="shared" si="33"/>
        <v>0</v>
      </c>
      <c r="F37" s="168">
        <f t="shared" si="33"/>
        <v>0</v>
      </c>
      <c r="G37" s="168">
        <f t="shared" si="33"/>
        <v>0</v>
      </c>
      <c r="H37" s="168">
        <f t="shared" si="33"/>
        <v>0</v>
      </c>
      <c r="I37" s="168">
        <f t="shared" si="33"/>
        <v>0</v>
      </c>
      <c r="J37" s="456"/>
      <c r="K37" s="196"/>
      <c r="L37" s="196"/>
      <c r="M37" s="196"/>
      <c r="N37" s="196"/>
      <c r="O37" s="196"/>
      <c r="P37" s="196"/>
      <c r="Q37" s="196"/>
      <c r="R37" s="121"/>
      <c r="S37" s="121"/>
      <c r="T37" s="121"/>
      <c r="U37" s="121"/>
      <c r="V37" s="121"/>
      <c r="W37" s="121"/>
      <c r="X37" s="121"/>
      <c r="Y37" s="121"/>
      <c r="Z37" s="121"/>
      <c r="AJ37" s="258"/>
      <c r="AK37" s="258"/>
      <c r="AL37" s="258"/>
      <c r="AM37" s="258"/>
      <c r="AN37" s="258"/>
    </row>
    <row r="38" spans="1:40" x14ac:dyDescent="0.3">
      <c r="A38" s="448"/>
      <c r="B38" s="230"/>
      <c r="C38" s="230"/>
      <c r="D38" s="257" t="s">
        <v>2190</v>
      </c>
      <c r="E38" s="168">
        <f>E37-$D$37</f>
        <v>0</v>
      </c>
      <c r="F38" s="168">
        <f>F37-$D$37</f>
        <v>0</v>
      </c>
      <c r="G38" s="168">
        <f>G37-$D$37</f>
        <v>0</v>
      </c>
      <c r="H38" s="168">
        <f>H37-$D$37</f>
        <v>0</v>
      </c>
      <c r="I38" s="168">
        <f>I37-$D$37</f>
        <v>0</v>
      </c>
      <c r="J38" s="456"/>
      <c r="K38" s="196"/>
      <c r="L38" s="196"/>
      <c r="M38" s="196"/>
      <c r="N38" s="196"/>
      <c r="O38" s="196"/>
      <c r="P38" s="196"/>
      <c r="Q38" s="196"/>
      <c r="R38" s="121"/>
      <c r="S38" s="121"/>
      <c r="T38" s="121"/>
      <c r="U38" s="121"/>
      <c r="V38" s="121"/>
      <c r="W38" s="121"/>
      <c r="X38" s="121"/>
      <c r="Y38" s="121"/>
      <c r="Z38" s="121"/>
      <c r="AJ38" s="258"/>
      <c r="AK38" s="258"/>
      <c r="AL38" s="258"/>
      <c r="AM38" s="258"/>
      <c r="AN38" s="258"/>
    </row>
    <row r="39" spans="1:40" x14ac:dyDescent="0.3">
      <c r="A39" s="260"/>
      <c r="B39" s="449"/>
      <c r="C39" s="450"/>
      <c r="D39" s="451"/>
      <c r="E39" s="452"/>
      <c r="F39" s="260"/>
      <c r="G39" s="260"/>
      <c r="H39" s="260"/>
      <c r="I39" s="280"/>
      <c r="J39" s="196"/>
      <c r="K39" s="196"/>
      <c r="L39" s="196"/>
      <c r="M39" s="196"/>
      <c r="N39" s="196"/>
      <c r="O39" s="196"/>
      <c r="P39" s="196"/>
      <c r="Q39" s="196"/>
      <c r="R39" s="121"/>
      <c r="S39" s="121"/>
      <c r="T39" s="121"/>
      <c r="U39" s="121"/>
      <c r="V39" s="121"/>
      <c r="W39" s="121"/>
      <c r="X39" s="121"/>
      <c r="Y39" s="121"/>
      <c r="Z39" s="121"/>
      <c r="AJ39" s="258"/>
      <c r="AK39" s="258"/>
      <c r="AL39" s="258"/>
      <c r="AM39" s="258"/>
      <c r="AN39" s="258"/>
    </row>
    <row r="40" spans="1:40" x14ac:dyDescent="0.3">
      <c r="A40" s="260"/>
      <c r="B40" s="342" t="s">
        <v>2191</v>
      </c>
      <c r="C40" s="343"/>
      <c r="D40" s="343"/>
      <c r="E40" s="343"/>
      <c r="F40" s="343"/>
      <c r="G40" s="343"/>
      <c r="H40" s="343"/>
      <c r="I40" s="195"/>
      <c r="J40" s="196"/>
      <c r="K40" s="196"/>
      <c r="L40" s="196"/>
      <c r="M40" s="196"/>
      <c r="N40" s="196"/>
      <c r="O40" s="196"/>
      <c r="P40" s="196"/>
      <c r="Q40" s="196"/>
      <c r="R40" s="121"/>
      <c r="S40" s="121"/>
      <c r="T40" s="121"/>
      <c r="U40" s="121"/>
      <c r="V40" s="121"/>
      <c r="W40" s="121"/>
      <c r="X40" s="121"/>
      <c r="Y40" s="121"/>
      <c r="Z40" s="121"/>
      <c r="AJ40" s="258"/>
      <c r="AK40" s="258"/>
      <c r="AL40" s="258"/>
      <c r="AM40" s="258"/>
      <c r="AN40" s="258"/>
    </row>
    <row r="41" spans="1:40" ht="43.2" x14ac:dyDescent="0.3">
      <c r="A41" s="260"/>
      <c r="B41" s="254" t="s">
        <v>2084</v>
      </c>
      <c r="C41" s="153" t="s">
        <v>2186</v>
      </c>
      <c r="D41" s="844" t="s">
        <v>2162</v>
      </c>
      <c r="E41" s="229" t="s">
        <v>1896</v>
      </c>
      <c r="F41" s="229" t="s">
        <v>1897</v>
      </c>
      <c r="G41" s="152" t="s">
        <v>2130</v>
      </c>
      <c r="H41" s="152" t="s">
        <v>2131</v>
      </c>
      <c r="I41" s="229" t="s">
        <v>2132</v>
      </c>
      <c r="J41" s="196"/>
      <c r="K41" s="196"/>
      <c r="L41" s="196"/>
      <c r="M41" s="196"/>
      <c r="N41" s="196"/>
      <c r="O41" s="196"/>
      <c r="P41" s="196"/>
      <c r="Q41" s="196"/>
      <c r="R41" s="121"/>
      <c r="S41" s="121"/>
      <c r="T41" s="121"/>
      <c r="U41" s="121"/>
      <c r="V41" s="121"/>
      <c r="W41" s="121"/>
      <c r="X41" s="121"/>
      <c r="Y41" s="121"/>
      <c r="Z41" s="121"/>
      <c r="AJ41" s="258"/>
      <c r="AK41" s="258"/>
      <c r="AL41" s="258"/>
      <c r="AM41" s="258"/>
      <c r="AN41" s="258"/>
    </row>
    <row r="42" spans="1:40" x14ac:dyDescent="0.3">
      <c r="A42" s="260"/>
      <c r="B42" s="303" t="s">
        <v>2192</v>
      </c>
      <c r="C42" s="137">
        <f>'Capacity inputs'!G$14</f>
        <v>4</v>
      </c>
      <c r="D42" s="116">
        <f>'Financial impact (cash)'!D13*$C42</f>
        <v>0</v>
      </c>
      <c r="E42" s="116">
        <f>'Financial impact (cash)'!E13*$C42</f>
        <v>13768.818042546036</v>
      </c>
      <c r="F42" s="116">
        <f>'Financial impact (cash)'!F13*$C42</f>
        <v>15874.122555855936</v>
      </c>
      <c r="G42" s="116">
        <f>'Financial impact (cash)'!G13*$C42</f>
        <v>17348.141526738869</v>
      </c>
      <c r="H42" s="116">
        <f>'Financial impact (cash)'!H13*$C42</f>
        <v>17500.6459071672</v>
      </c>
      <c r="I42" s="116">
        <f>'Financial impact (cash)'!I13*$C42</f>
        <v>17654.490926073373</v>
      </c>
      <c r="J42" s="196"/>
      <c r="K42" s="196"/>
      <c r="L42" s="196"/>
      <c r="M42" s="196"/>
      <c r="N42" s="196"/>
      <c r="O42" s="196"/>
      <c r="P42" s="196"/>
      <c r="Q42" s="196"/>
      <c r="R42" s="121"/>
      <c r="S42" s="121"/>
      <c r="T42" s="121"/>
      <c r="U42" s="121"/>
      <c r="V42" s="121"/>
      <c r="W42" s="121"/>
      <c r="X42" s="121"/>
      <c r="Y42" s="121"/>
      <c r="Z42" s="121"/>
      <c r="AJ42" s="258"/>
      <c r="AK42" s="258"/>
      <c r="AL42" s="258"/>
      <c r="AM42" s="258"/>
      <c r="AN42" s="258"/>
    </row>
    <row r="43" spans="1:40" x14ac:dyDescent="0.3">
      <c r="A43" s="260"/>
      <c r="B43" s="303" t="s">
        <v>2193</v>
      </c>
      <c r="C43" s="137">
        <f>'Capacity inputs'!$G$14</f>
        <v>4</v>
      </c>
      <c r="D43" s="116">
        <f>'Financial impact (cash)'!D14*$C43</f>
        <v>0</v>
      </c>
      <c r="E43" s="116">
        <f>'Financial impact (cash)'!E14*$C43</f>
        <v>0</v>
      </c>
      <c r="F43" s="116">
        <f>'Financial impact (cash)'!F14*$C43</f>
        <v>13768.818042546036</v>
      </c>
      <c r="G43" s="116">
        <f>'Financial impact (cash)'!G14*$C43</f>
        <v>15874.122555855936</v>
      </c>
      <c r="H43" s="116">
        <f>'Financial impact (cash)'!H14*$C43</f>
        <v>17348.141526738869</v>
      </c>
      <c r="I43" s="116">
        <f>'Financial impact (cash)'!I14*$C43</f>
        <v>17500.6459071672</v>
      </c>
      <c r="J43" s="196"/>
      <c r="K43" s="196"/>
      <c r="L43" s="196"/>
      <c r="M43" s="196"/>
      <c r="N43" s="196"/>
      <c r="O43" s="196"/>
      <c r="P43" s="196"/>
      <c r="Q43" s="196"/>
      <c r="R43" s="121"/>
      <c r="S43" s="121"/>
      <c r="T43" s="121"/>
      <c r="U43" s="121"/>
      <c r="V43" s="121"/>
      <c r="W43" s="121"/>
      <c r="X43" s="121"/>
      <c r="Y43" s="121"/>
      <c r="Z43" s="121"/>
      <c r="AJ43" s="258"/>
      <c r="AK43" s="258"/>
      <c r="AL43" s="258"/>
      <c r="AM43" s="258"/>
      <c r="AN43" s="258"/>
    </row>
    <row r="44" spans="1:40" x14ac:dyDescent="0.3">
      <c r="A44" s="260"/>
      <c r="B44" s="303" t="s">
        <v>2194</v>
      </c>
      <c r="C44" s="137">
        <f>'Capacity inputs'!$G$14</f>
        <v>4</v>
      </c>
      <c r="D44" s="116">
        <f>'Financial impact (cash)'!D15*$C44</f>
        <v>0</v>
      </c>
      <c r="E44" s="116">
        <f>'Financial impact (cash)'!E15*$C44</f>
        <v>0</v>
      </c>
      <c r="F44" s="116">
        <f>'Financial impact (cash)'!F15*$C44</f>
        <v>0</v>
      </c>
      <c r="G44" s="116">
        <f>'Financial impact (cash)'!G15*$C44</f>
        <v>13768.818042546036</v>
      </c>
      <c r="H44" s="116">
        <f>'Financial impact (cash)'!H15*$C44</f>
        <v>15874.122555855936</v>
      </c>
      <c r="I44" s="116">
        <f>'Financial impact (cash)'!I15*$C44</f>
        <v>17348.141526738869</v>
      </c>
      <c r="J44" s="196"/>
      <c r="K44" s="196"/>
      <c r="L44" s="196"/>
      <c r="M44" s="196"/>
      <c r="N44" s="196"/>
      <c r="O44" s="196"/>
      <c r="P44" s="196"/>
      <c r="Q44" s="196"/>
      <c r="R44" s="121"/>
      <c r="S44" s="121"/>
      <c r="T44" s="121"/>
      <c r="U44" s="121"/>
      <c r="V44" s="121"/>
      <c r="W44" s="121"/>
      <c r="X44" s="121"/>
      <c r="Y44" s="121"/>
      <c r="Z44" s="121"/>
      <c r="AJ44" s="258"/>
      <c r="AK44" s="258"/>
      <c r="AL44" s="258"/>
      <c r="AM44" s="258"/>
      <c r="AN44" s="258"/>
    </row>
    <row r="45" spans="1:40" x14ac:dyDescent="0.3">
      <c r="A45" s="260"/>
      <c r="B45" s="303" t="s">
        <v>2167</v>
      </c>
      <c r="C45" s="137">
        <f>'Capacity inputs'!$H$14</f>
        <v>4</v>
      </c>
      <c r="D45" s="116">
        <f>'Financial impact (cash)'!D16*$C45</f>
        <v>15273.694754274724</v>
      </c>
      <c r="E45" s="116">
        <f>'Financial impact (cash)'!E16*$C45</f>
        <v>2622.6320081040071</v>
      </c>
      <c r="F45" s="116">
        <f>'Financial impact (cash)'!F16*$C45</f>
        <v>2314.9762060623243</v>
      </c>
      <c r="G45" s="116">
        <f>'Financial impact (cash)'!G16*$C45</f>
        <v>2001.7086377006385</v>
      </c>
      <c r="H45" s="116">
        <f>'Financial impact (cash)'!H16*$C45</f>
        <v>2019.3052969808305</v>
      </c>
      <c r="I45" s="116">
        <f>'Financial impact (cash)'!I16*$C45</f>
        <v>2037.0566453161584</v>
      </c>
      <c r="J45" s="196"/>
      <c r="K45" s="196"/>
      <c r="L45" s="196"/>
      <c r="M45" s="196"/>
      <c r="N45" s="196"/>
      <c r="O45" s="196"/>
      <c r="P45" s="196"/>
      <c r="Q45" s="196"/>
      <c r="R45" s="121"/>
      <c r="S45" s="121"/>
      <c r="T45" s="121"/>
      <c r="U45" s="121"/>
      <c r="V45" s="121"/>
      <c r="W45" s="121"/>
      <c r="X45" s="121"/>
      <c r="Y45" s="121"/>
      <c r="Z45" s="121"/>
      <c r="AJ45" s="258"/>
      <c r="AK45" s="258"/>
      <c r="AL45" s="258"/>
      <c r="AM45" s="258"/>
      <c r="AN45" s="258"/>
    </row>
    <row r="46" spans="1:40" x14ac:dyDescent="0.3">
      <c r="A46" s="260"/>
      <c r="B46" s="303" t="s">
        <v>2168</v>
      </c>
      <c r="C46" s="137">
        <f>'Capacity inputs'!$H$14</f>
        <v>4</v>
      </c>
      <c r="D46" s="116">
        <f>'Financial impact (cash)'!D17*$C46</f>
        <v>15273.694754274724</v>
      </c>
      <c r="E46" s="116">
        <f>'Financial impact (cash)'!E17*$C46</f>
        <v>15273.694754274724</v>
      </c>
      <c r="F46" s="116">
        <f>'Financial impact (cash)'!F17*$C46</f>
        <v>2622.6320081040071</v>
      </c>
      <c r="G46" s="116">
        <f>'Financial impact (cash)'!G17*$C46</f>
        <v>2314.9762060623243</v>
      </c>
      <c r="H46" s="116">
        <f>'Financial impact (cash)'!H17*$C46</f>
        <v>2001.7086377006385</v>
      </c>
      <c r="I46" s="116">
        <f>'Financial impact (cash)'!I17*$C46</f>
        <v>2019.3052969808305</v>
      </c>
      <c r="J46" s="196"/>
      <c r="K46" s="196"/>
      <c r="L46" s="196"/>
      <c r="M46" s="196"/>
      <c r="N46" s="196"/>
      <c r="O46" s="196"/>
      <c r="P46" s="196"/>
      <c r="Q46" s="196"/>
      <c r="R46" s="121"/>
      <c r="S46" s="121"/>
      <c r="T46" s="121"/>
      <c r="U46" s="121"/>
      <c r="V46" s="121"/>
      <c r="W46" s="121"/>
      <c r="X46" s="121"/>
      <c r="Y46" s="121"/>
      <c r="Z46" s="121"/>
      <c r="AJ46" s="258"/>
      <c r="AK46" s="258"/>
      <c r="AL46" s="258"/>
      <c r="AM46" s="258"/>
      <c r="AN46" s="258"/>
    </row>
    <row r="47" spans="1:40" x14ac:dyDescent="0.3">
      <c r="A47" s="260"/>
      <c r="B47" s="303" t="s">
        <v>2169</v>
      </c>
      <c r="C47" s="137">
        <f>'Capacity inputs'!$H$14</f>
        <v>4</v>
      </c>
      <c r="D47" s="116">
        <f>'Financial impact (cash)'!D18*$C47</f>
        <v>15273.694754274724</v>
      </c>
      <c r="E47" s="116">
        <f>'Financial impact (cash)'!E18*$C47</f>
        <v>15273.694754274724</v>
      </c>
      <c r="F47" s="116">
        <f>'Financial impact (cash)'!F18*$C47</f>
        <v>15273.694754274724</v>
      </c>
      <c r="G47" s="116">
        <f>'Financial impact (cash)'!G18*$C47</f>
        <v>2622.6320081040071</v>
      </c>
      <c r="H47" s="116">
        <f>'Financial impact (cash)'!H18*$C47</f>
        <v>2314.9762060623243</v>
      </c>
      <c r="I47" s="116">
        <f>'Financial impact (cash)'!I18*$C47</f>
        <v>2001.7086377006385</v>
      </c>
      <c r="J47" s="196"/>
      <c r="K47" s="196"/>
      <c r="L47" s="196"/>
      <c r="M47" s="196"/>
      <c r="N47" s="196"/>
      <c r="O47" s="196"/>
      <c r="P47" s="196"/>
      <c r="Q47" s="196"/>
      <c r="R47" s="121"/>
      <c r="S47" s="121"/>
      <c r="T47" s="121"/>
      <c r="U47" s="121"/>
      <c r="V47" s="121"/>
      <c r="W47" s="121"/>
      <c r="X47" s="121"/>
      <c r="Y47" s="121"/>
      <c r="Z47" s="121"/>
      <c r="AJ47" s="258"/>
      <c r="AK47" s="258"/>
      <c r="AL47" s="258"/>
      <c r="AM47" s="258"/>
      <c r="AN47" s="258"/>
    </row>
    <row r="48" spans="1:40" x14ac:dyDescent="0.3">
      <c r="A48" s="260"/>
      <c r="B48" s="303" t="s">
        <v>2170</v>
      </c>
      <c r="C48" s="137">
        <f>'Capacity inputs'!$H$14</f>
        <v>4</v>
      </c>
      <c r="D48" s="116">
        <f>'Financial impact (cash)'!D19*$C48</f>
        <v>15273.694754274724</v>
      </c>
      <c r="E48" s="116">
        <f>'Financial impact (cash)'!E19*$C48</f>
        <v>15273.694754274724</v>
      </c>
      <c r="F48" s="116">
        <f>'Financial impact (cash)'!F19*$C48</f>
        <v>15273.694754274724</v>
      </c>
      <c r="G48" s="116">
        <f>'Financial impact (cash)'!G19*$C48</f>
        <v>15273.694754274724</v>
      </c>
      <c r="H48" s="116">
        <f>'Financial impact (cash)'!H19*$C48</f>
        <v>2622.6320081040071</v>
      </c>
      <c r="I48" s="116">
        <f>'Financial impact (cash)'!I19*$C48</f>
        <v>2314.9762060623243</v>
      </c>
      <c r="J48" s="196"/>
      <c r="K48" s="196"/>
      <c r="L48" s="196"/>
      <c r="M48" s="196"/>
      <c r="N48" s="196"/>
      <c r="O48" s="196"/>
      <c r="P48" s="196"/>
      <c r="Q48" s="196"/>
      <c r="R48" s="121"/>
      <c r="S48" s="121"/>
      <c r="T48" s="121"/>
      <c r="U48" s="121"/>
      <c r="V48" s="121"/>
      <c r="W48" s="121"/>
      <c r="X48" s="121"/>
      <c r="Y48" s="121"/>
      <c r="Z48" s="121"/>
      <c r="AJ48" s="258"/>
      <c r="AK48" s="258"/>
      <c r="AL48" s="258"/>
      <c r="AM48" s="258"/>
      <c r="AN48" s="258"/>
    </row>
    <row r="49" spans="1:40" x14ac:dyDescent="0.3">
      <c r="A49" s="260"/>
      <c r="B49" s="303" t="s">
        <v>2171</v>
      </c>
      <c r="C49" s="137">
        <f>'Capacity inputs'!$H$14</f>
        <v>4</v>
      </c>
      <c r="D49" s="116">
        <f>'Financial impact (cash)'!D20*$C49</f>
        <v>15273.694754274724</v>
      </c>
      <c r="E49" s="116">
        <f>'Financial impact (cash)'!E20*$C49</f>
        <v>15273.694754274724</v>
      </c>
      <c r="F49" s="116">
        <f>'Financial impact (cash)'!F20*$C49</f>
        <v>15273.694754274724</v>
      </c>
      <c r="G49" s="116">
        <f>'Financial impact (cash)'!G20*$C49</f>
        <v>15273.694754274724</v>
      </c>
      <c r="H49" s="116">
        <f>'Financial impact (cash)'!H20*$C49</f>
        <v>15273.694754274724</v>
      </c>
      <c r="I49" s="116">
        <f>'Financial impact (cash)'!I20*$C49</f>
        <v>2622.6320081040071</v>
      </c>
      <c r="J49" s="196"/>
      <c r="K49" s="196"/>
      <c r="L49" s="196"/>
      <c r="M49" s="196"/>
      <c r="N49" s="196"/>
      <c r="O49" s="196"/>
      <c r="P49" s="196"/>
      <c r="Q49" s="196"/>
      <c r="R49" s="121"/>
      <c r="S49" s="121"/>
      <c r="T49" s="121"/>
      <c r="U49" s="121"/>
      <c r="V49" s="121"/>
      <c r="W49" s="121"/>
      <c r="X49" s="121"/>
      <c r="Y49" s="121"/>
      <c r="Z49" s="121"/>
      <c r="AJ49" s="258"/>
      <c r="AK49" s="258"/>
      <c r="AL49" s="258"/>
      <c r="AM49" s="258"/>
      <c r="AN49" s="258"/>
    </row>
    <row r="50" spans="1:40" x14ac:dyDescent="0.3">
      <c r="A50" s="260"/>
      <c r="B50" s="303" t="s">
        <v>2172</v>
      </c>
      <c r="C50" s="137">
        <f>'Capacity inputs'!$I$14</f>
        <v>4</v>
      </c>
      <c r="D50" s="116">
        <f>'Financial impact (cash)'!D21*$C50</f>
        <v>17223.528127160862</v>
      </c>
      <c r="E50" s="116">
        <f>'Financial impact (cash)'!E21*$C50</f>
        <v>16391.450050650044</v>
      </c>
      <c r="F50" s="116">
        <f>'Financial impact (cash)'!F21*$C50</f>
        <v>14881.989896114941</v>
      </c>
      <c r="G50" s="116">
        <f>'Financial impact (cash)'!G21*$C50</f>
        <v>14011.96046390447</v>
      </c>
      <c r="H50" s="116">
        <f>'Financial impact (cash)'!H21*$C50</f>
        <v>14135.137078865813</v>
      </c>
      <c r="I50" s="116">
        <f>'Financial impact (cash)'!I21*$C50</f>
        <v>14259.396517213108</v>
      </c>
      <c r="J50" s="196"/>
      <c r="K50" s="196"/>
      <c r="L50" s="196"/>
      <c r="M50" s="196"/>
      <c r="N50" s="196"/>
      <c r="O50" s="196"/>
      <c r="P50" s="196"/>
      <c r="Q50" s="196"/>
      <c r="R50" s="121"/>
      <c r="S50" s="121"/>
      <c r="T50" s="121"/>
      <c r="U50" s="121"/>
      <c r="V50" s="121"/>
      <c r="W50" s="121"/>
      <c r="X50" s="121"/>
      <c r="Y50" s="121"/>
      <c r="Z50" s="121"/>
      <c r="AJ50" s="258"/>
      <c r="AK50" s="258"/>
      <c r="AL50" s="258"/>
      <c r="AM50" s="258"/>
      <c r="AN50" s="258"/>
    </row>
    <row r="51" spans="1:40" x14ac:dyDescent="0.3">
      <c r="A51" s="260"/>
      <c r="B51" s="303" t="s">
        <v>2173</v>
      </c>
      <c r="C51" s="137">
        <f>'Capacity inputs'!$I$14</f>
        <v>4</v>
      </c>
      <c r="D51" s="116">
        <f>'Financial impact (cash)'!D22*$C51</f>
        <v>17223.528127160862</v>
      </c>
      <c r="E51" s="116">
        <f>'Financial impact (cash)'!E22*$C51</f>
        <v>17223.528127160862</v>
      </c>
      <c r="F51" s="116">
        <f>'Financial impact (cash)'!F22*$C51</f>
        <v>16391.450050650044</v>
      </c>
      <c r="G51" s="116">
        <f>'Financial impact (cash)'!G22*$C51</f>
        <v>14881.989896114941</v>
      </c>
      <c r="H51" s="116">
        <f>'Financial impact (cash)'!H22*$C51</f>
        <v>14011.96046390447</v>
      </c>
      <c r="I51" s="116">
        <f>'Financial impact (cash)'!I22*$C51</f>
        <v>14135.137078865813</v>
      </c>
      <c r="J51" s="196"/>
      <c r="K51" s="196"/>
      <c r="L51" s="196"/>
      <c r="M51" s="196"/>
      <c r="N51" s="196"/>
      <c r="O51" s="196"/>
      <c r="P51" s="196"/>
      <c r="Q51" s="196"/>
      <c r="R51" s="121"/>
      <c r="S51" s="121"/>
      <c r="T51" s="121"/>
      <c r="U51" s="121"/>
      <c r="V51" s="121"/>
      <c r="W51" s="121"/>
      <c r="X51" s="121"/>
      <c r="Y51" s="121"/>
      <c r="Z51" s="121"/>
      <c r="AJ51" s="258"/>
      <c r="AK51" s="258"/>
      <c r="AL51" s="258"/>
      <c r="AM51" s="258"/>
      <c r="AN51" s="258"/>
    </row>
    <row r="52" spans="1:40" x14ac:dyDescent="0.3">
      <c r="A52" s="448"/>
      <c r="B52" s="434"/>
      <c r="C52" s="289"/>
      <c r="D52" s="168">
        <f>SUM(D42:D51)</f>
        <v>110815.53002569533</v>
      </c>
      <c r="E52" s="168">
        <f t="shared" ref="E52:I52" si="34">SUM(E42:E51)</f>
        <v>111101.20724555984</v>
      </c>
      <c r="F52" s="168">
        <f t="shared" si="34"/>
        <v>111675.07302215746</v>
      </c>
      <c r="G52" s="168">
        <f t="shared" si="34"/>
        <v>113371.73884557668</v>
      </c>
      <c r="H52" s="168">
        <f t="shared" si="34"/>
        <v>103102.32443565482</v>
      </c>
      <c r="I52" s="168">
        <f t="shared" si="34"/>
        <v>91893.490750222321</v>
      </c>
      <c r="J52" s="456"/>
      <c r="K52" s="196"/>
      <c r="L52" s="196"/>
      <c r="M52" s="196"/>
      <c r="N52" s="196"/>
      <c r="O52" s="196"/>
      <c r="P52" s="196"/>
      <c r="Q52" s="196"/>
      <c r="R52" s="121"/>
      <c r="S52" s="121"/>
      <c r="T52" s="121"/>
      <c r="U52" s="121"/>
      <c r="V52" s="121"/>
      <c r="W52" s="121"/>
      <c r="X52" s="121"/>
      <c r="Y52" s="121"/>
      <c r="Z52" s="121"/>
      <c r="AJ52" s="258"/>
      <c r="AK52" s="258"/>
      <c r="AL52" s="258"/>
      <c r="AM52" s="258"/>
      <c r="AN52" s="258"/>
    </row>
    <row r="53" spans="1:40" x14ac:dyDescent="0.3">
      <c r="A53" s="448"/>
      <c r="B53" s="230"/>
      <c r="C53" s="230"/>
      <c r="D53" s="257" t="s">
        <v>2195</v>
      </c>
      <c r="E53" s="168">
        <f>E52-$D$52</f>
        <v>285.67721986450488</v>
      </c>
      <c r="F53" s="168">
        <f t="shared" ref="F53:I53" si="35">F52-$D$52</f>
        <v>859.54299646212894</v>
      </c>
      <c r="G53" s="168">
        <f t="shared" si="35"/>
        <v>2556.2088198813435</v>
      </c>
      <c r="H53" s="168">
        <f t="shared" si="35"/>
        <v>-7713.2055900405103</v>
      </c>
      <c r="I53" s="168">
        <f t="shared" si="35"/>
        <v>-18922.039275473013</v>
      </c>
      <c r="J53" s="456"/>
      <c r="K53" s="196"/>
      <c r="L53" s="196"/>
      <c r="M53" s="196"/>
      <c r="N53" s="196"/>
      <c r="O53" s="196"/>
      <c r="P53" s="196"/>
      <c r="Q53" s="196"/>
      <c r="R53" s="121"/>
      <c r="S53" s="121"/>
      <c r="T53" s="121"/>
      <c r="U53" s="121"/>
      <c r="V53" s="121"/>
      <c r="W53" s="121"/>
      <c r="X53" s="121"/>
      <c r="Y53" s="121"/>
      <c r="Z53" s="121"/>
      <c r="AJ53" s="258"/>
      <c r="AK53" s="258"/>
      <c r="AL53" s="258"/>
      <c r="AM53" s="258"/>
      <c r="AN53" s="258"/>
    </row>
    <row r="54" spans="1:40" x14ac:dyDescent="0.3">
      <c r="A54" s="260"/>
      <c r="B54" s="449"/>
      <c r="C54" s="450"/>
      <c r="D54" s="451"/>
      <c r="E54" s="452"/>
      <c r="F54" s="260"/>
      <c r="G54" s="260"/>
      <c r="H54" s="260"/>
      <c r="I54" s="260"/>
      <c r="J54" s="196"/>
      <c r="K54" s="196"/>
      <c r="L54" s="196"/>
      <c r="M54" s="196"/>
      <c r="N54" s="196"/>
      <c r="O54" s="196"/>
      <c r="P54" s="196"/>
      <c r="Q54" s="196"/>
      <c r="R54" s="121"/>
      <c r="S54" s="121"/>
      <c r="T54" s="121"/>
      <c r="U54" s="121"/>
      <c r="V54" s="121"/>
      <c r="W54" s="121"/>
      <c r="X54" s="121"/>
      <c r="Y54" s="121"/>
      <c r="Z54" s="121"/>
      <c r="AJ54" s="258"/>
      <c r="AK54" s="258"/>
      <c r="AL54" s="258"/>
      <c r="AM54" s="258"/>
      <c r="AN54" s="258"/>
    </row>
    <row r="55" spans="1:40" x14ac:dyDescent="0.3">
      <c r="A55" s="266"/>
      <c r="B55" s="287" t="s">
        <v>2196</v>
      </c>
      <c r="C55" s="267"/>
      <c r="D55" s="267"/>
      <c r="E55" s="268"/>
      <c r="F55" s="269"/>
      <c r="G55" s="270"/>
      <c r="H55" s="270"/>
      <c r="I55" s="365"/>
      <c r="J55" s="366"/>
      <c r="K55" s="266"/>
      <c r="L55" s="266"/>
      <c r="M55" s="266"/>
      <c r="N55" s="266"/>
      <c r="O55" s="266"/>
      <c r="P55" s="266"/>
      <c r="Q55" s="192"/>
      <c r="R55" s="121"/>
      <c r="S55" s="121"/>
      <c r="V55" s="121"/>
    </row>
    <row r="56" spans="1:40" x14ac:dyDescent="0.3">
      <c r="A56" s="274"/>
      <c r="B56" s="335" t="s">
        <v>2197</v>
      </c>
      <c r="C56" s="336"/>
      <c r="D56" s="336"/>
      <c r="E56" s="336"/>
      <c r="F56" s="336"/>
      <c r="G56" s="336"/>
      <c r="H56" s="336"/>
      <c r="I56" s="336"/>
      <c r="J56" s="362"/>
      <c r="K56" s="192"/>
      <c r="L56" s="192"/>
      <c r="M56" s="192"/>
      <c r="N56" s="192"/>
      <c r="O56" s="192"/>
      <c r="P56" s="192"/>
      <c r="Q56" s="192"/>
      <c r="R56" s="121"/>
      <c r="S56" s="121"/>
      <c r="T56" s="121"/>
      <c r="U56" s="121"/>
      <c r="V56" s="121"/>
      <c r="W56" s="121"/>
      <c r="X56" s="121"/>
      <c r="Y56" s="121"/>
      <c r="Z56" s="121"/>
      <c r="AJ56" s="258"/>
      <c r="AK56" s="258"/>
      <c r="AL56" s="258"/>
      <c r="AM56" s="258"/>
      <c r="AN56" s="258"/>
    </row>
    <row r="57" spans="1:40" ht="43.2" x14ac:dyDescent="0.3">
      <c r="A57" s="274"/>
      <c r="B57" s="285" t="s">
        <v>2084</v>
      </c>
      <c r="C57" s="153" t="s">
        <v>2075</v>
      </c>
      <c r="D57" s="844" t="s">
        <v>2162</v>
      </c>
      <c r="E57" s="229" t="s">
        <v>1896</v>
      </c>
      <c r="F57" s="229" t="s">
        <v>1897</v>
      </c>
      <c r="G57" s="152" t="s">
        <v>2130</v>
      </c>
      <c r="H57" s="152" t="s">
        <v>2131</v>
      </c>
      <c r="I57" s="229" t="s">
        <v>2132</v>
      </c>
      <c r="J57" s="362"/>
      <c r="K57" s="192"/>
      <c r="L57" s="192"/>
      <c r="M57" s="192"/>
      <c r="N57" s="192"/>
      <c r="O57" s="192"/>
      <c r="P57" s="192"/>
      <c r="Q57" s="192"/>
      <c r="R57" s="121"/>
      <c r="S57" s="121"/>
      <c r="T57" s="121"/>
      <c r="U57" s="121"/>
      <c r="V57" s="121"/>
      <c r="W57" s="121"/>
      <c r="X57" s="121"/>
      <c r="Y57" s="121"/>
      <c r="Z57" s="121"/>
      <c r="AJ57" s="258"/>
      <c r="AK57" s="258"/>
      <c r="AL57" s="258"/>
      <c r="AM57" s="258"/>
      <c r="AN57" s="258"/>
    </row>
    <row r="58" spans="1:40" x14ac:dyDescent="0.3">
      <c r="A58" s="274"/>
      <c r="B58" s="303" t="s">
        <v>2192</v>
      </c>
      <c r="C58" s="855">
        <f>'Inputs and population'!$H$39</f>
        <v>13</v>
      </c>
      <c r="D58" s="116">
        <f>$C58*'Financial impact (cash)'!D13</f>
        <v>0</v>
      </c>
      <c r="E58" s="116">
        <f>$C58*'Financial impact (cash)'!E13</f>
        <v>44748.658638274617</v>
      </c>
      <c r="F58" s="116">
        <f>$C58*'Financial impact (cash)'!F13</f>
        <v>51590.898306531795</v>
      </c>
      <c r="G58" s="116">
        <f>$C58*'Financial impact (cash)'!G13</f>
        <v>56381.459961901324</v>
      </c>
      <c r="H58" s="116">
        <f>$C58*'Financial impact (cash)'!H13</f>
        <v>56877.099198293399</v>
      </c>
      <c r="I58" s="116">
        <f>$C58*'Financial impact (cash)'!I13</f>
        <v>57377.095509738465</v>
      </c>
      <c r="J58" s="362"/>
      <c r="K58" s="192"/>
      <c r="L58" s="192"/>
      <c r="M58" s="192"/>
      <c r="N58" s="192"/>
      <c r="O58" s="192"/>
      <c r="P58" s="192"/>
      <c r="Q58" s="192"/>
      <c r="R58" s="121"/>
      <c r="S58" s="121"/>
      <c r="T58" s="121"/>
      <c r="U58" s="121"/>
      <c r="V58" s="121"/>
      <c r="W58" s="121"/>
      <c r="X58" s="121"/>
      <c r="Y58" s="121"/>
      <c r="Z58" s="121"/>
      <c r="AJ58" s="258"/>
      <c r="AK58" s="258"/>
      <c r="AL58" s="258"/>
      <c r="AM58" s="258"/>
      <c r="AN58" s="258"/>
    </row>
    <row r="59" spans="1:40" x14ac:dyDescent="0.3">
      <c r="A59" s="274"/>
      <c r="B59" s="303" t="s">
        <v>2193</v>
      </c>
      <c r="C59" s="855">
        <f>'Inputs and population'!$I$39</f>
        <v>13</v>
      </c>
      <c r="D59" s="116">
        <f>$C59*'Financial impact (cash)'!D14</f>
        <v>0</v>
      </c>
      <c r="E59" s="116">
        <f>$C59*'Financial impact (cash)'!E14</f>
        <v>0</v>
      </c>
      <c r="F59" s="116">
        <f>$C59*'Financial impact (cash)'!F14</f>
        <v>44748.658638274617</v>
      </c>
      <c r="G59" s="116">
        <f>$C59*'Financial impact (cash)'!G14</f>
        <v>51590.898306531795</v>
      </c>
      <c r="H59" s="116">
        <f>$C59*'Financial impact (cash)'!H14</f>
        <v>56381.459961901324</v>
      </c>
      <c r="I59" s="116">
        <f>$C59*'Financial impact (cash)'!I14</f>
        <v>56877.099198293399</v>
      </c>
      <c r="J59" s="362"/>
      <c r="K59" s="192"/>
      <c r="L59" s="192"/>
      <c r="M59" s="192"/>
      <c r="N59" s="192"/>
      <c r="O59" s="192"/>
      <c r="P59" s="192"/>
      <c r="Q59" s="192"/>
      <c r="R59" s="121"/>
      <c r="S59" s="121"/>
      <c r="T59" s="121"/>
      <c r="U59" s="121"/>
      <c r="V59" s="121"/>
      <c r="W59" s="121"/>
      <c r="X59" s="121"/>
      <c r="Y59" s="121"/>
      <c r="Z59" s="121"/>
      <c r="AJ59" s="258"/>
      <c r="AK59" s="258"/>
      <c r="AL59" s="258"/>
      <c r="AM59" s="258"/>
      <c r="AN59" s="258"/>
    </row>
    <row r="60" spans="1:40" x14ac:dyDescent="0.3">
      <c r="A60" s="274"/>
      <c r="B60" s="303" t="s">
        <v>2194</v>
      </c>
      <c r="C60" s="855">
        <f>'Inputs and population'!$J$39</f>
        <v>13</v>
      </c>
      <c r="D60" s="116">
        <f>$C60*'Financial impact (cash)'!D15</f>
        <v>0</v>
      </c>
      <c r="E60" s="116">
        <f>$C60*'Financial impact (cash)'!E15</f>
        <v>0</v>
      </c>
      <c r="F60" s="116">
        <f>$C60*'Financial impact (cash)'!F15</f>
        <v>0</v>
      </c>
      <c r="G60" s="116">
        <f>$C60*'Financial impact (cash)'!G15</f>
        <v>44748.658638274617</v>
      </c>
      <c r="H60" s="116">
        <f>$C60*'Financial impact (cash)'!H15</f>
        <v>51590.898306531795</v>
      </c>
      <c r="I60" s="116">
        <f>$C60*'Financial impact (cash)'!I15</f>
        <v>56381.459961901324</v>
      </c>
      <c r="J60" s="362"/>
      <c r="K60" s="192"/>
      <c r="L60" s="192"/>
      <c r="M60" s="192"/>
      <c r="N60" s="192"/>
      <c r="O60" s="192"/>
      <c r="P60" s="192"/>
      <c r="Q60" s="192"/>
      <c r="R60" s="121"/>
      <c r="S60" s="121"/>
      <c r="T60" s="121"/>
      <c r="U60" s="121"/>
      <c r="V60" s="121"/>
      <c r="W60" s="121"/>
      <c r="X60" s="121"/>
      <c r="Y60" s="121"/>
      <c r="Z60" s="121"/>
      <c r="AJ60" s="258"/>
      <c r="AK60" s="258"/>
      <c r="AL60" s="258"/>
      <c r="AM60" s="258"/>
      <c r="AN60" s="258"/>
    </row>
    <row r="61" spans="1:40" x14ac:dyDescent="0.3">
      <c r="A61" s="274"/>
      <c r="B61" s="303" t="s">
        <v>2167</v>
      </c>
      <c r="C61" s="855">
        <f>'Inputs and population'!$H$40</f>
        <v>13</v>
      </c>
      <c r="D61" s="116">
        <f>$C61*'Financial impact (cash)'!D16</f>
        <v>49639.50795139285</v>
      </c>
      <c r="E61" s="116">
        <f>$C61*'Financial impact (cash)'!E16</f>
        <v>8523.5540263380226</v>
      </c>
      <c r="F61" s="116">
        <f>$C61*'Financial impact (cash)'!F16</f>
        <v>7523.6726697025542</v>
      </c>
      <c r="G61" s="116">
        <f>$C61*'Financial impact (cash)'!G16</f>
        <v>6505.5530725270755</v>
      </c>
      <c r="H61" s="116">
        <f>$C61*'Financial impact (cash)'!H16</f>
        <v>6562.742215187699</v>
      </c>
      <c r="I61" s="116">
        <f>$C61*'Financial impact (cash)'!I16</f>
        <v>6620.4340972775153</v>
      </c>
      <c r="J61" s="362"/>
      <c r="K61" s="192"/>
      <c r="L61" s="192"/>
      <c r="M61" s="192"/>
      <c r="N61" s="192"/>
      <c r="O61" s="192"/>
      <c r="P61" s="192"/>
      <c r="Q61" s="192"/>
      <c r="R61" s="121"/>
      <c r="S61" s="121"/>
      <c r="T61" s="121"/>
      <c r="U61" s="121"/>
      <c r="V61" s="121"/>
      <c r="W61" s="121"/>
      <c r="X61" s="121"/>
      <c r="Y61" s="121"/>
      <c r="Z61" s="121"/>
      <c r="AJ61" s="258"/>
      <c r="AK61" s="258"/>
      <c r="AL61" s="258"/>
      <c r="AM61" s="258"/>
      <c r="AN61" s="258"/>
    </row>
    <row r="62" spans="1:40" x14ac:dyDescent="0.3">
      <c r="A62" s="274"/>
      <c r="B62" s="303" t="s">
        <v>2168</v>
      </c>
      <c r="C62" s="855">
        <f>'Inputs and population'!$I$40</f>
        <v>13</v>
      </c>
      <c r="D62" s="116">
        <f>$C62*'Financial impact (cash)'!D17</f>
        <v>49639.50795139285</v>
      </c>
      <c r="E62" s="116">
        <f>$C62*'Financial impact (cash)'!E17</f>
        <v>49639.50795139285</v>
      </c>
      <c r="F62" s="116">
        <f>$C62*'Financial impact (cash)'!F17</f>
        <v>8523.5540263380226</v>
      </c>
      <c r="G62" s="116">
        <f>$C62*'Financial impact (cash)'!G17</f>
        <v>7523.6726697025542</v>
      </c>
      <c r="H62" s="116">
        <f>$C62*'Financial impact (cash)'!H17</f>
        <v>6505.5530725270755</v>
      </c>
      <c r="I62" s="116">
        <f>$C62*'Financial impact (cash)'!I17</f>
        <v>6562.742215187699</v>
      </c>
      <c r="J62" s="362"/>
      <c r="K62" s="192"/>
      <c r="L62" s="192"/>
      <c r="M62" s="192"/>
      <c r="N62" s="192"/>
      <c r="O62" s="192"/>
      <c r="P62" s="192"/>
      <c r="Q62" s="192"/>
      <c r="R62" s="121"/>
      <c r="S62" s="121"/>
      <c r="T62" s="121"/>
      <c r="U62" s="121"/>
      <c r="V62" s="121"/>
      <c r="W62" s="121"/>
      <c r="X62" s="121"/>
      <c r="Y62" s="121"/>
      <c r="Z62" s="121"/>
      <c r="AJ62" s="258"/>
      <c r="AK62" s="258"/>
      <c r="AL62" s="258"/>
      <c r="AM62" s="258"/>
      <c r="AN62" s="258"/>
    </row>
    <row r="63" spans="1:40" x14ac:dyDescent="0.3">
      <c r="A63" s="274"/>
      <c r="B63" s="303" t="s">
        <v>2169</v>
      </c>
      <c r="C63" s="855">
        <f>'Inputs and population'!$J$40</f>
        <v>13</v>
      </c>
      <c r="D63" s="116">
        <f>$C63*'Financial impact (cash)'!D18</f>
        <v>49639.50795139285</v>
      </c>
      <c r="E63" s="116">
        <f>$C63*'Financial impact (cash)'!E18</f>
        <v>49639.50795139285</v>
      </c>
      <c r="F63" s="116">
        <f>$C63*'Financial impact (cash)'!F18</f>
        <v>49639.50795139285</v>
      </c>
      <c r="G63" s="116">
        <f>$C63*'Financial impact (cash)'!G18</f>
        <v>8523.5540263380226</v>
      </c>
      <c r="H63" s="116">
        <f>$C63*'Financial impact (cash)'!H18</f>
        <v>7523.6726697025542</v>
      </c>
      <c r="I63" s="116">
        <f>$C63*'Financial impact (cash)'!I18</f>
        <v>6505.5530725270755</v>
      </c>
      <c r="J63" s="362"/>
      <c r="K63" s="192"/>
      <c r="L63" s="192"/>
      <c r="M63" s="192"/>
      <c r="N63" s="192"/>
      <c r="O63" s="192"/>
      <c r="P63" s="192"/>
      <c r="Q63" s="192"/>
      <c r="R63" s="121"/>
      <c r="S63" s="121"/>
      <c r="T63" s="121"/>
      <c r="U63" s="121"/>
      <c r="V63" s="121"/>
      <c r="W63" s="121"/>
      <c r="X63" s="121"/>
      <c r="Y63" s="121"/>
      <c r="Z63" s="121"/>
      <c r="AJ63" s="258"/>
      <c r="AK63" s="258"/>
      <c r="AL63" s="258"/>
      <c r="AM63" s="258"/>
      <c r="AN63" s="258"/>
    </row>
    <row r="64" spans="1:40" x14ac:dyDescent="0.3">
      <c r="A64" s="274"/>
      <c r="B64" s="303" t="s">
        <v>2170</v>
      </c>
      <c r="C64" s="855">
        <f>'Inputs and population'!$K$40</f>
        <v>13</v>
      </c>
      <c r="D64" s="116">
        <f>$C64*'Financial impact (cash)'!D19</f>
        <v>49639.50795139285</v>
      </c>
      <c r="E64" s="116">
        <f>$C64*'Financial impact (cash)'!E19</f>
        <v>49639.50795139285</v>
      </c>
      <c r="F64" s="116">
        <f>$C64*'Financial impact (cash)'!F19</f>
        <v>49639.50795139285</v>
      </c>
      <c r="G64" s="116">
        <f>$C64*'Financial impact (cash)'!G19</f>
        <v>49639.50795139285</v>
      </c>
      <c r="H64" s="116">
        <f>$C64*'Financial impact (cash)'!H19</f>
        <v>8523.5540263380226</v>
      </c>
      <c r="I64" s="116">
        <f>$C64*'Financial impact (cash)'!I19</f>
        <v>7523.6726697025542</v>
      </c>
      <c r="J64" s="362"/>
      <c r="K64" s="192"/>
      <c r="L64" s="192"/>
      <c r="M64" s="192"/>
      <c r="N64" s="192"/>
      <c r="O64" s="192"/>
      <c r="P64" s="192"/>
      <c r="Q64" s="192"/>
      <c r="R64" s="121"/>
      <c r="S64" s="121"/>
      <c r="T64" s="121"/>
      <c r="U64" s="121"/>
      <c r="V64" s="121"/>
      <c r="W64" s="121"/>
      <c r="X64" s="121"/>
      <c r="Y64" s="121"/>
      <c r="Z64" s="121"/>
      <c r="AJ64" s="258"/>
      <c r="AK64" s="258"/>
      <c r="AL64" s="258"/>
      <c r="AM64" s="258"/>
      <c r="AN64" s="258"/>
    </row>
    <row r="65" spans="1:40" x14ac:dyDescent="0.3">
      <c r="A65" s="274"/>
      <c r="B65" s="303" t="s">
        <v>2171</v>
      </c>
      <c r="C65" s="855">
        <f>'Inputs and population'!$L$40</f>
        <v>13</v>
      </c>
      <c r="D65" s="116">
        <f>$C65*'Financial impact (cash)'!D20</f>
        <v>49639.50795139285</v>
      </c>
      <c r="E65" s="116">
        <f>$C65*'Financial impact (cash)'!E20</f>
        <v>49639.50795139285</v>
      </c>
      <c r="F65" s="116">
        <f>$C65*'Financial impact (cash)'!F20</f>
        <v>49639.50795139285</v>
      </c>
      <c r="G65" s="116">
        <f>$C65*'Financial impact (cash)'!G20</f>
        <v>49639.50795139285</v>
      </c>
      <c r="H65" s="116">
        <f>$C65*'Financial impact (cash)'!H20</f>
        <v>49639.50795139285</v>
      </c>
      <c r="I65" s="116">
        <f>$C65*'Financial impact (cash)'!I20</f>
        <v>8523.5540263380226</v>
      </c>
      <c r="J65" s="362"/>
      <c r="K65" s="192"/>
      <c r="L65" s="192"/>
      <c r="M65" s="192"/>
      <c r="N65" s="192"/>
      <c r="O65" s="192"/>
      <c r="P65" s="192"/>
      <c r="Q65" s="192"/>
      <c r="R65" s="121"/>
      <c r="S65" s="121"/>
      <c r="T65" s="121"/>
      <c r="U65" s="121"/>
      <c r="V65" s="121"/>
      <c r="W65" s="121"/>
      <c r="X65" s="121"/>
      <c r="Y65" s="121"/>
      <c r="Z65" s="121"/>
      <c r="AJ65" s="258"/>
      <c r="AK65" s="258"/>
      <c r="AL65" s="258"/>
      <c r="AM65" s="258"/>
      <c r="AN65" s="258"/>
    </row>
    <row r="66" spans="1:40" x14ac:dyDescent="0.3">
      <c r="A66" s="274"/>
      <c r="B66" s="303" t="s">
        <v>2172</v>
      </c>
      <c r="C66" s="855">
        <f>'Inputs and population'!$H$41</f>
        <v>13</v>
      </c>
      <c r="D66" s="116">
        <f>$C66*'Financial impact (cash)'!D21</f>
        <v>55976.466413272799</v>
      </c>
      <c r="E66" s="116">
        <f>$C66*'Financial impact (cash)'!E21</f>
        <v>53272.212664612642</v>
      </c>
      <c r="F66" s="116">
        <f>$C66*'Financial impact (cash)'!F21</f>
        <v>48366.467162373556</v>
      </c>
      <c r="G66" s="116">
        <f>$C66*'Financial impact (cash)'!G21</f>
        <v>45538.871507689531</v>
      </c>
      <c r="H66" s="116">
        <f>$C66*'Financial impact (cash)'!H21</f>
        <v>45939.195506313896</v>
      </c>
      <c r="I66" s="116">
        <f>$C66*'Financial impact (cash)'!I21</f>
        <v>46343.038680942605</v>
      </c>
      <c r="J66" s="362"/>
      <c r="K66" s="192"/>
      <c r="L66" s="192"/>
      <c r="M66" s="192"/>
      <c r="N66" s="192"/>
      <c r="O66" s="192"/>
      <c r="P66" s="192"/>
      <c r="Q66" s="192"/>
      <c r="R66" s="121"/>
      <c r="S66" s="121"/>
      <c r="T66" s="121"/>
      <c r="U66" s="121"/>
      <c r="V66" s="121"/>
      <c r="W66" s="121"/>
      <c r="X66" s="121"/>
      <c r="Y66" s="121"/>
      <c r="Z66" s="121"/>
      <c r="AJ66" s="258"/>
      <c r="AK66" s="258"/>
      <c r="AL66" s="258"/>
      <c r="AM66" s="258"/>
      <c r="AN66" s="258"/>
    </row>
    <row r="67" spans="1:40" x14ac:dyDescent="0.3">
      <c r="A67" s="274"/>
      <c r="B67" s="303" t="s">
        <v>2173</v>
      </c>
      <c r="C67" s="855">
        <f>'Inputs and population'!$I$41</f>
        <v>13</v>
      </c>
      <c r="D67" s="116">
        <f>$C67*'Financial impact (cash)'!D22</f>
        <v>55976.466413272799</v>
      </c>
      <c r="E67" s="116">
        <f>$C67*'Financial impact (cash)'!E22</f>
        <v>55976.466413272799</v>
      </c>
      <c r="F67" s="116">
        <f>$C67*'Financial impact (cash)'!F22</f>
        <v>53272.212664612642</v>
      </c>
      <c r="G67" s="116">
        <f>$C67*'Financial impact (cash)'!G22</f>
        <v>48366.467162373556</v>
      </c>
      <c r="H67" s="116">
        <f>$C67*'Financial impact (cash)'!H22</f>
        <v>45538.871507689531</v>
      </c>
      <c r="I67" s="116">
        <f>$C67*'Financial impact (cash)'!I22</f>
        <v>45939.195506313896</v>
      </c>
      <c r="J67" s="362"/>
      <c r="K67" s="192"/>
      <c r="L67" s="192"/>
      <c r="M67" s="192"/>
      <c r="N67" s="192"/>
      <c r="O67" s="192"/>
      <c r="P67" s="192"/>
      <c r="Q67" s="192"/>
      <c r="R67" s="121"/>
      <c r="S67" s="121"/>
      <c r="T67" s="121"/>
      <c r="U67" s="121"/>
      <c r="V67" s="121"/>
      <c r="W67" s="121"/>
      <c r="X67" s="121"/>
      <c r="Y67" s="121"/>
      <c r="Z67" s="121"/>
      <c r="AJ67" s="258"/>
      <c r="AK67" s="258"/>
      <c r="AL67" s="258"/>
      <c r="AM67" s="258"/>
      <c r="AN67" s="258"/>
    </row>
    <row r="68" spans="1:40" x14ac:dyDescent="0.3">
      <c r="A68" s="274"/>
      <c r="B68" s="434"/>
      <c r="C68" s="289"/>
      <c r="D68" s="168">
        <f t="shared" ref="D68:I68" si="36">SUM(D58:D67)</f>
        <v>360150.47258350981</v>
      </c>
      <c r="E68" s="168">
        <f t="shared" si="36"/>
        <v>361078.92354806943</v>
      </c>
      <c r="F68" s="168">
        <f t="shared" si="36"/>
        <v>362943.98732201173</v>
      </c>
      <c r="G68" s="168">
        <f t="shared" si="36"/>
        <v>368458.15124812414</v>
      </c>
      <c r="H68" s="168">
        <f t="shared" si="36"/>
        <v>335082.55441587814</v>
      </c>
      <c r="I68" s="168">
        <f t="shared" si="36"/>
        <v>298653.84493822255</v>
      </c>
      <c r="J68" s="362"/>
      <c r="K68" s="192"/>
      <c r="L68" s="192"/>
      <c r="M68" s="192"/>
      <c r="N68" s="192"/>
      <c r="O68" s="192"/>
      <c r="P68" s="192"/>
      <c r="Q68" s="192"/>
      <c r="R68" s="121"/>
      <c r="S68" s="121"/>
      <c r="T68" s="121"/>
      <c r="U68" s="121"/>
      <c r="V68" s="121"/>
      <c r="W68" s="121"/>
      <c r="X68" s="121"/>
      <c r="Y68" s="121"/>
      <c r="Z68" s="121"/>
      <c r="AJ68" s="258"/>
      <c r="AK68" s="258"/>
      <c r="AL68" s="258"/>
      <c r="AM68" s="258"/>
      <c r="AN68" s="258"/>
    </row>
    <row r="69" spans="1:40" x14ac:dyDescent="0.3">
      <c r="A69" s="274"/>
      <c r="B69" s="230"/>
      <c r="C69" s="230"/>
      <c r="D69" s="709" t="s">
        <v>2198</v>
      </c>
      <c r="E69" s="168">
        <f>E68-$D$68</f>
        <v>928.4509645596263</v>
      </c>
      <c r="F69" s="168">
        <f>F68-$D$68</f>
        <v>2793.5147385019227</v>
      </c>
      <c r="G69" s="168">
        <f>G68-$D$68</f>
        <v>8307.67866461433</v>
      </c>
      <c r="H69" s="168">
        <f>H68-$D$68</f>
        <v>-25067.918167631666</v>
      </c>
      <c r="I69" s="168">
        <f>I68-$D$68</f>
        <v>-61496.627645287255</v>
      </c>
      <c r="J69" s="362"/>
      <c r="K69" s="192"/>
      <c r="L69" s="192"/>
      <c r="M69" s="192"/>
      <c r="N69" s="192"/>
      <c r="O69" s="192"/>
      <c r="P69" s="192"/>
      <c r="Q69" s="192"/>
      <c r="R69" s="121"/>
      <c r="S69" s="121"/>
      <c r="T69" s="121"/>
      <c r="U69" s="121"/>
      <c r="V69" s="121"/>
      <c r="W69" s="121"/>
      <c r="X69" s="121"/>
      <c r="Y69" s="121"/>
      <c r="Z69" s="121"/>
      <c r="AJ69" s="258"/>
      <c r="AK69" s="258"/>
      <c r="AL69" s="258"/>
      <c r="AM69" s="258"/>
      <c r="AN69" s="258"/>
    </row>
    <row r="70" spans="1:40" x14ac:dyDescent="0.3">
      <c r="A70" s="192"/>
      <c r="B70" s="192"/>
      <c r="C70" s="192"/>
      <c r="D70" s="192"/>
      <c r="E70" s="192"/>
      <c r="F70" s="192"/>
      <c r="G70" s="192"/>
      <c r="H70" s="192"/>
      <c r="I70" s="192"/>
      <c r="J70" s="192"/>
      <c r="K70" s="192"/>
      <c r="L70" s="192"/>
      <c r="M70" s="192"/>
      <c r="N70" s="192"/>
      <c r="O70" s="192"/>
      <c r="P70" s="192"/>
      <c r="Q70" s="192"/>
      <c r="R70" s="121"/>
      <c r="S70" s="121"/>
      <c r="T70" s="121"/>
      <c r="U70" s="121"/>
      <c r="V70" s="121"/>
      <c r="W70" s="121"/>
      <c r="X70" s="121"/>
      <c r="Y70" s="121"/>
      <c r="Z70" s="121"/>
      <c r="AJ70" s="258"/>
      <c r="AK70" s="258"/>
      <c r="AL70" s="258"/>
      <c r="AM70" s="258"/>
      <c r="AN70" s="258"/>
    </row>
    <row r="71" spans="1:40" x14ac:dyDescent="0.3">
      <c r="A71" s="274"/>
      <c r="B71" s="335" t="s">
        <v>2199</v>
      </c>
      <c r="C71" s="336"/>
      <c r="D71" s="336"/>
      <c r="E71" s="336"/>
      <c r="F71" s="336"/>
      <c r="G71" s="336"/>
      <c r="H71" s="336"/>
      <c r="I71" s="336"/>
      <c r="J71" s="362"/>
      <c r="K71" s="192"/>
      <c r="L71" s="192"/>
      <c r="M71" s="192"/>
      <c r="N71" s="192"/>
      <c r="O71" s="192"/>
      <c r="P71" s="192"/>
      <c r="Q71" s="192"/>
      <c r="R71" s="121"/>
      <c r="S71" s="121"/>
      <c r="T71" s="121"/>
      <c r="U71" s="121"/>
      <c r="V71" s="121"/>
      <c r="W71" s="121"/>
      <c r="X71" s="121"/>
      <c r="Y71" s="121"/>
      <c r="Z71" s="121"/>
      <c r="AJ71" s="258"/>
      <c r="AK71" s="258"/>
      <c r="AL71" s="258"/>
      <c r="AM71" s="258"/>
      <c r="AN71" s="258"/>
    </row>
    <row r="72" spans="1:40" ht="43.2" x14ac:dyDescent="0.3">
      <c r="A72" s="274"/>
      <c r="B72" s="285" t="s">
        <v>2084</v>
      </c>
      <c r="C72" s="543" t="s">
        <v>2088</v>
      </c>
      <c r="D72" s="844" t="s">
        <v>2162</v>
      </c>
      <c r="E72" s="229" t="s">
        <v>1896</v>
      </c>
      <c r="F72" s="229" t="s">
        <v>1897</v>
      </c>
      <c r="G72" s="152" t="s">
        <v>2130</v>
      </c>
      <c r="H72" s="152" t="s">
        <v>2131</v>
      </c>
      <c r="I72" s="229" t="s">
        <v>2132</v>
      </c>
      <c r="J72" s="362"/>
      <c r="K72" s="192"/>
      <c r="L72" s="192"/>
      <c r="M72" s="192"/>
      <c r="N72" s="192"/>
      <c r="O72" s="192"/>
      <c r="P72" s="192"/>
      <c r="Q72" s="192"/>
      <c r="R72" s="121"/>
      <c r="S72" s="121"/>
      <c r="T72" s="121"/>
      <c r="U72" s="121"/>
      <c r="V72" s="121"/>
      <c r="W72" s="121"/>
      <c r="X72" s="121"/>
      <c r="Y72" s="121"/>
      <c r="Z72" s="121"/>
      <c r="AJ72" s="258"/>
      <c r="AK72" s="258"/>
      <c r="AL72" s="258"/>
      <c r="AM72" s="258"/>
      <c r="AN72" s="258"/>
    </row>
    <row r="73" spans="1:40" x14ac:dyDescent="0.3">
      <c r="A73" s="274"/>
      <c r="B73" s="302" t="s">
        <v>1930</v>
      </c>
      <c r="C73" s="856">
        <f>'Unit costs'!M33</f>
        <v>1</v>
      </c>
      <c r="D73" s="116">
        <f>$C73*(D58+D59+D60)</f>
        <v>0</v>
      </c>
      <c r="E73" s="116">
        <f t="shared" ref="E73:I73" si="37">$C73*(E58+E59+E60)</f>
        <v>44748.658638274617</v>
      </c>
      <c r="F73" s="116">
        <f t="shared" si="37"/>
        <v>96339.55694480642</v>
      </c>
      <c r="G73" s="116">
        <f t="shared" si="37"/>
        <v>152721.01690670772</v>
      </c>
      <c r="H73" s="116">
        <f t="shared" si="37"/>
        <v>164849.45746672651</v>
      </c>
      <c r="I73" s="116">
        <f t="shared" si="37"/>
        <v>170635.6546699332</v>
      </c>
      <c r="J73" s="362"/>
      <c r="K73" s="192"/>
      <c r="L73" s="192"/>
      <c r="M73" s="192"/>
      <c r="N73" s="192"/>
      <c r="O73" s="192"/>
      <c r="P73" s="192"/>
      <c r="Q73" s="192"/>
      <c r="R73" s="121"/>
      <c r="S73" s="121"/>
      <c r="T73" s="121"/>
      <c r="U73" s="121"/>
      <c r="V73" s="121"/>
      <c r="W73" s="121"/>
      <c r="X73" s="121"/>
      <c r="Y73" s="121"/>
      <c r="Z73" s="121"/>
      <c r="AJ73" s="258"/>
      <c r="AK73" s="258"/>
      <c r="AL73" s="258"/>
      <c r="AM73" s="258"/>
      <c r="AN73" s="258"/>
    </row>
    <row r="74" spans="1:40" x14ac:dyDescent="0.3">
      <c r="A74" s="274"/>
      <c r="B74" s="302" t="s">
        <v>1932</v>
      </c>
      <c r="C74" s="856">
        <f>'Unit costs'!M50</f>
        <v>1</v>
      </c>
      <c r="D74" s="116">
        <f>$C74*(D61+D62+D63+D64+D65)</f>
        <v>248197.53975696425</v>
      </c>
      <c r="E74" s="116">
        <f t="shared" ref="E74:I74" si="38">$C74*(E61+E62+E63+E64+E65)</f>
        <v>207081.58583190944</v>
      </c>
      <c r="F74" s="116">
        <f t="shared" si="38"/>
        <v>164965.75055021912</v>
      </c>
      <c r="G74" s="116">
        <f t="shared" si="38"/>
        <v>121831.79567135335</v>
      </c>
      <c r="H74" s="116">
        <f t="shared" si="38"/>
        <v>78755.029935148195</v>
      </c>
      <c r="I74" s="116">
        <f t="shared" si="38"/>
        <v>35735.956081032869</v>
      </c>
      <c r="J74" s="362"/>
      <c r="K74" s="192"/>
      <c r="L74" s="192"/>
      <c r="M74" s="192"/>
      <c r="N74" s="192"/>
      <c r="O74" s="192"/>
      <c r="P74" s="192"/>
      <c r="Q74" s="192"/>
      <c r="R74" s="121"/>
      <c r="S74" s="121"/>
      <c r="T74" s="121"/>
      <c r="U74" s="121"/>
      <c r="V74" s="121"/>
      <c r="W74" s="121"/>
      <c r="X74" s="121"/>
      <c r="Y74" s="121"/>
      <c r="Z74" s="121"/>
      <c r="AJ74" s="258"/>
      <c r="AK74" s="258"/>
      <c r="AL74" s="258"/>
      <c r="AM74" s="258"/>
      <c r="AN74" s="258"/>
    </row>
    <row r="75" spans="1:40" x14ac:dyDescent="0.3">
      <c r="A75" s="274"/>
      <c r="B75" s="302" t="s">
        <v>2200</v>
      </c>
      <c r="C75" s="856">
        <f>'Unit costs'!M66</f>
        <v>1</v>
      </c>
      <c r="D75" s="116">
        <f>$C75*(D66+D67)</f>
        <v>111952.9328265456</v>
      </c>
      <c r="E75" s="116">
        <f t="shared" ref="E75:I75" si="39">$C75*(E66+E67)</f>
        <v>109248.67907788543</v>
      </c>
      <c r="F75" s="116">
        <f t="shared" si="39"/>
        <v>101638.67982698619</v>
      </c>
      <c r="G75" s="116">
        <f t="shared" si="39"/>
        <v>93905.338670063094</v>
      </c>
      <c r="H75" s="116">
        <f t="shared" si="39"/>
        <v>91478.067014003434</v>
      </c>
      <c r="I75" s="116">
        <f t="shared" si="39"/>
        <v>92282.234187256501</v>
      </c>
      <c r="J75" s="362"/>
      <c r="K75" s="192"/>
      <c r="L75" s="192"/>
      <c r="M75" s="192"/>
      <c r="N75" s="192"/>
      <c r="O75" s="192"/>
      <c r="P75" s="192"/>
      <c r="Q75" s="192"/>
      <c r="R75" s="121"/>
      <c r="S75" s="121"/>
      <c r="T75" s="121"/>
      <c r="U75" s="121"/>
      <c r="V75" s="121"/>
      <c r="W75" s="121"/>
      <c r="X75" s="121"/>
      <c r="Y75" s="121"/>
      <c r="Z75" s="121"/>
      <c r="AJ75" s="258"/>
      <c r="AK75" s="258"/>
      <c r="AL75" s="258"/>
      <c r="AM75" s="258"/>
      <c r="AN75" s="258"/>
    </row>
    <row r="76" spans="1:40" x14ac:dyDescent="0.3">
      <c r="A76" s="274"/>
      <c r="B76" s="434"/>
      <c r="C76" s="289"/>
      <c r="D76" s="168">
        <f t="shared" ref="D76:I76" si="40">SUM(D73:D75)</f>
        <v>360150.47258350987</v>
      </c>
      <c r="E76" s="168">
        <f t="shared" si="40"/>
        <v>361078.92354806949</v>
      </c>
      <c r="F76" s="168">
        <f t="shared" si="40"/>
        <v>362943.98732201173</v>
      </c>
      <c r="G76" s="168">
        <f t="shared" si="40"/>
        <v>368458.1512481242</v>
      </c>
      <c r="H76" s="168">
        <f t="shared" si="40"/>
        <v>335082.55441587814</v>
      </c>
      <c r="I76" s="168">
        <f t="shared" si="40"/>
        <v>298653.84493822255</v>
      </c>
      <c r="J76" s="362"/>
      <c r="K76" s="192"/>
      <c r="L76" s="192"/>
      <c r="M76" s="192"/>
      <c r="N76" s="192"/>
      <c r="O76" s="192"/>
      <c r="P76" s="192"/>
      <c r="Q76" s="192"/>
      <c r="R76" s="121"/>
      <c r="S76" s="121"/>
      <c r="T76" s="121"/>
      <c r="U76" s="121"/>
      <c r="V76" s="121"/>
      <c r="W76" s="121"/>
      <c r="X76" s="121"/>
      <c r="Y76" s="121"/>
      <c r="Z76" s="121"/>
      <c r="AJ76" s="258"/>
      <c r="AK76" s="258"/>
      <c r="AL76" s="258"/>
      <c r="AM76" s="258"/>
      <c r="AN76" s="258"/>
    </row>
    <row r="77" spans="1:40" x14ac:dyDescent="0.3">
      <c r="A77" s="274"/>
      <c r="B77" s="230"/>
      <c r="C77" s="230"/>
      <c r="D77" s="257" t="s">
        <v>2201</v>
      </c>
      <c r="E77" s="168">
        <f>E76-D76</f>
        <v>928.4509645596263</v>
      </c>
      <c r="F77" s="168">
        <f>F76-$D$76</f>
        <v>2793.5147385018645</v>
      </c>
      <c r="G77" s="168">
        <f t="shared" ref="G77:I77" si="41">G76-$D$76</f>
        <v>8307.67866461433</v>
      </c>
      <c r="H77" s="168">
        <f t="shared" si="41"/>
        <v>-25067.918167631724</v>
      </c>
      <c r="I77" s="168">
        <f t="shared" si="41"/>
        <v>-61496.627645287313</v>
      </c>
      <c r="J77" s="362"/>
      <c r="K77" s="192"/>
      <c r="L77" s="192"/>
      <c r="M77" s="192"/>
      <c r="N77" s="192"/>
      <c r="O77" s="192"/>
      <c r="P77" s="192"/>
      <c r="Q77" s="192"/>
      <c r="R77" s="121"/>
      <c r="S77" s="121"/>
      <c r="T77" s="121"/>
      <c r="U77" s="121"/>
      <c r="V77" s="121"/>
      <c r="W77" s="121"/>
      <c r="X77" s="121"/>
      <c r="Y77" s="121"/>
      <c r="Z77" s="121"/>
      <c r="AJ77" s="258"/>
      <c r="AK77" s="258"/>
      <c r="AL77" s="258"/>
      <c r="AM77" s="258"/>
      <c r="AN77" s="258"/>
    </row>
    <row r="78" spans="1:40" x14ac:dyDescent="0.3">
      <c r="A78" s="266"/>
      <c r="B78" s="288"/>
      <c r="C78" s="272"/>
      <c r="D78" s="271"/>
      <c r="E78" s="272"/>
      <c r="F78" s="273"/>
      <c r="G78" s="266"/>
      <c r="H78" s="266"/>
      <c r="I78" s="270"/>
      <c r="J78" s="192"/>
      <c r="K78" s="192"/>
      <c r="L78" s="192"/>
      <c r="M78" s="192"/>
      <c r="N78" s="192"/>
      <c r="O78" s="192"/>
      <c r="P78" s="192"/>
      <c r="Q78" s="192"/>
      <c r="R78" s="121"/>
      <c r="S78" s="121"/>
      <c r="T78" s="121"/>
      <c r="U78" s="121"/>
      <c r="V78" s="121"/>
      <c r="W78" s="121"/>
      <c r="X78" s="121"/>
      <c r="Y78" s="121"/>
      <c r="Z78" s="121"/>
      <c r="AJ78" s="258"/>
      <c r="AK78" s="258"/>
      <c r="AL78" s="258"/>
      <c r="AM78" s="258"/>
      <c r="AN78" s="258"/>
    </row>
    <row r="79" spans="1:40" x14ac:dyDescent="0.3">
      <c r="A79" s="259"/>
      <c r="B79" s="290" t="s">
        <v>2202</v>
      </c>
      <c r="C79" s="275"/>
      <c r="D79" s="275"/>
      <c r="E79" s="276"/>
      <c r="F79" s="277"/>
      <c r="G79" s="278"/>
      <c r="H79" s="278"/>
      <c r="I79" s="278"/>
      <c r="J79" s="367"/>
      <c r="K79" s="194"/>
      <c r="L79" s="194"/>
      <c r="M79" s="194"/>
      <c r="N79" s="194"/>
      <c r="O79" s="194"/>
      <c r="P79" s="194"/>
      <c r="Q79" s="194"/>
      <c r="R79" s="121"/>
      <c r="V79" s="121"/>
    </row>
    <row r="80" spans="1:40" x14ac:dyDescent="0.3">
      <c r="A80" s="259"/>
      <c r="B80" s="337" t="s">
        <v>2203</v>
      </c>
      <c r="C80" s="338"/>
      <c r="D80" s="338"/>
      <c r="E80" s="338"/>
      <c r="F80" s="338"/>
      <c r="G80" s="338"/>
      <c r="H80" s="338"/>
      <c r="I80" s="193"/>
      <c r="J80" s="363"/>
      <c r="K80" s="194"/>
      <c r="L80" s="194"/>
      <c r="M80" s="194"/>
      <c r="N80" s="194"/>
      <c r="O80" s="194"/>
      <c r="P80" s="194"/>
      <c r="Q80" s="194"/>
      <c r="R80" s="121"/>
      <c r="V80" s="121"/>
    </row>
    <row r="81" spans="1:40" ht="43.2" x14ac:dyDescent="0.3">
      <c r="A81" s="259"/>
      <c r="B81" s="254" t="s">
        <v>2084</v>
      </c>
      <c r="C81" s="352" t="s">
        <v>2181</v>
      </c>
      <c r="D81" s="844" t="s">
        <v>2162</v>
      </c>
      <c r="E81" s="229" t="s">
        <v>1896</v>
      </c>
      <c r="F81" s="229" t="s">
        <v>1897</v>
      </c>
      <c r="G81" s="152" t="s">
        <v>2130</v>
      </c>
      <c r="H81" s="152" t="s">
        <v>2131</v>
      </c>
      <c r="I81" s="229" t="s">
        <v>2132</v>
      </c>
      <c r="J81" s="259"/>
      <c r="K81" s="194"/>
      <c r="L81" s="194"/>
      <c r="M81" s="194"/>
      <c r="N81" s="194"/>
      <c r="O81" s="194"/>
      <c r="P81" s="194"/>
      <c r="Q81" s="194"/>
      <c r="R81" s="121"/>
      <c r="V81" s="121"/>
    </row>
    <row r="82" spans="1:40" x14ac:dyDescent="0.3">
      <c r="A82" s="259"/>
      <c r="B82" s="304" t="str">
        <f>'Inputs and population'!C61</f>
        <v>Ribociclib + AI</v>
      </c>
      <c r="C82" s="137">
        <f>'Capacity inputs'!F15*'Capacity inputs'!G15</f>
        <v>0</v>
      </c>
      <c r="D82" s="116">
        <f t="shared" ref="D82:I84" si="42">D73*$C82/60</f>
        <v>0</v>
      </c>
      <c r="E82" s="116">
        <f t="shared" si="42"/>
        <v>0</v>
      </c>
      <c r="F82" s="116">
        <f t="shared" si="42"/>
        <v>0</v>
      </c>
      <c r="G82" s="116">
        <f t="shared" si="42"/>
        <v>0</v>
      </c>
      <c r="H82" s="116">
        <f t="shared" si="42"/>
        <v>0</v>
      </c>
      <c r="I82" s="116">
        <f t="shared" si="42"/>
        <v>0</v>
      </c>
      <c r="J82" s="259"/>
      <c r="K82" s="194"/>
      <c r="L82" s="194"/>
      <c r="M82" s="194"/>
      <c r="N82" s="194"/>
      <c r="O82" s="194"/>
      <c r="P82" s="194"/>
      <c r="Q82" s="194"/>
      <c r="R82" s="121"/>
      <c r="S82" s="121"/>
      <c r="T82" s="121"/>
      <c r="U82" s="121"/>
      <c r="V82" s="121"/>
      <c r="W82" s="121"/>
      <c r="X82" s="121"/>
      <c r="Y82" s="121"/>
      <c r="Z82" s="121"/>
      <c r="AJ82" s="258"/>
      <c r="AK82" s="258"/>
      <c r="AL82" s="258"/>
      <c r="AM82" s="258"/>
      <c r="AN82" s="258"/>
    </row>
    <row r="83" spans="1:40" x14ac:dyDescent="0.3">
      <c r="A83" s="259"/>
      <c r="B83" s="304" t="str">
        <f>'Inputs and population'!C62</f>
        <v>Endocrine Therapy (ET)</v>
      </c>
      <c r="C83" s="137">
        <f>'Capacity inputs'!F15*'Capacity inputs'!H15</f>
        <v>0</v>
      </c>
      <c r="D83" s="116">
        <f t="shared" si="42"/>
        <v>0</v>
      </c>
      <c r="E83" s="116">
        <f t="shared" si="42"/>
        <v>0</v>
      </c>
      <c r="F83" s="116">
        <f t="shared" si="42"/>
        <v>0</v>
      </c>
      <c r="G83" s="116">
        <f t="shared" si="42"/>
        <v>0</v>
      </c>
      <c r="H83" s="116">
        <f t="shared" si="42"/>
        <v>0</v>
      </c>
      <c r="I83" s="116">
        <f t="shared" si="42"/>
        <v>0</v>
      </c>
      <c r="J83" s="259"/>
      <c r="K83" s="194"/>
      <c r="L83" s="194"/>
      <c r="M83" s="194"/>
      <c r="N83" s="194"/>
      <c r="O83" s="194"/>
      <c r="P83" s="194"/>
      <c r="Q83" s="194"/>
      <c r="R83" s="121"/>
      <c r="S83" s="121"/>
      <c r="T83" s="121"/>
      <c r="U83" s="121"/>
      <c r="V83" s="121"/>
      <c r="W83" s="121"/>
      <c r="X83" s="121"/>
      <c r="Y83" s="121"/>
      <c r="Z83" s="121"/>
      <c r="AJ83" s="258"/>
      <c r="AK83" s="258"/>
      <c r="AL83" s="258"/>
      <c r="AM83" s="258"/>
      <c r="AN83" s="258"/>
    </row>
    <row r="84" spans="1:40" x14ac:dyDescent="0.3">
      <c r="A84" s="259"/>
      <c r="B84" s="304" t="str">
        <f>'Inputs and population'!C63</f>
        <v>Abemaciclib + ET</v>
      </c>
      <c r="C84" s="137">
        <f>'Capacity inputs'!F15*'Capacity inputs'!I15</f>
        <v>0</v>
      </c>
      <c r="D84" s="116">
        <f t="shared" si="42"/>
        <v>0</v>
      </c>
      <c r="E84" s="116">
        <f t="shared" si="42"/>
        <v>0</v>
      </c>
      <c r="F84" s="116">
        <f t="shared" si="42"/>
        <v>0</v>
      </c>
      <c r="G84" s="116">
        <f t="shared" si="42"/>
        <v>0</v>
      </c>
      <c r="H84" s="116">
        <f t="shared" si="42"/>
        <v>0</v>
      </c>
      <c r="I84" s="116">
        <f t="shared" si="42"/>
        <v>0</v>
      </c>
      <c r="J84" s="259"/>
      <c r="K84" s="194"/>
      <c r="L84" s="194"/>
      <c r="M84" s="194"/>
      <c r="N84" s="194"/>
      <c r="O84" s="194"/>
      <c r="P84" s="194"/>
      <c r="Q84" s="194"/>
      <c r="R84" s="121"/>
      <c r="S84" s="121"/>
      <c r="T84" s="121"/>
      <c r="U84" s="121"/>
      <c r="V84" s="121"/>
      <c r="W84" s="121"/>
      <c r="X84" s="121"/>
      <c r="Y84" s="121"/>
      <c r="Z84" s="121"/>
      <c r="AJ84" s="258"/>
      <c r="AK84" s="258"/>
      <c r="AL84" s="258"/>
      <c r="AM84" s="258"/>
      <c r="AN84" s="258"/>
    </row>
    <row r="85" spans="1:40" x14ac:dyDescent="0.3">
      <c r="A85" s="259"/>
      <c r="B85" s="252"/>
      <c r="C85" s="289"/>
      <c r="D85" s="168">
        <f>SUM(D82:D84)</f>
        <v>0</v>
      </c>
      <c r="E85" s="168">
        <f t="shared" ref="E85:I85" si="43">SUM(E82:E84)</f>
        <v>0</v>
      </c>
      <c r="F85" s="168">
        <f t="shared" si="43"/>
        <v>0</v>
      </c>
      <c r="G85" s="168">
        <f t="shared" si="43"/>
        <v>0</v>
      </c>
      <c r="H85" s="168">
        <f t="shared" si="43"/>
        <v>0</v>
      </c>
      <c r="I85" s="168">
        <f t="shared" si="43"/>
        <v>0</v>
      </c>
      <c r="J85" s="259"/>
      <c r="K85" s="194"/>
      <c r="L85" s="194"/>
      <c r="M85" s="194"/>
      <c r="N85" s="194"/>
      <c r="O85" s="194"/>
      <c r="P85" s="194"/>
      <c r="Q85" s="194"/>
      <c r="R85" s="121"/>
      <c r="S85" s="121"/>
      <c r="T85" s="121"/>
      <c r="U85" s="121"/>
      <c r="V85" s="121"/>
      <c r="W85" s="121"/>
      <c r="X85" s="121"/>
      <c r="Y85" s="121"/>
      <c r="Z85" s="121"/>
      <c r="AJ85" s="258"/>
      <c r="AK85" s="258"/>
      <c r="AL85" s="258"/>
      <c r="AM85" s="258"/>
      <c r="AN85" s="258"/>
    </row>
    <row r="86" spans="1:40" x14ac:dyDescent="0.3">
      <c r="A86" s="259"/>
      <c r="B86" s="279"/>
      <c r="C86" s="230"/>
      <c r="D86" s="257" t="s">
        <v>2204</v>
      </c>
      <c r="E86" s="168">
        <f>E85-$D$85</f>
        <v>0</v>
      </c>
      <c r="F86" s="168">
        <f>F85-$D$85</f>
        <v>0</v>
      </c>
      <c r="G86" s="168">
        <f>G85-$D$85</f>
        <v>0</v>
      </c>
      <c r="H86" s="168">
        <f>H85-$D$85</f>
        <v>0</v>
      </c>
      <c r="I86" s="168">
        <f>I85-$D$85</f>
        <v>0</v>
      </c>
      <c r="J86" s="259"/>
      <c r="K86" s="194"/>
      <c r="L86" s="194"/>
      <c r="M86" s="194"/>
      <c r="N86" s="194"/>
      <c r="O86" s="194"/>
      <c r="P86" s="194"/>
      <c r="Q86" s="194"/>
      <c r="R86" s="121"/>
      <c r="S86" s="121"/>
      <c r="T86" s="121"/>
      <c r="U86" s="121"/>
      <c r="V86" s="121"/>
      <c r="W86" s="121"/>
      <c r="X86" s="121"/>
      <c r="Y86" s="121"/>
      <c r="Z86" s="121"/>
      <c r="AJ86" s="258"/>
      <c r="AK86" s="258"/>
      <c r="AL86" s="258"/>
      <c r="AM86" s="258"/>
      <c r="AN86" s="258"/>
    </row>
    <row r="87" spans="1:40" x14ac:dyDescent="0.3">
      <c r="A87" s="259"/>
      <c r="B87" s="291"/>
      <c r="C87" s="194"/>
      <c r="D87" s="194"/>
      <c r="E87" s="194"/>
      <c r="F87" s="194"/>
      <c r="G87" s="194"/>
      <c r="H87" s="194"/>
      <c r="I87" s="194"/>
      <c r="J87" s="194"/>
      <c r="K87" s="194"/>
      <c r="L87" s="194"/>
      <c r="M87" s="194"/>
      <c r="N87" s="194"/>
      <c r="O87" s="194"/>
      <c r="P87" s="194"/>
      <c r="Q87" s="194"/>
      <c r="R87" s="121"/>
      <c r="S87" s="121"/>
      <c r="T87" s="121"/>
      <c r="U87" s="121"/>
      <c r="V87" s="121"/>
      <c r="W87" s="121"/>
      <c r="X87" s="121"/>
      <c r="Y87" s="121"/>
      <c r="Z87" s="121"/>
      <c r="AJ87" s="258"/>
      <c r="AK87" s="258"/>
      <c r="AL87" s="258"/>
      <c r="AM87" s="258"/>
      <c r="AN87" s="258"/>
    </row>
    <row r="88" spans="1:40" x14ac:dyDescent="0.3">
      <c r="A88" s="259"/>
      <c r="B88" s="339" t="s">
        <v>2205</v>
      </c>
      <c r="C88" s="338"/>
      <c r="D88" s="338"/>
      <c r="E88" s="338"/>
      <c r="F88" s="338"/>
      <c r="G88" s="338"/>
      <c r="H88" s="338"/>
      <c r="I88" s="193"/>
      <c r="J88" s="363"/>
      <c r="K88" s="194"/>
      <c r="L88" s="194"/>
      <c r="M88" s="194"/>
      <c r="N88" s="194"/>
      <c r="O88" s="194"/>
      <c r="P88" s="194"/>
      <c r="Q88" s="194"/>
      <c r="R88" s="121"/>
      <c r="S88" s="121"/>
      <c r="T88" s="121"/>
      <c r="U88" s="121"/>
      <c r="V88" s="121"/>
      <c r="W88" s="121"/>
      <c r="X88" s="121"/>
      <c r="Y88" s="121"/>
      <c r="Z88" s="121"/>
      <c r="AJ88" s="258"/>
      <c r="AK88" s="258"/>
      <c r="AL88" s="258"/>
      <c r="AM88" s="258"/>
      <c r="AN88" s="258"/>
    </row>
    <row r="89" spans="1:40" ht="43.2" x14ac:dyDescent="0.3">
      <c r="A89" s="259"/>
      <c r="B89" s="254" t="s">
        <v>2084</v>
      </c>
      <c r="C89" s="352" t="s">
        <v>2181</v>
      </c>
      <c r="D89" s="844" t="s">
        <v>2162</v>
      </c>
      <c r="E89" s="229" t="s">
        <v>1896</v>
      </c>
      <c r="F89" s="229" t="s">
        <v>1897</v>
      </c>
      <c r="G89" s="152" t="s">
        <v>2130</v>
      </c>
      <c r="H89" s="152" t="s">
        <v>2131</v>
      </c>
      <c r="I89" s="229" t="s">
        <v>2132</v>
      </c>
      <c r="J89" s="259"/>
      <c r="K89" s="194"/>
      <c r="L89" s="194"/>
      <c r="M89" s="194"/>
      <c r="N89" s="194"/>
      <c r="O89" s="194"/>
      <c r="P89" s="194"/>
      <c r="Q89" s="194"/>
      <c r="R89" s="121"/>
      <c r="S89" s="121"/>
      <c r="T89" s="121"/>
      <c r="U89" s="121"/>
      <c r="V89" s="121"/>
      <c r="W89" s="121"/>
      <c r="X89" s="121"/>
      <c r="Y89" s="121"/>
      <c r="Z89" s="121"/>
      <c r="AJ89" s="258"/>
      <c r="AK89" s="258"/>
      <c r="AL89" s="258"/>
      <c r="AM89" s="258"/>
      <c r="AN89" s="258"/>
    </row>
    <row r="90" spans="1:40" x14ac:dyDescent="0.3">
      <c r="A90" s="259"/>
      <c r="B90" s="304" t="str">
        <f>B82</f>
        <v>Ribociclib + AI</v>
      </c>
      <c r="C90" s="137">
        <f>'Capacity inputs'!F16*'Capacity inputs'!G16</f>
        <v>0</v>
      </c>
      <c r="D90" s="116">
        <f t="shared" ref="D90:I92" si="44">D73*$C90/60</f>
        <v>0</v>
      </c>
      <c r="E90" s="116">
        <f t="shared" si="44"/>
        <v>0</v>
      </c>
      <c r="F90" s="116">
        <f t="shared" si="44"/>
        <v>0</v>
      </c>
      <c r="G90" s="116">
        <f t="shared" si="44"/>
        <v>0</v>
      </c>
      <c r="H90" s="116">
        <f t="shared" si="44"/>
        <v>0</v>
      </c>
      <c r="I90" s="116">
        <f t="shared" si="44"/>
        <v>0</v>
      </c>
      <c r="J90" s="259"/>
      <c r="K90" s="194"/>
      <c r="L90" s="194"/>
      <c r="M90" s="194"/>
      <c r="N90" s="194"/>
      <c r="O90" s="194"/>
      <c r="P90" s="194"/>
      <c r="Q90" s="194"/>
      <c r="R90" s="121"/>
      <c r="S90" s="121"/>
      <c r="T90" s="121"/>
      <c r="U90" s="121"/>
      <c r="V90" s="121"/>
      <c r="W90" s="121"/>
      <c r="X90" s="121"/>
      <c r="Y90" s="121"/>
      <c r="Z90" s="121"/>
      <c r="AJ90" s="258"/>
      <c r="AK90" s="258"/>
      <c r="AL90" s="258"/>
      <c r="AM90" s="258"/>
      <c r="AN90" s="258"/>
    </row>
    <row r="91" spans="1:40" x14ac:dyDescent="0.3">
      <c r="A91" s="259"/>
      <c r="B91" s="304" t="str">
        <f>B83</f>
        <v>Endocrine Therapy (ET)</v>
      </c>
      <c r="C91" s="137">
        <f>'Capacity inputs'!F16*'Capacity inputs'!H16</f>
        <v>0</v>
      </c>
      <c r="D91" s="116">
        <f t="shared" si="44"/>
        <v>0</v>
      </c>
      <c r="E91" s="116">
        <f t="shared" si="44"/>
        <v>0</v>
      </c>
      <c r="F91" s="116">
        <f t="shared" si="44"/>
        <v>0</v>
      </c>
      <c r="G91" s="116">
        <f t="shared" si="44"/>
        <v>0</v>
      </c>
      <c r="H91" s="116">
        <f t="shared" si="44"/>
        <v>0</v>
      </c>
      <c r="I91" s="116">
        <f t="shared" si="44"/>
        <v>0</v>
      </c>
      <c r="J91" s="259"/>
      <c r="K91" s="194"/>
      <c r="L91" s="194"/>
      <c r="M91" s="194"/>
      <c r="N91" s="194"/>
      <c r="O91" s="194"/>
      <c r="P91" s="194"/>
      <c r="Q91" s="194"/>
      <c r="R91" s="121"/>
      <c r="S91" s="121"/>
      <c r="T91" s="121"/>
      <c r="U91" s="121"/>
      <c r="V91" s="121"/>
      <c r="W91" s="121"/>
      <c r="X91" s="121"/>
      <c r="Y91" s="121"/>
      <c r="Z91" s="121"/>
      <c r="AJ91" s="258"/>
      <c r="AK91" s="258"/>
      <c r="AL91" s="258"/>
      <c r="AM91" s="258"/>
      <c r="AN91" s="258"/>
    </row>
    <row r="92" spans="1:40" x14ac:dyDescent="0.3">
      <c r="A92" s="259"/>
      <c r="B92" s="304" t="str">
        <f>B84</f>
        <v>Abemaciclib + ET</v>
      </c>
      <c r="C92" s="137">
        <f>'Capacity inputs'!F16*'Capacity inputs'!I16</f>
        <v>0</v>
      </c>
      <c r="D92" s="116">
        <f t="shared" si="44"/>
        <v>0</v>
      </c>
      <c r="E92" s="116">
        <f t="shared" si="44"/>
        <v>0</v>
      </c>
      <c r="F92" s="116">
        <f t="shared" si="44"/>
        <v>0</v>
      </c>
      <c r="G92" s="116">
        <f t="shared" si="44"/>
        <v>0</v>
      </c>
      <c r="H92" s="116">
        <f t="shared" si="44"/>
        <v>0</v>
      </c>
      <c r="I92" s="116">
        <f t="shared" si="44"/>
        <v>0</v>
      </c>
      <c r="J92" s="259"/>
      <c r="K92" s="194"/>
      <c r="L92" s="194"/>
      <c r="M92" s="194"/>
      <c r="N92" s="194"/>
      <c r="O92" s="194"/>
      <c r="P92" s="194"/>
      <c r="Q92" s="194"/>
      <c r="R92" s="121"/>
      <c r="S92" s="121"/>
      <c r="T92" s="121"/>
      <c r="U92" s="121"/>
      <c r="V92" s="121"/>
      <c r="W92" s="121"/>
      <c r="X92" s="121"/>
      <c r="Y92" s="121"/>
      <c r="Z92" s="121"/>
      <c r="AJ92" s="258"/>
      <c r="AK92" s="258"/>
      <c r="AL92" s="258"/>
      <c r="AM92" s="258"/>
      <c r="AN92" s="258"/>
    </row>
    <row r="93" spans="1:40" x14ac:dyDescent="0.3">
      <c r="A93" s="259"/>
      <c r="B93" s="252"/>
      <c r="C93" s="289"/>
      <c r="D93" s="168">
        <f t="shared" ref="D93:I93" si="45">SUM(D90:D92)</f>
        <v>0</v>
      </c>
      <c r="E93" s="168">
        <f t="shared" si="45"/>
        <v>0</v>
      </c>
      <c r="F93" s="168">
        <f t="shared" si="45"/>
        <v>0</v>
      </c>
      <c r="G93" s="168">
        <f t="shared" si="45"/>
        <v>0</v>
      </c>
      <c r="H93" s="168">
        <f t="shared" si="45"/>
        <v>0</v>
      </c>
      <c r="I93" s="168">
        <f t="shared" si="45"/>
        <v>0</v>
      </c>
      <c r="J93" s="259"/>
      <c r="K93" s="194"/>
      <c r="L93" s="194"/>
      <c r="M93" s="194"/>
      <c r="N93" s="194"/>
      <c r="O93" s="194"/>
      <c r="P93" s="194"/>
      <c r="Q93" s="194"/>
      <c r="R93" s="121"/>
      <c r="S93" s="121"/>
      <c r="T93" s="121"/>
      <c r="U93" s="121"/>
      <c r="V93" s="121"/>
      <c r="W93" s="121"/>
      <c r="X93" s="121"/>
      <c r="Y93" s="121"/>
      <c r="Z93" s="121"/>
      <c r="AJ93" s="258"/>
      <c r="AK93" s="258"/>
      <c r="AL93" s="258"/>
      <c r="AM93" s="258"/>
      <c r="AN93" s="258"/>
    </row>
    <row r="94" spans="1:40" x14ac:dyDescent="0.3">
      <c r="A94" s="259"/>
      <c r="B94" s="255"/>
      <c r="C94" s="255"/>
      <c r="D94" s="257" t="s">
        <v>2206</v>
      </c>
      <c r="E94" s="168">
        <f>E93-$D$93</f>
        <v>0</v>
      </c>
      <c r="F94" s="168">
        <f>F93-$D$93</f>
        <v>0</v>
      </c>
      <c r="G94" s="168">
        <f>G93-$D$93</f>
        <v>0</v>
      </c>
      <c r="H94" s="168">
        <f>H93-$D$93</f>
        <v>0</v>
      </c>
      <c r="I94" s="168">
        <f>I93-$D$93</f>
        <v>0</v>
      </c>
      <c r="J94" s="259"/>
      <c r="K94" s="194"/>
      <c r="L94" s="194"/>
      <c r="M94" s="194"/>
      <c r="N94" s="194"/>
      <c r="O94" s="194"/>
      <c r="P94" s="194"/>
      <c r="Q94" s="194"/>
      <c r="R94" s="121"/>
      <c r="S94" s="121"/>
      <c r="T94" s="121"/>
      <c r="U94" s="121"/>
      <c r="V94" s="121"/>
      <c r="W94" s="121"/>
      <c r="X94" s="121"/>
      <c r="Y94" s="121"/>
      <c r="Z94" s="121"/>
      <c r="AJ94" s="258"/>
      <c r="AK94" s="258"/>
      <c r="AL94" s="258"/>
      <c r="AM94" s="258"/>
      <c r="AN94" s="258"/>
    </row>
    <row r="95" spans="1:40" x14ac:dyDescent="0.3">
      <c r="A95" s="259"/>
      <c r="B95" s="291"/>
      <c r="C95" s="194"/>
      <c r="D95" s="194"/>
      <c r="E95" s="194"/>
      <c r="F95" s="194"/>
      <c r="G95" s="194"/>
      <c r="H95" s="194"/>
      <c r="I95" s="194"/>
      <c r="J95" s="194"/>
      <c r="K95" s="194"/>
      <c r="L95" s="194"/>
      <c r="M95" s="194"/>
      <c r="N95" s="194"/>
      <c r="O95" s="194"/>
      <c r="P95" s="194"/>
      <c r="Q95" s="194"/>
      <c r="R95" s="121"/>
      <c r="S95" s="121"/>
      <c r="T95" s="121"/>
      <c r="U95" s="121"/>
      <c r="V95" s="121"/>
      <c r="W95" s="121"/>
      <c r="X95" s="121"/>
      <c r="Y95" s="121"/>
      <c r="Z95" s="121"/>
      <c r="AJ95" s="258"/>
      <c r="AK95" s="258"/>
      <c r="AL95" s="258"/>
      <c r="AM95" s="258"/>
      <c r="AN95" s="258"/>
    </row>
    <row r="96" spans="1:40" x14ac:dyDescent="0.3">
      <c r="A96" s="259"/>
      <c r="B96" s="339" t="s">
        <v>2207</v>
      </c>
      <c r="C96" s="338"/>
      <c r="D96" s="338"/>
      <c r="E96" s="338"/>
      <c r="F96" s="338"/>
      <c r="G96" s="338"/>
      <c r="H96" s="338"/>
      <c r="I96" s="193"/>
      <c r="J96" s="363"/>
      <c r="K96" s="194"/>
      <c r="L96" s="194"/>
      <c r="M96" s="194"/>
      <c r="N96" s="194"/>
      <c r="O96" s="194"/>
      <c r="P96" s="194"/>
      <c r="Q96" s="194"/>
      <c r="R96" s="121"/>
      <c r="V96" s="121"/>
      <c r="AJ96" s="258"/>
      <c r="AK96" s="258"/>
      <c r="AL96" s="258"/>
      <c r="AM96" s="258"/>
      <c r="AN96" s="258"/>
    </row>
    <row r="97" spans="1:40" ht="43.2" x14ac:dyDescent="0.3">
      <c r="A97" s="259"/>
      <c r="B97" s="254" t="s">
        <v>2084</v>
      </c>
      <c r="C97" s="352" t="s">
        <v>2181</v>
      </c>
      <c r="D97" s="844" t="s">
        <v>2162</v>
      </c>
      <c r="E97" s="229" t="s">
        <v>1896</v>
      </c>
      <c r="F97" s="229" t="s">
        <v>1897</v>
      </c>
      <c r="G97" s="152" t="s">
        <v>2130</v>
      </c>
      <c r="H97" s="152" t="s">
        <v>2131</v>
      </c>
      <c r="I97" s="229" t="s">
        <v>2132</v>
      </c>
      <c r="J97" s="259"/>
      <c r="K97" s="194"/>
      <c r="L97" s="194"/>
      <c r="M97" s="194"/>
      <c r="N97" s="194"/>
      <c r="O97" s="194"/>
      <c r="P97" s="194"/>
      <c r="Q97" s="194"/>
      <c r="R97" s="121"/>
      <c r="V97" s="121"/>
      <c r="AJ97" s="258"/>
      <c r="AK97" s="258"/>
      <c r="AL97" s="258"/>
      <c r="AM97" s="258"/>
      <c r="AN97" s="258"/>
    </row>
    <row r="98" spans="1:40" x14ac:dyDescent="0.3">
      <c r="A98" s="259"/>
      <c r="B98" s="304" t="str">
        <f>B90</f>
        <v>Ribociclib + AI</v>
      </c>
      <c r="C98" s="137">
        <f>'Capacity inputs'!F17*'Capacity inputs'!G17</f>
        <v>0</v>
      </c>
      <c r="D98" s="116">
        <f t="shared" ref="D98:I100" si="46">D73*$C98/60</f>
        <v>0</v>
      </c>
      <c r="E98" s="116">
        <f t="shared" si="46"/>
        <v>0</v>
      </c>
      <c r="F98" s="116">
        <f t="shared" si="46"/>
        <v>0</v>
      </c>
      <c r="G98" s="116">
        <f t="shared" si="46"/>
        <v>0</v>
      </c>
      <c r="H98" s="116">
        <f t="shared" si="46"/>
        <v>0</v>
      </c>
      <c r="I98" s="116">
        <f t="shared" si="46"/>
        <v>0</v>
      </c>
      <c r="J98" s="259"/>
      <c r="K98" s="194"/>
      <c r="L98" s="194"/>
      <c r="M98" s="194"/>
      <c r="N98" s="194"/>
      <c r="O98" s="194"/>
      <c r="P98" s="194"/>
      <c r="Q98" s="194"/>
      <c r="R98" s="121"/>
      <c r="V98" s="121"/>
      <c r="AJ98" s="258"/>
      <c r="AK98" s="258"/>
      <c r="AL98" s="258"/>
      <c r="AM98" s="258"/>
      <c r="AN98" s="258"/>
    </row>
    <row r="99" spans="1:40" x14ac:dyDescent="0.3">
      <c r="A99" s="259"/>
      <c r="B99" s="304" t="str">
        <f>B91</f>
        <v>Endocrine Therapy (ET)</v>
      </c>
      <c r="C99" s="137">
        <f>'Capacity inputs'!F17*'Capacity inputs'!H17</f>
        <v>0</v>
      </c>
      <c r="D99" s="116">
        <f t="shared" si="46"/>
        <v>0</v>
      </c>
      <c r="E99" s="116">
        <f t="shared" si="46"/>
        <v>0</v>
      </c>
      <c r="F99" s="116">
        <f t="shared" si="46"/>
        <v>0</v>
      </c>
      <c r="G99" s="116">
        <f t="shared" si="46"/>
        <v>0</v>
      </c>
      <c r="H99" s="116">
        <f t="shared" si="46"/>
        <v>0</v>
      </c>
      <c r="I99" s="116">
        <f t="shared" si="46"/>
        <v>0</v>
      </c>
      <c r="J99" s="259"/>
      <c r="K99" s="194"/>
      <c r="L99" s="194"/>
      <c r="M99" s="194"/>
      <c r="N99" s="194"/>
      <c r="O99" s="194"/>
      <c r="P99" s="194"/>
      <c r="Q99" s="194"/>
      <c r="R99" s="121"/>
      <c r="V99" s="121"/>
      <c r="AJ99" s="258"/>
      <c r="AK99" s="258"/>
      <c r="AL99" s="258"/>
      <c r="AM99" s="258"/>
      <c r="AN99" s="258"/>
    </row>
    <row r="100" spans="1:40" x14ac:dyDescent="0.3">
      <c r="A100" s="259"/>
      <c r="B100" s="304" t="str">
        <f>B92</f>
        <v>Abemaciclib + ET</v>
      </c>
      <c r="C100" s="137">
        <f>'Capacity inputs'!F17*'Capacity inputs'!I17</f>
        <v>0</v>
      </c>
      <c r="D100" s="116">
        <f t="shared" si="46"/>
        <v>0</v>
      </c>
      <c r="E100" s="116">
        <f t="shared" si="46"/>
        <v>0</v>
      </c>
      <c r="F100" s="116">
        <f t="shared" si="46"/>
        <v>0</v>
      </c>
      <c r="G100" s="116">
        <f t="shared" si="46"/>
        <v>0</v>
      </c>
      <c r="H100" s="116">
        <f t="shared" si="46"/>
        <v>0</v>
      </c>
      <c r="I100" s="116">
        <f t="shared" si="46"/>
        <v>0</v>
      </c>
      <c r="J100" s="259"/>
      <c r="K100" s="194"/>
      <c r="L100" s="194"/>
      <c r="M100" s="194"/>
      <c r="N100" s="194"/>
      <c r="O100" s="194"/>
      <c r="P100" s="194"/>
      <c r="Q100" s="194"/>
      <c r="R100" s="121"/>
      <c r="V100" s="121"/>
      <c r="AJ100" s="258"/>
      <c r="AK100" s="258"/>
      <c r="AL100" s="258"/>
      <c r="AM100" s="258"/>
      <c r="AN100" s="258"/>
    </row>
    <row r="101" spans="1:40" x14ac:dyDescent="0.3">
      <c r="A101" s="259"/>
      <c r="B101" s="252"/>
      <c r="C101" s="289"/>
      <c r="D101" s="168">
        <f t="shared" ref="D101:I101" si="47">SUM(D98:D100)</f>
        <v>0</v>
      </c>
      <c r="E101" s="168">
        <f t="shared" si="47"/>
        <v>0</v>
      </c>
      <c r="F101" s="168">
        <f t="shared" si="47"/>
        <v>0</v>
      </c>
      <c r="G101" s="168">
        <f t="shared" si="47"/>
        <v>0</v>
      </c>
      <c r="H101" s="168">
        <f t="shared" si="47"/>
        <v>0</v>
      </c>
      <c r="I101" s="168">
        <f t="shared" si="47"/>
        <v>0</v>
      </c>
      <c r="J101" s="259"/>
      <c r="K101" s="194"/>
      <c r="L101" s="194"/>
      <c r="M101" s="194"/>
      <c r="N101" s="194"/>
      <c r="O101" s="194"/>
      <c r="P101" s="194"/>
      <c r="Q101" s="194"/>
      <c r="R101" s="121"/>
      <c r="S101" s="121"/>
      <c r="T101" s="121"/>
      <c r="U101" s="121"/>
      <c r="V101" s="121"/>
      <c r="W101" s="121"/>
      <c r="X101" s="121"/>
      <c r="Y101" s="121"/>
      <c r="Z101" s="121"/>
      <c r="AJ101" s="258"/>
      <c r="AK101" s="258"/>
      <c r="AL101" s="258"/>
      <c r="AM101" s="258"/>
      <c r="AN101" s="258"/>
    </row>
    <row r="102" spans="1:40" x14ac:dyDescent="0.3">
      <c r="A102" s="259"/>
      <c r="B102" s="279"/>
      <c r="C102" s="255"/>
      <c r="D102" s="257" t="s">
        <v>2208</v>
      </c>
      <c r="E102" s="168">
        <f>E101-$D$101</f>
        <v>0</v>
      </c>
      <c r="F102" s="168">
        <f>F101-$D$101</f>
        <v>0</v>
      </c>
      <c r="G102" s="168">
        <f>G101-$D$101</f>
        <v>0</v>
      </c>
      <c r="H102" s="168">
        <f>H101-$D$101</f>
        <v>0</v>
      </c>
      <c r="I102" s="168">
        <f>I101-$D$101</f>
        <v>0</v>
      </c>
      <c r="J102" s="259"/>
      <c r="K102" s="194"/>
      <c r="L102" s="194"/>
      <c r="M102" s="194"/>
      <c r="N102" s="194"/>
      <c r="O102" s="194"/>
      <c r="P102" s="194"/>
      <c r="Q102" s="194"/>
      <c r="R102" s="121"/>
      <c r="S102" s="121"/>
      <c r="T102" s="121"/>
      <c r="U102" s="121"/>
      <c r="V102" s="121"/>
      <c r="W102" s="121"/>
      <c r="X102" s="121"/>
      <c r="Y102" s="121"/>
      <c r="Z102" s="121"/>
      <c r="AJ102" s="258"/>
      <c r="AK102" s="258"/>
      <c r="AL102" s="258"/>
      <c r="AM102" s="258"/>
      <c r="AN102" s="258"/>
    </row>
    <row r="103" spans="1:40" x14ac:dyDescent="0.3">
      <c r="A103" s="259"/>
      <c r="B103" s="291"/>
      <c r="C103" s="194"/>
      <c r="D103" s="194"/>
      <c r="E103" s="194"/>
      <c r="F103" s="194"/>
      <c r="G103" s="194"/>
      <c r="H103" s="194"/>
      <c r="I103" s="194"/>
      <c r="J103" s="259"/>
      <c r="K103" s="259"/>
      <c r="L103" s="194"/>
      <c r="M103" s="194"/>
      <c r="N103" s="194"/>
      <c r="O103" s="194"/>
      <c r="P103" s="194"/>
      <c r="Q103" s="194"/>
      <c r="R103" s="121"/>
      <c r="S103" s="121"/>
      <c r="T103" s="121"/>
      <c r="U103" s="121"/>
      <c r="V103" s="121"/>
      <c r="W103" s="121"/>
      <c r="X103" s="121"/>
      <c r="Y103" s="121"/>
      <c r="Z103" s="121"/>
      <c r="AJ103" s="258"/>
      <c r="AK103" s="258"/>
      <c r="AL103" s="258"/>
      <c r="AM103" s="258"/>
      <c r="AN103" s="258"/>
    </row>
    <row r="104" spans="1:40" x14ac:dyDescent="0.3">
      <c r="A104" s="561"/>
      <c r="B104" s="567" t="s">
        <v>2209</v>
      </c>
      <c r="C104" s="562"/>
      <c r="D104" s="563"/>
      <c r="E104" s="562"/>
      <c r="F104" s="564"/>
      <c r="G104" s="565"/>
      <c r="H104" s="565"/>
      <c r="I104" s="566"/>
      <c r="J104" s="561"/>
      <c r="K104" s="561"/>
      <c r="L104" s="561"/>
      <c r="M104" s="561"/>
      <c r="N104" s="561"/>
      <c r="O104" s="561"/>
      <c r="P104" s="561"/>
      <c r="Q104" s="561"/>
      <c r="R104" s="121"/>
      <c r="S104" s="121"/>
      <c r="T104" s="121"/>
      <c r="U104" s="121"/>
      <c r="V104" s="121"/>
      <c r="W104" s="121"/>
      <c r="X104" s="121"/>
      <c r="Y104" s="121"/>
      <c r="Z104" s="121"/>
      <c r="AJ104" s="258"/>
      <c r="AK104" s="258"/>
      <c r="AL104" s="258"/>
      <c r="AM104" s="258"/>
      <c r="AN104" s="258"/>
    </row>
    <row r="105" spans="1:40" x14ac:dyDescent="0.3">
      <c r="A105" s="261"/>
      <c r="B105" s="340" t="s">
        <v>2210</v>
      </c>
      <c r="C105" s="341"/>
      <c r="D105" s="341"/>
      <c r="E105" s="341"/>
      <c r="F105" s="341"/>
      <c r="G105" s="341"/>
      <c r="H105" s="341"/>
      <c r="I105" s="197"/>
      <c r="J105" s="261"/>
      <c r="K105" s="261"/>
      <c r="L105" s="261"/>
      <c r="M105" s="261"/>
      <c r="N105" s="261"/>
      <c r="O105" s="261"/>
      <c r="P105" s="261"/>
      <c r="Q105" s="261"/>
      <c r="R105" s="121"/>
      <c r="V105" s="121"/>
    </row>
    <row r="106" spans="1:40" ht="43.2" x14ac:dyDescent="0.3">
      <c r="A106" s="261"/>
      <c r="B106" s="251" t="s">
        <v>2084</v>
      </c>
      <c r="C106" s="352" t="s">
        <v>2181</v>
      </c>
      <c r="D106" s="844" t="s">
        <v>2162</v>
      </c>
      <c r="E106" s="229" t="s">
        <v>1896</v>
      </c>
      <c r="F106" s="229" t="s">
        <v>1897</v>
      </c>
      <c r="G106" s="152" t="s">
        <v>2130</v>
      </c>
      <c r="H106" s="152" t="s">
        <v>2131</v>
      </c>
      <c r="I106" s="229" t="s">
        <v>2132</v>
      </c>
      <c r="J106" s="261"/>
      <c r="K106" s="261"/>
      <c r="L106" s="261"/>
      <c r="M106" s="261"/>
      <c r="N106" s="261"/>
      <c r="O106" s="261"/>
      <c r="P106" s="261"/>
      <c r="Q106" s="261"/>
      <c r="R106" s="121"/>
      <c r="V106" s="121"/>
    </row>
    <row r="107" spans="1:40" x14ac:dyDescent="0.3">
      <c r="A107" s="261"/>
      <c r="B107" s="304" t="str">
        <f>'Capacity inputs'!G12</f>
        <v>Ribociclib + AI</v>
      </c>
      <c r="C107" s="137">
        <f>'Capacity inputs'!F18</f>
        <v>2</v>
      </c>
      <c r="D107" s="116">
        <f>D73*'Capacity inputs'!$G18</f>
        <v>0</v>
      </c>
      <c r="E107" s="116">
        <f>E73*'Capacity inputs'!$G18</f>
        <v>0</v>
      </c>
      <c r="F107" s="116">
        <f>F73*'Capacity inputs'!$G18</f>
        <v>0</v>
      </c>
      <c r="G107" s="116">
        <f>G73*'Capacity inputs'!$G18</f>
        <v>0</v>
      </c>
      <c r="H107" s="116">
        <f>H73*'Capacity inputs'!$G18</f>
        <v>0</v>
      </c>
      <c r="I107" s="116">
        <f>I73*'Capacity inputs'!$G18</f>
        <v>0</v>
      </c>
      <c r="J107" s="261"/>
      <c r="K107" s="261"/>
      <c r="L107" s="261"/>
      <c r="M107" s="261"/>
      <c r="N107" s="261"/>
      <c r="O107" s="261"/>
      <c r="P107" s="261"/>
      <c r="Q107" s="261"/>
      <c r="R107" s="121"/>
      <c r="V107" s="121"/>
    </row>
    <row r="108" spans="1:40" x14ac:dyDescent="0.3">
      <c r="A108" s="261"/>
      <c r="B108" s="304" t="str">
        <f>'Capacity inputs'!H12</f>
        <v>ET</v>
      </c>
      <c r="C108" s="137">
        <f>'Capacity inputs'!F18</f>
        <v>2</v>
      </c>
      <c r="D108" s="116">
        <f>D74*'Capacity inputs'!$H18</f>
        <v>0</v>
      </c>
      <c r="E108" s="116">
        <f>E74*'Capacity inputs'!$H18</f>
        <v>0</v>
      </c>
      <c r="F108" s="116">
        <f>F74*'Capacity inputs'!$H18</f>
        <v>0</v>
      </c>
      <c r="G108" s="116">
        <f>G74*'Capacity inputs'!$H18</f>
        <v>0</v>
      </c>
      <c r="H108" s="116">
        <f>H74*'Capacity inputs'!$H18</f>
        <v>0</v>
      </c>
      <c r="I108" s="116">
        <f>I74*'Capacity inputs'!$H18</f>
        <v>0</v>
      </c>
      <c r="J108" s="261"/>
      <c r="K108" s="261"/>
      <c r="L108" s="261"/>
      <c r="M108" s="261"/>
      <c r="N108" s="261"/>
      <c r="O108" s="261"/>
      <c r="P108" s="261"/>
      <c r="Q108" s="261"/>
      <c r="R108" s="121"/>
      <c r="V108" s="121"/>
    </row>
    <row r="109" spans="1:40" x14ac:dyDescent="0.3">
      <c r="A109" s="261"/>
      <c r="B109" s="304" t="str">
        <f>'Capacity inputs'!I12</f>
        <v>Abemaciclib + ET</v>
      </c>
      <c r="C109" s="137">
        <f>'Capacity inputs'!F18</f>
        <v>2</v>
      </c>
      <c r="D109" s="116">
        <f>D75*'Capacity inputs'!$I18</f>
        <v>0</v>
      </c>
      <c r="E109" s="116">
        <f>E75*'Capacity inputs'!$I18</f>
        <v>0</v>
      </c>
      <c r="F109" s="116">
        <f>F75*'Capacity inputs'!$I18</f>
        <v>0</v>
      </c>
      <c r="G109" s="116">
        <f>G75*'Capacity inputs'!$I18</f>
        <v>0</v>
      </c>
      <c r="H109" s="116">
        <f>H75*'Capacity inputs'!$I18</f>
        <v>0</v>
      </c>
      <c r="I109" s="116">
        <f>I75*'Capacity inputs'!$I18</f>
        <v>0</v>
      </c>
      <c r="J109" s="261"/>
      <c r="K109" s="261"/>
      <c r="L109" s="261"/>
      <c r="M109" s="261"/>
      <c r="N109" s="261"/>
      <c r="O109" s="261"/>
      <c r="P109" s="261"/>
      <c r="Q109" s="261"/>
      <c r="R109" s="121"/>
      <c r="V109" s="121"/>
    </row>
    <row r="110" spans="1:40" x14ac:dyDescent="0.3">
      <c r="A110" s="261"/>
      <c r="B110" s="252"/>
      <c r="C110" s="187"/>
      <c r="D110" s="168">
        <f t="shared" ref="D110:I110" si="48">SUM(D107:D109)</f>
        <v>0</v>
      </c>
      <c r="E110" s="168">
        <f t="shared" si="48"/>
        <v>0</v>
      </c>
      <c r="F110" s="168">
        <f t="shared" si="48"/>
        <v>0</v>
      </c>
      <c r="G110" s="168">
        <f t="shared" si="48"/>
        <v>0</v>
      </c>
      <c r="H110" s="168">
        <f t="shared" si="48"/>
        <v>0</v>
      </c>
      <c r="I110" s="168">
        <f t="shared" si="48"/>
        <v>0</v>
      </c>
      <c r="J110" s="261"/>
      <c r="K110" s="261"/>
      <c r="L110" s="261"/>
      <c r="M110" s="261"/>
      <c r="N110" s="261"/>
      <c r="O110" s="261"/>
      <c r="P110" s="261"/>
      <c r="Q110" s="261"/>
      <c r="R110" s="121"/>
      <c r="V110" s="121"/>
    </row>
    <row r="111" spans="1:40" x14ac:dyDescent="0.3">
      <c r="A111" s="261"/>
      <c r="B111" s="279"/>
      <c r="C111" s="201"/>
      <c r="D111" s="257" t="s">
        <v>2211</v>
      </c>
      <c r="E111" s="168">
        <f>E110-$D$110</f>
        <v>0</v>
      </c>
      <c r="F111" s="168">
        <f>F110-$D$110</f>
        <v>0</v>
      </c>
      <c r="G111" s="168">
        <f>G110-$D$110</f>
        <v>0</v>
      </c>
      <c r="H111" s="168">
        <f>H110-$D$110</f>
        <v>0</v>
      </c>
      <c r="I111" s="168">
        <f>I110-$D$110</f>
        <v>0</v>
      </c>
      <c r="J111" s="261"/>
      <c r="K111" s="261"/>
      <c r="L111" s="261"/>
      <c r="M111" s="261"/>
      <c r="N111" s="261"/>
      <c r="O111" s="261"/>
      <c r="P111" s="261"/>
      <c r="Q111" s="261"/>
      <c r="R111" s="121"/>
      <c r="V111" s="121"/>
    </row>
    <row r="112" spans="1:40" x14ac:dyDescent="0.3">
      <c r="A112" s="261"/>
      <c r="B112" s="292"/>
      <c r="C112" s="875"/>
      <c r="D112" s="198"/>
      <c r="E112" s="198"/>
      <c r="F112" s="198"/>
      <c r="G112" s="198"/>
      <c r="H112" s="198"/>
      <c r="I112" s="198"/>
      <c r="J112" s="198"/>
      <c r="K112" s="198"/>
      <c r="L112" s="198"/>
      <c r="M112" s="198"/>
      <c r="N112" s="198"/>
      <c r="O112" s="198"/>
      <c r="P112" s="198"/>
      <c r="Q112" s="198"/>
      <c r="R112" s="121"/>
      <c r="S112" s="121"/>
      <c r="T112" s="121"/>
      <c r="U112" s="121"/>
      <c r="V112" s="121"/>
      <c r="W112" s="121"/>
      <c r="X112" s="121"/>
      <c r="Y112" s="121"/>
      <c r="Z112" s="121"/>
      <c r="AJ112" s="258"/>
      <c r="AK112" s="258"/>
      <c r="AL112" s="258"/>
      <c r="AM112" s="258"/>
      <c r="AN112" s="258"/>
    </row>
    <row r="113" spans="1:40" x14ac:dyDescent="0.3">
      <c r="A113" s="262"/>
      <c r="B113" s="293" t="s">
        <v>2212</v>
      </c>
      <c r="C113" s="281"/>
      <c r="D113" s="282"/>
      <c r="E113" s="283"/>
      <c r="F113" s="284"/>
      <c r="G113" s="284"/>
      <c r="H113" s="284"/>
      <c r="I113" s="368"/>
      <c r="J113" s="262"/>
      <c r="K113" s="262"/>
      <c r="L113" s="262"/>
      <c r="M113" s="262"/>
      <c r="N113" s="262"/>
      <c r="O113" s="262"/>
      <c r="P113" s="262"/>
      <c r="Q113" s="200"/>
      <c r="R113" s="121"/>
      <c r="S113" s="121"/>
      <c r="T113" s="121"/>
      <c r="U113" s="121"/>
      <c r="V113" s="121"/>
      <c r="W113" s="121"/>
      <c r="X113" s="121"/>
      <c r="Y113" s="121"/>
      <c r="Z113" s="121"/>
      <c r="AJ113" s="258"/>
      <c r="AK113" s="258"/>
      <c r="AL113" s="258"/>
      <c r="AM113" s="258"/>
      <c r="AN113" s="258"/>
    </row>
    <row r="114" spans="1:40" x14ac:dyDescent="0.3">
      <c r="A114" s="262"/>
      <c r="B114" s="344" t="s">
        <v>2213</v>
      </c>
      <c r="C114" s="345"/>
      <c r="D114" s="345"/>
      <c r="E114" s="345"/>
      <c r="F114" s="345"/>
      <c r="G114" s="345"/>
      <c r="H114" s="345"/>
      <c r="I114" s="199"/>
      <c r="J114" s="200"/>
      <c r="K114" s="262"/>
      <c r="L114" s="262"/>
      <c r="M114" s="262"/>
      <c r="N114" s="262"/>
      <c r="O114" s="262"/>
      <c r="P114" s="262"/>
      <c r="Q114" s="200"/>
      <c r="R114" s="121"/>
      <c r="S114" s="121"/>
      <c r="T114" s="121"/>
      <c r="U114" s="121"/>
      <c r="V114" s="121"/>
      <c r="W114" s="121"/>
      <c r="X114" s="121"/>
      <c r="Y114" s="121"/>
      <c r="Z114" s="121"/>
      <c r="AJ114" s="258"/>
      <c r="AK114" s="258"/>
      <c r="AL114" s="258"/>
      <c r="AM114" s="258"/>
      <c r="AN114" s="258"/>
    </row>
    <row r="115" spans="1:40" ht="43.2" x14ac:dyDescent="0.3">
      <c r="A115" s="262"/>
      <c r="B115" s="251" t="s">
        <v>2084</v>
      </c>
      <c r="C115" s="153" t="s">
        <v>2186</v>
      </c>
      <c r="D115" s="844" t="s">
        <v>2162</v>
      </c>
      <c r="E115" s="229" t="s">
        <v>1896</v>
      </c>
      <c r="F115" s="229" t="s">
        <v>1897</v>
      </c>
      <c r="G115" s="152" t="s">
        <v>2130</v>
      </c>
      <c r="H115" s="152" t="s">
        <v>2131</v>
      </c>
      <c r="I115" s="229" t="s">
        <v>2132</v>
      </c>
      <c r="J115" s="262"/>
      <c r="K115" s="262"/>
      <c r="L115" s="262"/>
      <c r="M115" s="262"/>
      <c r="N115" s="262"/>
      <c r="O115" s="262"/>
      <c r="P115" s="262"/>
      <c r="Q115" s="200"/>
      <c r="R115" s="121"/>
      <c r="S115" s="121"/>
      <c r="T115" s="121"/>
      <c r="U115" s="121"/>
      <c r="V115" s="121"/>
      <c r="W115" s="121"/>
      <c r="X115" s="121"/>
      <c r="Y115" s="121"/>
      <c r="Z115" s="121"/>
      <c r="AJ115" s="258"/>
      <c r="AK115" s="258"/>
      <c r="AL115" s="258"/>
      <c r="AM115" s="258"/>
      <c r="AN115" s="258"/>
    </row>
    <row r="116" spans="1:40" x14ac:dyDescent="0.3">
      <c r="A116" s="262"/>
      <c r="B116" s="303" t="s">
        <v>2192</v>
      </c>
      <c r="C116" s="137">
        <f>'Capacity inputs'!$G$19</f>
        <v>2</v>
      </c>
      <c r="D116" s="116">
        <f>$C116*'Financial impact (cash)'!D13</f>
        <v>0</v>
      </c>
      <c r="E116" s="116">
        <f>$C116*'Financial impact (cash)'!E13</f>
        <v>6884.409021273018</v>
      </c>
      <c r="F116" s="116">
        <f>$C116*'Financial impact (cash)'!F13</f>
        <v>7937.0612779279681</v>
      </c>
      <c r="G116" s="116">
        <f>$C116*'Financial impact (cash)'!G13</f>
        <v>8674.0707633694346</v>
      </c>
      <c r="H116" s="116">
        <f>$C116*'Financial impact (cash)'!H13</f>
        <v>8750.3229535835999</v>
      </c>
      <c r="I116" s="116">
        <f>$C116*'Financial impact (cash)'!I13</f>
        <v>8827.2454630366865</v>
      </c>
      <c r="J116" s="262"/>
      <c r="K116" s="262"/>
      <c r="L116" s="262"/>
      <c r="M116" s="262"/>
      <c r="N116" s="262"/>
      <c r="O116" s="262"/>
      <c r="P116" s="262"/>
      <c r="Q116" s="200"/>
      <c r="R116" s="121"/>
      <c r="S116" s="121"/>
      <c r="T116" s="121"/>
      <c r="U116" s="121"/>
      <c r="V116" s="121"/>
      <c r="W116" s="121"/>
      <c r="X116" s="121"/>
      <c r="Y116" s="121"/>
      <c r="Z116" s="121"/>
      <c r="AJ116" s="258"/>
      <c r="AK116" s="258"/>
      <c r="AL116" s="258"/>
      <c r="AM116" s="258"/>
      <c r="AN116" s="258"/>
    </row>
    <row r="117" spans="1:40" x14ac:dyDescent="0.3">
      <c r="A117" s="262"/>
      <c r="B117" s="303" t="s">
        <v>2167</v>
      </c>
      <c r="C117" s="137">
        <f>'Capacity inputs'!$H$19</f>
        <v>0</v>
      </c>
      <c r="D117" s="116">
        <f>$C117*'Financial impact (cash)'!D16</f>
        <v>0</v>
      </c>
      <c r="E117" s="116">
        <f>$C117*'Financial impact (cash)'!E16</f>
        <v>0</v>
      </c>
      <c r="F117" s="116">
        <f>$C117*'Financial impact (cash)'!F16</f>
        <v>0</v>
      </c>
      <c r="G117" s="116">
        <f>$C117*'Financial impact (cash)'!G16</f>
        <v>0</v>
      </c>
      <c r="H117" s="116">
        <f>$C117*'Financial impact (cash)'!H16</f>
        <v>0</v>
      </c>
      <c r="I117" s="116">
        <f>$C117*'Financial impact (cash)'!I16</f>
        <v>0</v>
      </c>
      <c r="J117" s="262"/>
      <c r="K117" s="262"/>
      <c r="L117" s="262"/>
      <c r="M117" s="262"/>
      <c r="N117" s="262"/>
      <c r="O117" s="262"/>
      <c r="P117" s="262"/>
      <c r="Q117" s="200"/>
      <c r="R117" s="121"/>
      <c r="S117" s="121"/>
      <c r="T117" s="121"/>
      <c r="U117" s="121"/>
      <c r="V117" s="121"/>
      <c r="W117" s="121"/>
      <c r="X117" s="121"/>
      <c r="Y117" s="121"/>
      <c r="Z117" s="121"/>
      <c r="AJ117" s="258"/>
      <c r="AK117" s="258"/>
      <c r="AL117" s="258"/>
      <c r="AM117" s="258"/>
      <c r="AN117" s="258"/>
    </row>
    <row r="118" spans="1:40" x14ac:dyDescent="0.3">
      <c r="A118" s="262"/>
      <c r="B118" s="303" t="s">
        <v>2168</v>
      </c>
      <c r="C118" s="137">
        <f>'Capacity inputs'!$H$19</f>
        <v>0</v>
      </c>
      <c r="D118" s="116">
        <f>$C118*'Financial impact (cash)'!D17</f>
        <v>0</v>
      </c>
      <c r="E118" s="116">
        <f>$C118*'Financial impact (cash)'!E17</f>
        <v>0</v>
      </c>
      <c r="F118" s="116">
        <f>$C118*'Financial impact (cash)'!F17</f>
        <v>0</v>
      </c>
      <c r="G118" s="116">
        <f>$C118*'Financial impact (cash)'!G17</f>
        <v>0</v>
      </c>
      <c r="H118" s="116">
        <f>$C118*'Financial impact (cash)'!H17</f>
        <v>0</v>
      </c>
      <c r="I118" s="116">
        <f>$C118*'Financial impact (cash)'!I17</f>
        <v>0</v>
      </c>
      <c r="J118" s="262"/>
      <c r="K118" s="262"/>
      <c r="L118" s="262"/>
      <c r="M118" s="262"/>
      <c r="N118" s="262"/>
      <c r="O118" s="262"/>
      <c r="P118" s="262"/>
      <c r="Q118" s="200"/>
      <c r="R118" s="121"/>
      <c r="S118" s="121"/>
      <c r="T118" s="121"/>
      <c r="U118" s="121"/>
      <c r="V118" s="121"/>
      <c r="W118" s="121"/>
      <c r="X118" s="121"/>
      <c r="Y118" s="121"/>
      <c r="Z118" s="121"/>
      <c r="AJ118" s="258"/>
      <c r="AK118" s="258"/>
      <c r="AL118" s="258"/>
      <c r="AM118" s="258"/>
      <c r="AN118" s="258"/>
    </row>
    <row r="119" spans="1:40" x14ac:dyDescent="0.3">
      <c r="A119" s="262"/>
      <c r="B119" s="303" t="s">
        <v>2169</v>
      </c>
      <c r="C119" s="137">
        <f>'Capacity inputs'!$H$19</f>
        <v>0</v>
      </c>
      <c r="D119" s="116">
        <f>$C119*'Financial impact (cash)'!D18</f>
        <v>0</v>
      </c>
      <c r="E119" s="116">
        <f>$C119*'Financial impact (cash)'!E18</f>
        <v>0</v>
      </c>
      <c r="F119" s="116">
        <f>$C119*'Financial impact (cash)'!F18</f>
        <v>0</v>
      </c>
      <c r="G119" s="116">
        <f>$C119*'Financial impact (cash)'!G18</f>
        <v>0</v>
      </c>
      <c r="H119" s="116">
        <f>$C119*'Financial impact (cash)'!H18</f>
        <v>0</v>
      </c>
      <c r="I119" s="116">
        <f>$C119*'Financial impact (cash)'!I18</f>
        <v>0</v>
      </c>
      <c r="J119" s="262"/>
      <c r="K119" s="262"/>
      <c r="L119" s="262"/>
      <c r="M119" s="262"/>
      <c r="N119" s="262"/>
      <c r="O119" s="262"/>
      <c r="P119" s="262"/>
      <c r="Q119" s="200"/>
      <c r="R119" s="121"/>
      <c r="S119" s="121"/>
      <c r="T119" s="121"/>
      <c r="U119" s="121"/>
      <c r="V119" s="121"/>
      <c r="W119" s="121"/>
      <c r="X119" s="121"/>
      <c r="Y119" s="121"/>
      <c r="Z119" s="121"/>
      <c r="AJ119" s="258"/>
      <c r="AK119" s="258"/>
      <c r="AL119" s="258"/>
      <c r="AM119" s="258"/>
      <c r="AN119" s="258"/>
    </row>
    <row r="120" spans="1:40" x14ac:dyDescent="0.3">
      <c r="A120" s="262"/>
      <c r="B120" s="303" t="s">
        <v>2170</v>
      </c>
      <c r="C120" s="137">
        <f>'Capacity inputs'!$H$19</f>
        <v>0</v>
      </c>
      <c r="D120" s="116">
        <f>$C120*'Financial impact (cash)'!D19</f>
        <v>0</v>
      </c>
      <c r="E120" s="116">
        <f>$C120*'Financial impact (cash)'!E19</f>
        <v>0</v>
      </c>
      <c r="F120" s="116">
        <f>$C120*'Financial impact (cash)'!F19</f>
        <v>0</v>
      </c>
      <c r="G120" s="116">
        <f>$C120*'Financial impact (cash)'!G19</f>
        <v>0</v>
      </c>
      <c r="H120" s="116">
        <f>$C120*'Financial impact (cash)'!H19</f>
        <v>0</v>
      </c>
      <c r="I120" s="116">
        <f>$C120*'Financial impact (cash)'!I19</f>
        <v>0</v>
      </c>
      <c r="J120" s="262"/>
      <c r="K120" s="262"/>
      <c r="L120" s="262"/>
      <c r="M120" s="262"/>
      <c r="N120" s="262"/>
      <c r="O120" s="262"/>
      <c r="P120" s="262"/>
      <c r="Q120" s="200"/>
      <c r="R120" s="121"/>
      <c r="S120" s="121"/>
      <c r="T120" s="121"/>
      <c r="U120" s="121"/>
      <c r="V120" s="121"/>
      <c r="W120" s="121"/>
      <c r="X120" s="121"/>
      <c r="Y120" s="121"/>
      <c r="Z120" s="121"/>
      <c r="AJ120" s="258"/>
      <c r="AK120" s="258"/>
      <c r="AL120" s="258"/>
      <c r="AM120" s="258"/>
      <c r="AN120" s="258"/>
    </row>
    <row r="121" spans="1:40" x14ac:dyDescent="0.3">
      <c r="A121" s="262"/>
      <c r="B121" s="303" t="s">
        <v>2171</v>
      </c>
      <c r="C121" s="137">
        <f>'Capacity inputs'!$H$19</f>
        <v>0</v>
      </c>
      <c r="D121" s="116">
        <f>$C121*'Financial impact (cash)'!D20</f>
        <v>0</v>
      </c>
      <c r="E121" s="116">
        <f>$C121*'Financial impact (cash)'!E20</f>
        <v>0</v>
      </c>
      <c r="F121" s="116">
        <f>$C121*'Financial impact (cash)'!F20</f>
        <v>0</v>
      </c>
      <c r="G121" s="116">
        <f>$C121*'Financial impact (cash)'!G20</f>
        <v>0</v>
      </c>
      <c r="H121" s="116">
        <f>$C121*'Financial impact (cash)'!H20</f>
        <v>0</v>
      </c>
      <c r="I121" s="116">
        <f>$C121*'Financial impact (cash)'!I20</f>
        <v>0</v>
      </c>
      <c r="J121" s="262"/>
      <c r="K121" s="262"/>
      <c r="L121" s="262"/>
      <c r="M121" s="262"/>
      <c r="N121" s="262"/>
      <c r="O121" s="262"/>
      <c r="P121" s="262"/>
      <c r="Q121" s="200"/>
      <c r="R121" s="121"/>
      <c r="S121" s="121"/>
      <c r="T121" s="121"/>
      <c r="U121" s="121"/>
      <c r="V121" s="121"/>
      <c r="W121" s="121"/>
      <c r="X121" s="121"/>
      <c r="Y121" s="121"/>
      <c r="Z121" s="121"/>
      <c r="AJ121" s="258"/>
      <c r="AK121" s="258"/>
      <c r="AL121" s="258"/>
      <c r="AM121" s="258"/>
      <c r="AN121" s="258"/>
    </row>
    <row r="122" spans="1:40" x14ac:dyDescent="0.3">
      <c r="A122" s="262"/>
      <c r="B122" s="303" t="s">
        <v>2172</v>
      </c>
      <c r="C122" s="137">
        <f>'Capacity inputs'!$I$19</f>
        <v>0</v>
      </c>
      <c r="D122" s="116">
        <f>$C122*'Financial impact (cash)'!D21</f>
        <v>0</v>
      </c>
      <c r="E122" s="116">
        <f>$C122*'Financial impact (cash)'!E21</f>
        <v>0</v>
      </c>
      <c r="F122" s="116">
        <f>$C122*'Financial impact (cash)'!F21</f>
        <v>0</v>
      </c>
      <c r="G122" s="116">
        <f>$C122*'Financial impact (cash)'!G21</f>
        <v>0</v>
      </c>
      <c r="H122" s="116">
        <f>$C122*'Financial impact (cash)'!H21</f>
        <v>0</v>
      </c>
      <c r="I122" s="116">
        <f>$C122*'Financial impact (cash)'!I21</f>
        <v>0</v>
      </c>
      <c r="J122" s="262"/>
      <c r="K122" s="262"/>
      <c r="L122" s="262"/>
      <c r="M122" s="262"/>
      <c r="N122" s="262"/>
      <c r="O122" s="262"/>
      <c r="P122" s="262"/>
      <c r="Q122" s="200"/>
      <c r="R122" s="121"/>
      <c r="S122" s="121"/>
      <c r="T122" s="121"/>
      <c r="U122" s="121"/>
      <c r="V122" s="121"/>
      <c r="W122" s="121"/>
      <c r="X122" s="121"/>
      <c r="Y122" s="121"/>
      <c r="Z122" s="121"/>
      <c r="AJ122" s="258"/>
      <c r="AK122" s="258"/>
      <c r="AL122" s="258"/>
      <c r="AM122" s="258"/>
      <c r="AN122" s="258"/>
    </row>
    <row r="123" spans="1:40" x14ac:dyDescent="0.3">
      <c r="A123" s="262"/>
      <c r="B123" s="252"/>
      <c r="C123" s="187"/>
      <c r="D123" s="168">
        <f t="shared" ref="D123:I123" si="49">SUM(D116:D122)</f>
        <v>0</v>
      </c>
      <c r="E123" s="168">
        <f t="shared" si="49"/>
        <v>6884.409021273018</v>
      </c>
      <c r="F123" s="168">
        <f t="shared" si="49"/>
        <v>7937.0612779279681</v>
      </c>
      <c r="G123" s="168">
        <f t="shared" si="49"/>
        <v>8674.0707633694346</v>
      </c>
      <c r="H123" s="168">
        <f t="shared" si="49"/>
        <v>8750.3229535835999</v>
      </c>
      <c r="I123" s="168">
        <f t="shared" si="49"/>
        <v>8827.2454630366865</v>
      </c>
      <c r="J123" s="262"/>
      <c r="K123" s="262"/>
      <c r="L123" s="262"/>
      <c r="M123" s="262"/>
      <c r="N123" s="262"/>
      <c r="O123" s="262"/>
      <c r="P123" s="262"/>
      <c r="Q123" s="200"/>
      <c r="R123" s="121"/>
      <c r="S123" s="121"/>
      <c r="T123" s="121"/>
      <c r="U123" s="121"/>
      <c r="V123" s="121"/>
      <c r="W123" s="121"/>
      <c r="X123" s="121"/>
      <c r="Y123" s="121"/>
      <c r="Z123" s="121"/>
      <c r="AJ123" s="258"/>
      <c r="AK123" s="258"/>
      <c r="AL123" s="258"/>
      <c r="AM123" s="258"/>
      <c r="AN123" s="258"/>
    </row>
    <row r="124" spans="1:40" x14ac:dyDescent="0.3">
      <c r="A124" s="262"/>
      <c r="B124" s="279"/>
      <c r="C124" s="230"/>
      <c r="D124" s="257" t="s">
        <v>2214</v>
      </c>
      <c r="E124" s="168">
        <f>E123-$D$123</f>
        <v>6884.409021273018</v>
      </c>
      <c r="F124" s="168">
        <f>F123-$D$123</f>
        <v>7937.0612779279681</v>
      </c>
      <c r="G124" s="168">
        <f>G123-$D$123</f>
        <v>8674.0707633694346</v>
      </c>
      <c r="H124" s="168">
        <f>H123-$D$123</f>
        <v>8750.3229535835999</v>
      </c>
      <c r="I124" s="168">
        <f>I123-$D$123</f>
        <v>8827.2454630366865</v>
      </c>
      <c r="J124" s="262"/>
      <c r="K124" s="262"/>
      <c r="L124" s="262"/>
      <c r="M124" s="262"/>
      <c r="N124" s="262"/>
      <c r="O124" s="262"/>
      <c r="P124" s="262"/>
      <c r="Q124" s="200"/>
      <c r="R124" s="121"/>
      <c r="V124" s="121"/>
    </row>
    <row r="125" spans="1:40" x14ac:dyDescent="0.3">
      <c r="A125" s="262"/>
      <c r="B125" s="294"/>
      <c r="C125" s="200"/>
      <c r="D125" s="200"/>
      <c r="E125" s="200"/>
      <c r="F125" s="200"/>
      <c r="G125" s="200"/>
      <c r="H125" s="200"/>
      <c r="I125" s="200"/>
      <c r="J125" s="262"/>
      <c r="K125" s="262"/>
      <c r="L125" s="262"/>
      <c r="M125" s="262"/>
      <c r="N125" s="262"/>
      <c r="O125" s="262"/>
      <c r="P125" s="262"/>
      <c r="Q125" s="200"/>
      <c r="R125" s="121"/>
      <c r="V125" s="121"/>
    </row>
    <row r="126" spans="1:40" x14ac:dyDescent="0.3">
      <c r="A126" s="262"/>
      <c r="B126" s="344" t="s">
        <v>2215</v>
      </c>
      <c r="C126" s="345"/>
      <c r="D126" s="345"/>
      <c r="E126" s="345"/>
      <c r="F126" s="345"/>
      <c r="G126" s="345"/>
      <c r="H126" s="345"/>
      <c r="I126" s="199"/>
      <c r="J126" s="262"/>
      <c r="K126" s="262"/>
      <c r="L126" s="262"/>
      <c r="M126" s="262"/>
      <c r="N126" s="262"/>
      <c r="O126" s="262"/>
      <c r="P126" s="262"/>
      <c r="Q126" s="200"/>
      <c r="R126" s="121"/>
      <c r="S126" s="121"/>
      <c r="T126" s="121"/>
      <c r="U126" s="121"/>
      <c r="V126" s="121"/>
      <c r="W126" s="121"/>
      <c r="X126" s="121"/>
      <c r="Y126" s="121"/>
      <c r="Z126" s="121"/>
      <c r="AJ126" s="258"/>
      <c r="AK126" s="258"/>
      <c r="AL126" s="258"/>
      <c r="AM126" s="258"/>
      <c r="AN126" s="258"/>
    </row>
    <row r="127" spans="1:40" ht="43.2" x14ac:dyDescent="0.3">
      <c r="A127" s="262"/>
      <c r="B127" s="251" t="s">
        <v>2084</v>
      </c>
      <c r="C127" s="153" t="s">
        <v>2186</v>
      </c>
      <c r="D127" s="844" t="s">
        <v>2162</v>
      </c>
      <c r="E127" s="229" t="s">
        <v>1896</v>
      </c>
      <c r="F127" s="229" t="s">
        <v>1897</v>
      </c>
      <c r="G127" s="152" t="s">
        <v>2130</v>
      </c>
      <c r="H127" s="152" t="s">
        <v>2131</v>
      </c>
      <c r="I127" s="229" t="s">
        <v>2132</v>
      </c>
      <c r="J127" s="262"/>
      <c r="K127" s="262"/>
      <c r="L127" s="262"/>
      <c r="M127" s="262"/>
      <c r="N127" s="262"/>
      <c r="O127" s="262"/>
      <c r="P127" s="262"/>
      <c r="Q127" s="200"/>
      <c r="R127" s="121"/>
      <c r="S127" s="121"/>
      <c r="T127" s="121"/>
      <c r="U127" s="121"/>
      <c r="V127" s="121"/>
      <c r="W127" s="121"/>
      <c r="X127" s="121"/>
      <c r="Y127" s="121"/>
      <c r="Z127" s="121"/>
      <c r="AJ127" s="258"/>
      <c r="AK127" s="258"/>
      <c r="AL127" s="258"/>
      <c r="AM127" s="258"/>
      <c r="AN127" s="258"/>
    </row>
    <row r="128" spans="1:40" x14ac:dyDescent="0.3">
      <c r="A128" s="262"/>
      <c r="B128" s="303" t="s">
        <v>2192</v>
      </c>
      <c r="C128" s="137">
        <f>'Capacity inputs'!$G$20</f>
        <v>9</v>
      </c>
      <c r="D128" s="116">
        <f>'Financial impact (cash)'!D13*'Capacity (local prices)'!$C128</f>
        <v>0</v>
      </c>
      <c r="E128" s="116">
        <f>'Financial impact (cash)'!E13*'Capacity (local prices)'!$C128</f>
        <v>30979.84059572858</v>
      </c>
      <c r="F128" s="116">
        <f>'Financial impact (cash)'!F13*'Capacity (local prices)'!$C128</f>
        <v>35716.775750675857</v>
      </c>
      <c r="G128" s="116">
        <f>'Financial impact (cash)'!G13*'Capacity (local prices)'!$C128</f>
        <v>39033.318435162459</v>
      </c>
      <c r="H128" s="116">
        <f>'Financial impact (cash)'!H13*'Capacity (local prices)'!$C128</f>
        <v>39376.453291126199</v>
      </c>
      <c r="I128" s="116">
        <f>'Financial impact (cash)'!I13*'Capacity (local prices)'!$C128</f>
        <v>39722.604583665088</v>
      </c>
      <c r="J128" s="262"/>
      <c r="K128" s="262"/>
      <c r="L128" s="262"/>
      <c r="M128" s="262"/>
      <c r="N128" s="262"/>
      <c r="O128" s="262"/>
      <c r="P128" s="262"/>
      <c r="Q128" s="200"/>
      <c r="R128" s="121"/>
      <c r="S128" s="121"/>
      <c r="T128" s="121"/>
      <c r="U128" s="121"/>
      <c r="V128" s="121"/>
      <c r="W128" s="121"/>
      <c r="X128" s="121"/>
      <c r="Y128" s="121"/>
      <c r="Z128" s="121"/>
      <c r="AJ128" s="258"/>
      <c r="AK128" s="258"/>
      <c r="AL128" s="258"/>
      <c r="AM128" s="258"/>
      <c r="AN128" s="258"/>
    </row>
    <row r="129" spans="1:40" x14ac:dyDescent="0.3">
      <c r="A129" s="262"/>
      <c r="B129" s="303" t="s">
        <v>2167</v>
      </c>
      <c r="C129" s="137">
        <f>'Capacity inputs'!$H$20</f>
        <v>0</v>
      </c>
      <c r="D129" s="116">
        <f>'Financial impact (cash)'!D16*'Capacity (local prices)'!$C129</f>
        <v>0</v>
      </c>
      <c r="E129" s="116">
        <f>'Financial impact (cash)'!E16*'Capacity (local prices)'!$C129</f>
        <v>0</v>
      </c>
      <c r="F129" s="116">
        <f>'Financial impact (cash)'!F16*'Capacity (local prices)'!$C129</f>
        <v>0</v>
      </c>
      <c r="G129" s="116">
        <f>'Financial impact (cash)'!G16*'Capacity (local prices)'!$C129</f>
        <v>0</v>
      </c>
      <c r="H129" s="116">
        <f>'Financial impact (cash)'!H16*'Capacity (local prices)'!$C129</f>
        <v>0</v>
      </c>
      <c r="I129" s="116">
        <f>'Financial impact (cash)'!I16*'Capacity (local prices)'!$C129</f>
        <v>0</v>
      </c>
      <c r="J129" s="262"/>
      <c r="K129" s="262"/>
      <c r="L129" s="262"/>
      <c r="M129" s="262"/>
      <c r="N129" s="262"/>
      <c r="O129" s="262"/>
      <c r="P129" s="262"/>
      <c r="Q129" s="200"/>
      <c r="R129" s="121"/>
      <c r="S129" s="121"/>
      <c r="T129" s="121"/>
      <c r="U129" s="121"/>
      <c r="V129" s="121"/>
      <c r="W129" s="121"/>
      <c r="X129" s="121"/>
      <c r="Y129" s="121"/>
      <c r="Z129" s="121"/>
      <c r="AJ129" s="258"/>
      <c r="AK129" s="258"/>
      <c r="AL129" s="258"/>
      <c r="AM129" s="258"/>
      <c r="AN129" s="258"/>
    </row>
    <row r="130" spans="1:40" x14ac:dyDescent="0.3">
      <c r="A130" s="262"/>
      <c r="B130" s="303" t="s">
        <v>2168</v>
      </c>
      <c r="C130" s="137">
        <f>'Capacity inputs'!$H$20</f>
        <v>0</v>
      </c>
      <c r="D130" s="116">
        <f>'Financial impact (cash)'!D17*'Capacity (local prices)'!$C130</f>
        <v>0</v>
      </c>
      <c r="E130" s="116">
        <f>'Financial impact (cash)'!E17*'Capacity (local prices)'!$C130</f>
        <v>0</v>
      </c>
      <c r="F130" s="116">
        <f>'Financial impact (cash)'!F17*'Capacity (local prices)'!$C130</f>
        <v>0</v>
      </c>
      <c r="G130" s="116">
        <f>'Financial impact (cash)'!G17*'Capacity (local prices)'!$C130</f>
        <v>0</v>
      </c>
      <c r="H130" s="116">
        <f>'Financial impact (cash)'!H17*'Capacity (local prices)'!$C130</f>
        <v>0</v>
      </c>
      <c r="I130" s="116">
        <f>'Financial impact (cash)'!I17*'Capacity (local prices)'!$C130</f>
        <v>0</v>
      </c>
      <c r="J130" s="262"/>
      <c r="K130" s="262"/>
      <c r="L130" s="262"/>
      <c r="M130" s="262"/>
      <c r="N130" s="262"/>
      <c r="O130" s="262"/>
      <c r="P130" s="262"/>
      <c r="Q130" s="200"/>
      <c r="R130" s="121"/>
      <c r="S130" s="121"/>
      <c r="T130" s="121"/>
      <c r="U130" s="121"/>
      <c r="V130" s="121"/>
      <c r="W130" s="121"/>
      <c r="X130" s="121"/>
      <c r="Y130" s="121"/>
      <c r="Z130" s="121"/>
      <c r="AJ130" s="258"/>
      <c r="AK130" s="258"/>
      <c r="AL130" s="258"/>
      <c r="AM130" s="258"/>
      <c r="AN130" s="258"/>
    </row>
    <row r="131" spans="1:40" x14ac:dyDescent="0.3">
      <c r="A131" s="262"/>
      <c r="B131" s="303" t="s">
        <v>2169</v>
      </c>
      <c r="C131" s="137">
        <f>'Capacity inputs'!$H$20</f>
        <v>0</v>
      </c>
      <c r="D131" s="116">
        <f>'Financial impact (cash)'!D18*'Capacity (local prices)'!$C131</f>
        <v>0</v>
      </c>
      <c r="E131" s="116">
        <f>'Financial impact (cash)'!E18*'Capacity (local prices)'!$C131</f>
        <v>0</v>
      </c>
      <c r="F131" s="116">
        <f>'Financial impact (cash)'!F18*'Capacity (local prices)'!$C131</f>
        <v>0</v>
      </c>
      <c r="G131" s="116">
        <f>'Financial impact (cash)'!G18*'Capacity (local prices)'!$C131</f>
        <v>0</v>
      </c>
      <c r="H131" s="116">
        <f>'Financial impact (cash)'!H18*'Capacity (local prices)'!$C131</f>
        <v>0</v>
      </c>
      <c r="I131" s="116">
        <f>'Financial impact (cash)'!I18*'Capacity (local prices)'!$C131</f>
        <v>0</v>
      </c>
      <c r="J131" s="262"/>
      <c r="K131" s="262"/>
      <c r="L131" s="262"/>
      <c r="M131" s="262"/>
      <c r="N131" s="262"/>
      <c r="O131" s="262"/>
      <c r="P131" s="262"/>
      <c r="Q131" s="200"/>
      <c r="R131" s="121"/>
      <c r="S131" s="121"/>
      <c r="T131" s="121"/>
      <c r="U131" s="121"/>
      <c r="V131" s="121"/>
      <c r="W131" s="121"/>
      <c r="X131" s="121"/>
      <c r="Y131" s="121"/>
      <c r="Z131" s="121"/>
      <c r="AJ131" s="258"/>
      <c r="AK131" s="258"/>
      <c r="AL131" s="258"/>
      <c r="AM131" s="258"/>
      <c r="AN131" s="258"/>
    </row>
    <row r="132" spans="1:40" x14ac:dyDescent="0.3">
      <c r="A132" s="262"/>
      <c r="B132" s="303" t="s">
        <v>2170</v>
      </c>
      <c r="C132" s="137">
        <f>'Capacity inputs'!$H$20</f>
        <v>0</v>
      </c>
      <c r="D132" s="116">
        <f>'Financial impact (cash)'!D19*'Capacity (local prices)'!$C132</f>
        <v>0</v>
      </c>
      <c r="E132" s="116">
        <f>'Financial impact (cash)'!E19*'Capacity (local prices)'!$C132</f>
        <v>0</v>
      </c>
      <c r="F132" s="116">
        <f>'Financial impact (cash)'!F19*'Capacity (local prices)'!$C132</f>
        <v>0</v>
      </c>
      <c r="G132" s="116">
        <f>'Financial impact (cash)'!G19*'Capacity (local prices)'!$C132</f>
        <v>0</v>
      </c>
      <c r="H132" s="116">
        <f>'Financial impact (cash)'!H19*'Capacity (local prices)'!$C132</f>
        <v>0</v>
      </c>
      <c r="I132" s="116">
        <f>'Financial impact (cash)'!I19*'Capacity (local prices)'!$C132</f>
        <v>0</v>
      </c>
      <c r="J132" s="262"/>
      <c r="K132" s="262"/>
      <c r="L132" s="262"/>
      <c r="M132" s="262"/>
      <c r="N132" s="262"/>
      <c r="O132" s="262"/>
      <c r="P132" s="262"/>
      <c r="Q132" s="200"/>
      <c r="R132" s="121"/>
      <c r="S132" s="121"/>
      <c r="T132" s="121"/>
      <c r="U132" s="121"/>
      <c r="V132" s="121"/>
      <c r="W132" s="121"/>
      <c r="X132" s="121"/>
      <c r="Y132" s="121"/>
      <c r="Z132" s="121"/>
      <c r="AJ132" s="258"/>
      <c r="AK132" s="258"/>
      <c r="AL132" s="258"/>
      <c r="AM132" s="258"/>
      <c r="AN132" s="258"/>
    </row>
    <row r="133" spans="1:40" x14ac:dyDescent="0.3">
      <c r="A133" s="262"/>
      <c r="B133" s="303" t="s">
        <v>2171</v>
      </c>
      <c r="C133" s="137">
        <f>'Capacity inputs'!$H$20</f>
        <v>0</v>
      </c>
      <c r="D133" s="116">
        <f>'Financial impact (cash)'!D20*'Capacity (local prices)'!$C133</f>
        <v>0</v>
      </c>
      <c r="E133" s="116">
        <f>'Financial impact (cash)'!E20*'Capacity (local prices)'!$C133</f>
        <v>0</v>
      </c>
      <c r="F133" s="116">
        <f>'Financial impact (cash)'!F20*'Capacity (local prices)'!$C133</f>
        <v>0</v>
      </c>
      <c r="G133" s="116">
        <f>'Financial impact (cash)'!G20*'Capacity (local prices)'!$C133</f>
        <v>0</v>
      </c>
      <c r="H133" s="116">
        <f>'Financial impact (cash)'!H20*'Capacity (local prices)'!$C133</f>
        <v>0</v>
      </c>
      <c r="I133" s="116">
        <f>'Financial impact (cash)'!I20*'Capacity (local prices)'!$C133</f>
        <v>0</v>
      </c>
      <c r="J133" s="262"/>
      <c r="K133" s="262"/>
      <c r="L133" s="262"/>
      <c r="M133" s="262"/>
      <c r="N133" s="262"/>
      <c r="O133" s="262"/>
      <c r="P133" s="262"/>
      <c r="Q133" s="200"/>
      <c r="R133" s="121"/>
      <c r="S133" s="121"/>
      <c r="T133" s="121"/>
      <c r="U133" s="121"/>
      <c r="V133" s="121"/>
      <c r="W133" s="121"/>
      <c r="X133" s="121"/>
      <c r="Y133" s="121"/>
      <c r="Z133" s="121"/>
      <c r="AJ133" s="258"/>
      <c r="AK133" s="258"/>
      <c r="AL133" s="258"/>
      <c r="AM133" s="258"/>
      <c r="AN133" s="258"/>
    </row>
    <row r="134" spans="1:40" x14ac:dyDescent="0.3">
      <c r="A134" s="262"/>
      <c r="B134" s="303" t="s">
        <v>2172</v>
      </c>
      <c r="C134" s="137">
        <f>'Capacity inputs'!$I$20</f>
        <v>7</v>
      </c>
      <c r="D134" s="116">
        <f>'Financial impact (cash)'!D21*'Capacity (local prices)'!$C134</f>
        <v>30141.17422253151</v>
      </c>
      <c r="E134" s="116">
        <f>'Financial impact (cash)'!E21*'Capacity (local prices)'!$C134</f>
        <v>28685.037588637577</v>
      </c>
      <c r="F134" s="116">
        <f>'Financial impact (cash)'!F21*'Capacity (local prices)'!$C134</f>
        <v>26043.482318201146</v>
      </c>
      <c r="G134" s="116">
        <f>'Financial impact (cash)'!G21*'Capacity (local prices)'!$C134</f>
        <v>24520.930811832823</v>
      </c>
      <c r="H134" s="116">
        <f>'Financial impact (cash)'!H21*'Capacity (local prices)'!$C134</f>
        <v>24736.489888015174</v>
      </c>
      <c r="I134" s="116">
        <f>'Financial impact (cash)'!I21*'Capacity (local prices)'!$C134</f>
        <v>24953.943905122938</v>
      </c>
      <c r="J134" s="262"/>
      <c r="K134" s="262"/>
      <c r="L134" s="262"/>
      <c r="M134" s="262"/>
      <c r="N134" s="262"/>
      <c r="O134" s="262"/>
      <c r="P134" s="262"/>
      <c r="Q134" s="200"/>
      <c r="R134" s="121"/>
      <c r="S134" s="121"/>
      <c r="T134" s="121"/>
      <c r="U134" s="121"/>
      <c r="V134" s="121"/>
      <c r="W134" s="121"/>
      <c r="X134" s="121"/>
      <c r="Y134" s="121"/>
      <c r="Z134" s="121"/>
      <c r="AJ134" s="258"/>
      <c r="AK134" s="258"/>
      <c r="AL134" s="258"/>
      <c r="AM134" s="258"/>
      <c r="AN134" s="258"/>
    </row>
    <row r="135" spans="1:40" x14ac:dyDescent="0.3">
      <c r="A135" s="262"/>
      <c r="B135" s="252"/>
      <c r="C135" s="187"/>
      <c r="D135" s="168">
        <f t="shared" ref="D135:I135" si="50">SUM(D128:D134)</f>
        <v>30141.17422253151</v>
      </c>
      <c r="E135" s="168">
        <f t="shared" si="50"/>
        <v>59664.878184366156</v>
      </c>
      <c r="F135" s="168">
        <f t="shared" si="50"/>
        <v>61760.258068877003</v>
      </c>
      <c r="G135" s="168">
        <f t="shared" si="50"/>
        <v>63554.249246995285</v>
      </c>
      <c r="H135" s="168">
        <f t="shared" si="50"/>
        <v>64112.943179141374</v>
      </c>
      <c r="I135" s="168">
        <f t="shared" si="50"/>
        <v>64676.54848878803</v>
      </c>
      <c r="J135" s="262"/>
      <c r="K135" s="262"/>
      <c r="L135" s="262"/>
      <c r="M135" s="262"/>
      <c r="N135" s="262"/>
      <c r="O135" s="262"/>
      <c r="P135" s="262"/>
      <c r="Q135" s="200"/>
      <c r="R135" s="121"/>
      <c r="S135" s="121"/>
      <c r="T135" s="121"/>
      <c r="U135" s="121"/>
      <c r="V135" s="121"/>
      <c r="W135" s="121"/>
      <c r="X135" s="121"/>
      <c r="Y135" s="121"/>
      <c r="Z135" s="121"/>
      <c r="AJ135" s="258"/>
      <c r="AK135" s="258"/>
      <c r="AL135" s="258"/>
      <c r="AM135" s="258"/>
      <c r="AN135" s="258"/>
    </row>
    <row r="136" spans="1:40" x14ac:dyDescent="0.3">
      <c r="A136" s="262"/>
      <c r="B136" s="279"/>
      <c r="C136" s="230"/>
      <c r="D136" s="257" t="s">
        <v>2216</v>
      </c>
      <c r="E136" s="168">
        <f>E135-$D$135</f>
        <v>29523.703961834646</v>
      </c>
      <c r="F136" s="168">
        <f>F135-$D$135</f>
        <v>31619.083846345493</v>
      </c>
      <c r="G136" s="168">
        <f>G135-$D$135</f>
        <v>33413.075024463775</v>
      </c>
      <c r="H136" s="168">
        <f>H135-$D$135</f>
        <v>33971.768956609863</v>
      </c>
      <c r="I136" s="168">
        <f>I135-$D$135</f>
        <v>34535.37426625652</v>
      </c>
      <c r="J136" s="262"/>
      <c r="K136" s="262"/>
      <c r="L136" s="262"/>
      <c r="M136" s="262"/>
      <c r="N136" s="262"/>
      <c r="O136" s="262"/>
      <c r="P136" s="262"/>
      <c r="Q136" s="200"/>
      <c r="R136" s="121"/>
      <c r="V136" s="121"/>
    </row>
    <row r="137" spans="1:40" x14ac:dyDescent="0.3">
      <c r="A137" s="262"/>
      <c r="B137" s="294"/>
      <c r="C137" s="200"/>
      <c r="D137" s="200"/>
      <c r="E137" s="200"/>
      <c r="F137" s="200"/>
      <c r="G137" s="200"/>
      <c r="H137" s="200"/>
      <c r="I137" s="200"/>
      <c r="J137" s="200"/>
      <c r="K137" s="200"/>
      <c r="L137" s="200"/>
      <c r="M137" s="200"/>
      <c r="N137" s="200"/>
      <c r="O137" s="200"/>
      <c r="P137" s="200"/>
      <c r="Q137" s="200"/>
      <c r="R137" s="121"/>
      <c r="V137" s="121"/>
    </row>
    <row r="138" spans="1:40" x14ac:dyDescent="0.3">
      <c r="A138" s="262"/>
      <c r="B138" s="344" t="s">
        <v>2217</v>
      </c>
      <c r="C138" s="345"/>
      <c r="D138" s="345"/>
      <c r="E138" s="345"/>
      <c r="F138" s="345"/>
      <c r="G138" s="345"/>
      <c r="H138" s="345"/>
      <c r="I138" s="199"/>
      <c r="J138" s="200"/>
      <c r="K138" s="200"/>
      <c r="L138" s="200"/>
      <c r="M138" s="200"/>
      <c r="N138" s="200"/>
      <c r="O138" s="200"/>
      <c r="P138" s="200"/>
      <c r="Q138" s="200"/>
      <c r="R138" s="121"/>
      <c r="S138" s="121"/>
      <c r="T138" s="121"/>
      <c r="U138" s="121"/>
      <c r="V138" s="121"/>
      <c r="W138" s="121"/>
      <c r="X138" s="121"/>
      <c r="Y138" s="121"/>
      <c r="Z138" s="121"/>
      <c r="AJ138" s="258"/>
      <c r="AK138" s="258"/>
      <c r="AL138" s="258"/>
      <c r="AM138" s="258"/>
      <c r="AN138" s="258"/>
    </row>
    <row r="139" spans="1:40" ht="43.2" x14ac:dyDescent="0.3">
      <c r="A139" s="262"/>
      <c r="B139" s="251" t="s">
        <v>2084</v>
      </c>
      <c r="C139" s="153" t="s">
        <v>2186</v>
      </c>
      <c r="D139" s="844" t="s">
        <v>2162</v>
      </c>
      <c r="E139" s="229" t="s">
        <v>1896</v>
      </c>
      <c r="F139" s="229" t="s">
        <v>1897</v>
      </c>
      <c r="G139" s="152" t="s">
        <v>2130</v>
      </c>
      <c r="H139" s="152" t="s">
        <v>2131</v>
      </c>
      <c r="I139" s="229" t="s">
        <v>2132</v>
      </c>
      <c r="J139" s="262"/>
      <c r="K139" s="262"/>
      <c r="L139" s="200"/>
      <c r="M139" s="200"/>
      <c r="N139" s="200"/>
      <c r="O139" s="200"/>
      <c r="P139" s="200"/>
      <c r="Q139" s="200"/>
      <c r="R139" s="121"/>
      <c r="S139" s="121"/>
      <c r="T139" s="121"/>
      <c r="U139" s="121"/>
      <c r="V139" s="121"/>
      <c r="W139" s="121"/>
      <c r="X139" s="121"/>
      <c r="Y139" s="121"/>
      <c r="Z139" s="121"/>
      <c r="AJ139" s="258"/>
      <c r="AK139" s="258"/>
      <c r="AL139" s="258"/>
      <c r="AM139" s="258"/>
      <c r="AN139" s="258"/>
    </row>
    <row r="140" spans="1:40" x14ac:dyDescent="0.3">
      <c r="A140" s="262"/>
      <c r="B140" s="303" t="s">
        <v>2192</v>
      </c>
      <c r="C140" s="137">
        <f>'Capacity inputs'!$G$21</f>
        <v>9</v>
      </c>
      <c r="D140" s="116">
        <f>'Financial impact (cash)'!D13*'Capacity (local prices)'!$C140</f>
        <v>0</v>
      </c>
      <c r="E140" s="116">
        <f>'Financial impact (cash)'!E13*'Capacity (local prices)'!$C140</f>
        <v>30979.84059572858</v>
      </c>
      <c r="F140" s="116">
        <f>'Financial impact (cash)'!F13*'Capacity (local prices)'!$C140</f>
        <v>35716.775750675857</v>
      </c>
      <c r="G140" s="116">
        <f>'Financial impact (cash)'!G13*'Capacity (local prices)'!$C140</f>
        <v>39033.318435162459</v>
      </c>
      <c r="H140" s="116">
        <f>'Financial impact (cash)'!H13*'Capacity (local prices)'!$C140</f>
        <v>39376.453291126199</v>
      </c>
      <c r="I140" s="116">
        <f>'Financial impact (cash)'!I13*'Capacity (local prices)'!$C140</f>
        <v>39722.604583665088</v>
      </c>
      <c r="J140" s="262"/>
      <c r="K140" s="262"/>
      <c r="L140" s="200"/>
      <c r="M140" s="200"/>
      <c r="N140" s="200"/>
      <c r="O140" s="200"/>
      <c r="P140" s="200"/>
      <c r="Q140" s="200"/>
      <c r="R140" s="121"/>
      <c r="S140" s="121"/>
      <c r="T140" s="121"/>
      <c r="U140" s="121"/>
      <c r="V140" s="121"/>
      <c r="W140" s="121"/>
      <c r="X140" s="121"/>
      <c r="Y140" s="121"/>
      <c r="Z140" s="121"/>
      <c r="AJ140" s="258"/>
      <c r="AK140" s="258"/>
      <c r="AL140" s="258"/>
      <c r="AM140" s="258"/>
      <c r="AN140" s="258"/>
    </row>
    <row r="141" spans="1:40" x14ac:dyDescent="0.3">
      <c r="A141" s="262"/>
      <c r="B141" s="303" t="s">
        <v>2167</v>
      </c>
      <c r="C141" s="137">
        <f>'Capacity inputs'!$H$21</f>
        <v>0</v>
      </c>
      <c r="D141" s="116">
        <f>'Financial impact (cash)'!D16*'Capacity (local prices)'!$C141</f>
        <v>0</v>
      </c>
      <c r="E141" s="116">
        <f>'Financial impact (cash)'!E16*'Capacity (local prices)'!$C141</f>
        <v>0</v>
      </c>
      <c r="F141" s="116">
        <f>'Financial impact (cash)'!F16*'Capacity (local prices)'!$C141</f>
        <v>0</v>
      </c>
      <c r="G141" s="116">
        <f>'Financial impact (cash)'!G16*'Capacity (local prices)'!$C141</f>
        <v>0</v>
      </c>
      <c r="H141" s="116">
        <f>'Financial impact (cash)'!H16*'Capacity (local prices)'!$C141</f>
        <v>0</v>
      </c>
      <c r="I141" s="116">
        <f>'Financial impact (cash)'!I16*'Capacity (local prices)'!$C141</f>
        <v>0</v>
      </c>
      <c r="J141" s="262"/>
      <c r="K141" s="262"/>
      <c r="L141" s="200"/>
      <c r="M141" s="200"/>
      <c r="N141" s="200"/>
      <c r="O141" s="200"/>
      <c r="P141" s="200"/>
      <c r="Q141" s="200"/>
      <c r="R141" s="121"/>
      <c r="S141" s="121"/>
      <c r="T141" s="121"/>
      <c r="U141" s="121"/>
      <c r="V141" s="121"/>
      <c r="W141" s="121"/>
      <c r="X141" s="121"/>
      <c r="Y141" s="121"/>
      <c r="Z141" s="121"/>
      <c r="AJ141" s="258"/>
      <c r="AK141" s="258"/>
      <c r="AL141" s="258"/>
      <c r="AM141" s="258"/>
      <c r="AN141" s="258"/>
    </row>
    <row r="142" spans="1:40" x14ac:dyDescent="0.3">
      <c r="A142" s="262"/>
      <c r="B142" s="303" t="s">
        <v>2168</v>
      </c>
      <c r="C142" s="137">
        <f>'Capacity inputs'!$H$21</f>
        <v>0</v>
      </c>
      <c r="D142" s="116">
        <f>'Financial impact (cash)'!D17*'Capacity (local prices)'!$C142</f>
        <v>0</v>
      </c>
      <c r="E142" s="116">
        <f>'Financial impact (cash)'!E17*'Capacity (local prices)'!$C142</f>
        <v>0</v>
      </c>
      <c r="F142" s="116">
        <f>'Financial impact (cash)'!F17*'Capacity (local prices)'!$C142</f>
        <v>0</v>
      </c>
      <c r="G142" s="116">
        <f>'Financial impact (cash)'!G17*'Capacity (local prices)'!$C142</f>
        <v>0</v>
      </c>
      <c r="H142" s="116">
        <f>'Financial impact (cash)'!H17*'Capacity (local prices)'!$C142</f>
        <v>0</v>
      </c>
      <c r="I142" s="116">
        <f>'Financial impact (cash)'!I17*'Capacity (local prices)'!$C142</f>
        <v>0</v>
      </c>
      <c r="J142" s="262"/>
      <c r="K142" s="262"/>
      <c r="L142" s="200"/>
      <c r="M142" s="200"/>
      <c r="N142" s="200"/>
      <c r="O142" s="200"/>
      <c r="P142" s="200"/>
      <c r="Q142" s="200"/>
      <c r="R142" s="121"/>
      <c r="S142" s="121"/>
      <c r="T142" s="121"/>
      <c r="U142" s="121"/>
      <c r="V142" s="121"/>
      <c r="W142" s="121"/>
      <c r="X142" s="121"/>
      <c r="Y142" s="121"/>
      <c r="Z142" s="121"/>
      <c r="AJ142" s="258"/>
      <c r="AK142" s="258"/>
      <c r="AL142" s="258"/>
      <c r="AM142" s="258"/>
      <c r="AN142" s="258"/>
    </row>
    <row r="143" spans="1:40" x14ac:dyDescent="0.3">
      <c r="A143" s="262"/>
      <c r="B143" s="303" t="s">
        <v>2169</v>
      </c>
      <c r="C143" s="137">
        <f>'Capacity inputs'!$H$21</f>
        <v>0</v>
      </c>
      <c r="D143" s="116">
        <f>'Financial impact (cash)'!D18*'Capacity (local prices)'!$C143</f>
        <v>0</v>
      </c>
      <c r="E143" s="116">
        <f>'Financial impact (cash)'!E18*'Capacity (local prices)'!$C143</f>
        <v>0</v>
      </c>
      <c r="F143" s="116">
        <f>'Financial impact (cash)'!F18*'Capacity (local prices)'!$C143</f>
        <v>0</v>
      </c>
      <c r="G143" s="116">
        <f>'Financial impact (cash)'!G18*'Capacity (local prices)'!$C143</f>
        <v>0</v>
      </c>
      <c r="H143" s="116">
        <f>'Financial impact (cash)'!H18*'Capacity (local prices)'!$C143</f>
        <v>0</v>
      </c>
      <c r="I143" s="116">
        <f>'Financial impact (cash)'!I18*'Capacity (local prices)'!$C143</f>
        <v>0</v>
      </c>
      <c r="J143" s="262"/>
      <c r="K143" s="262"/>
      <c r="L143" s="200"/>
      <c r="M143" s="200"/>
      <c r="N143" s="200"/>
      <c r="O143" s="200"/>
      <c r="P143" s="200"/>
      <c r="Q143" s="200"/>
      <c r="R143" s="121"/>
      <c r="S143" s="121"/>
      <c r="T143" s="121"/>
      <c r="U143" s="121"/>
      <c r="V143" s="121"/>
      <c r="W143" s="121"/>
      <c r="X143" s="121"/>
      <c r="Y143" s="121"/>
      <c r="Z143" s="121"/>
      <c r="AJ143" s="258"/>
      <c r="AK143" s="258"/>
      <c r="AL143" s="258"/>
      <c r="AM143" s="258"/>
      <c r="AN143" s="258"/>
    </row>
    <row r="144" spans="1:40" x14ac:dyDescent="0.3">
      <c r="A144" s="262"/>
      <c r="B144" s="303" t="s">
        <v>2170</v>
      </c>
      <c r="C144" s="137">
        <f>'Capacity inputs'!$H$21</f>
        <v>0</v>
      </c>
      <c r="D144" s="116">
        <f>'Financial impact (cash)'!D19*'Capacity (local prices)'!$C144</f>
        <v>0</v>
      </c>
      <c r="E144" s="116">
        <f>'Financial impact (cash)'!E19*'Capacity (local prices)'!$C144</f>
        <v>0</v>
      </c>
      <c r="F144" s="116">
        <f>'Financial impact (cash)'!F19*'Capacity (local prices)'!$C144</f>
        <v>0</v>
      </c>
      <c r="G144" s="116">
        <f>'Financial impact (cash)'!G19*'Capacity (local prices)'!$C144</f>
        <v>0</v>
      </c>
      <c r="H144" s="116">
        <f>'Financial impact (cash)'!H19*'Capacity (local prices)'!$C144</f>
        <v>0</v>
      </c>
      <c r="I144" s="116">
        <f>'Financial impact (cash)'!I19*'Capacity (local prices)'!$C144</f>
        <v>0</v>
      </c>
      <c r="J144" s="262"/>
      <c r="K144" s="262"/>
      <c r="L144" s="200"/>
      <c r="M144" s="200"/>
      <c r="N144" s="200"/>
      <c r="O144" s="200"/>
      <c r="P144" s="200"/>
      <c r="Q144" s="200"/>
      <c r="R144" s="121"/>
      <c r="S144" s="121"/>
      <c r="T144" s="121"/>
      <c r="U144" s="121"/>
      <c r="V144" s="121"/>
      <c r="W144" s="121"/>
      <c r="X144" s="121"/>
      <c r="Y144" s="121"/>
      <c r="Z144" s="121"/>
      <c r="AJ144" s="258"/>
      <c r="AK144" s="258"/>
      <c r="AL144" s="258"/>
      <c r="AM144" s="258"/>
      <c r="AN144" s="258"/>
    </row>
    <row r="145" spans="1:40" x14ac:dyDescent="0.3">
      <c r="A145" s="262"/>
      <c r="B145" s="303" t="s">
        <v>2171</v>
      </c>
      <c r="C145" s="137">
        <f>'Capacity inputs'!$H$21</f>
        <v>0</v>
      </c>
      <c r="D145" s="116">
        <f>'Financial impact (cash)'!D20*'Capacity (local prices)'!$C145</f>
        <v>0</v>
      </c>
      <c r="E145" s="116">
        <f>'Financial impact (cash)'!E20*'Capacity (local prices)'!$C145</f>
        <v>0</v>
      </c>
      <c r="F145" s="116">
        <f>'Financial impact (cash)'!F20*'Capacity (local prices)'!$C145</f>
        <v>0</v>
      </c>
      <c r="G145" s="116">
        <f>'Financial impact (cash)'!G20*'Capacity (local prices)'!$C145</f>
        <v>0</v>
      </c>
      <c r="H145" s="116">
        <f>'Financial impact (cash)'!H20*'Capacity (local prices)'!$C145</f>
        <v>0</v>
      </c>
      <c r="I145" s="116">
        <f>'Financial impact (cash)'!I20*'Capacity (local prices)'!$C145</f>
        <v>0</v>
      </c>
      <c r="J145" s="262"/>
      <c r="K145" s="262"/>
      <c r="L145" s="200"/>
      <c r="M145" s="200"/>
      <c r="N145" s="200"/>
      <c r="O145" s="200"/>
      <c r="P145" s="200"/>
      <c r="Q145" s="200"/>
      <c r="R145" s="121"/>
      <c r="S145" s="121"/>
      <c r="T145" s="121"/>
      <c r="U145" s="121"/>
      <c r="V145" s="121"/>
      <c r="W145" s="121"/>
      <c r="X145" s="121"/>
      <c r="Y145" s="121"/>
      <c r="Z145" s="121"/>
      <c r="AJ145" s="258"/>
      <c r="AK145" s="258"/>
      <c r="AL145" s="258"/>
      <c r="AM145" s="258"/>
      <c r="AN145" s="258"/>
    </row>
    <row r="146" spans="1:40" x14ac:dyDescent="0.3">
      <c r="A146" s="262"/>
      <c r="B146" s="303" t="s">
        <v>2172</v>
      </c>
      <c r="C146" s="137">
        <f>'Capacity inputs'!$I$21</f>
        <v>7</v>
      </c>
      <c r="D146" s="116">
        <f>'Financial impact (cash)'!D21*'Capacity (local prices)'!$C146</f>
        <v>30141.17422253151</v>
      </c>
      <c r="E146" s="116">
        <f>'Financial impact (cash)'!E21*'Capacity (local prices)'!$C146</f>
        <v>28685.037588637577</v>
      </c>
      <c r="F146" s="116">
        <f>'Financial impact (cash)'!F21*'Capacity (local prices)'!$C146</f>
        <v>26043.482318201146</v>
      </c>
      <c r="G146" s="116">
        <f>'Financial impact (cash)'!G21*'Capacity (local prices)'!$C146</f>
        <v>24520.930811832823</v>
      </c>
      <c r="H146" s="116">
        <f>'Financial impact (cash)'!H21*'Capacity (local prices)'!$C146</f>
        <v>24736.489888015174</v>
      </c>
      <c r="I146" s="116">
        <f>'Financial impact (cash)'!I21*'Capacity (local prices)'!$C146</f>
        <v>24953.943905122938</v>
      </c>
      <c r="J146" s="262"/>
      <c r="K146" s="262"/>
      <c r="L146" s="200"/>
      <c r="M146" s="200"/>
      <c r="N146" s="200"/>
      <c r="O146" s="200"/>
      <c r="P146" s="200"/>
      <c r="Q146" s="200"/>
      <c r="R146" s="121"/>
      <c r="S146" s="121"/>
      <c r="T146" s="121"/>
      <c r="U146" s="121"/>
      <c r="V146" s="121"/>
      <c r="W146" s="121"/>
      <c r="X146" s="121"/>
      <c r="Y146" s="121"/>
      <c r="Z146" s="121"/>
      <c r="AJ146" s="258"/>
      <c r="AK146" s="258"/>
      <c r="AL146" s="258"/>
      <c r="AM146" s="258"/>
      <c r="AN146" s="258"/>
    </row>
    <row r="147" spans="1:40" x14ac:dyDescent="0.3">
      <c r="A147" s="262"/>
      <c r="B147" s="252"/>
      <c r="C147" s="187"/>
      <c r="D147" s="168">
        <f t="shared" ref="D147:I147" si="51">SUM(D140:D146)</f>
        <v>30141.17422253151</v>
      </c>
      <c r="E147" s="168">
        <f t="shared" si="51"/>
        <v>59664.878184366156</v>
      </c>
      <c r="F147" s="168">
        <f t="shared" si="51"/>
        <v>61760.258068877003</v>
      </c>
      <c r="G147" s="168">
        <f t="shared" si="51"/>
        <v>63554.249246995285</v>
      </c>
      <c r="H147" s="168">
        <f t="shared" si="51"/>
        <v>64112.943179141374</v>
      </c>
      <c r="I147" s="168">
        <f t="shared" si="51"/>
        <v>64676.54848878803</v>
      </c>
      <c r="J147" s="262"/>
      <c r="K147" s="262"/>
      <c r="L147" s="200"/>
      <c r="M147" s="200"/>
      <c r="N147" s="200"/>
      <c r="O147" s="200"/>
      <c r="P147" s="200"/>
      <c r="Q147" s="200"/>
      <c r="R147" s="121"/>
      <c r="S147" s="121"/>
      <c r="T147" s="121"/>
      <c r="U147" s="121"/>
      <c r="V147" s="121"/>
      <c r="W147" s="121"/>
      <c r="X147" s="121"/>
      <c r="Y147" s="121"/>
      <c r="Z147" s="121"/>
      <c r="AJ147" s="258"/>
      <c r="AK147" s="258"/>
      <c r="AL147" s="258"/>
      <c r="AM147" s="258"/>
      <c r="AN147" s="258"/>
    </row>
    <row r="148" spans="1:40" x14ac:dyDescent="0.3">
      <c r="A148" s="262"/>
      <c r="B148" s="279"/>
      <c r="C148" s="230"/>
      <c r="D148" s="257" t="s">
        <v>2216</v>
      </c>
      <c r="E148" s="168">
        <f>E147-$D$147</f>
        <v>29523.703961834646</v>
      </c>
      <c r="F148" s="168">
        <f>F147-$D$147</f>
        <v>31619.083846345493</v>
      </c>
      <c r="G148" s="168">
        <f>G147-$D$147</f>
        <v>33413.075024463775</v>
      </c>
      <c r="H148" s="168">
        <f>H147-$D$147</f>
        <v>33971.768956609863</v>
      </c>
      <c r="I148" s="168">
        <f>I147-$D$147</f>
        <v>34535.37426625652</v>
      </c>
      <c r="J148" s="262"/>
      <c r="K148" s="262"/>
      <c r="L148" s="200"/>
      <c r="M148" s="200"/>
      <c r="N148" s="200"/>
      <c r="O148" s="200"/>
      <c r="P148" s="200"/>
      <c r="Q148" s="200"/>
      <c r="R148" s="121"/>
      <c r="V148" s="121"/>
    </row>
    <row r="149" spans="1:40" x14ac:dyDescent="0.3">
      <c r="A149" s="262"/>
      <c r="B149" s="262"/>
      <c r="C149" s="200"/>
      <c r="D149" s="262"/>
      <c r="E149" s="262"/>
      <c r="F149" s="262"/>
      <c r="G149" s="262"/>
      <c r="H149" s="262"/>
      <c r="I149" s="200"/>
      <c r="J149" s="200"/>
      <c r="K149" s="200"/>
      <c r="L149" s="200"/>
      <c r="M149" s="200"/>
      <c r="N149" s="200"/>
      <c r="O149" s="200"/>
      <c r="P149" s="200"/>
      <c r="Q149" s="200"/>
      <c r="R149" s="121"/>
      <c r="V149" s="121"/>
    </row>
    <row r="150" spans="1:40" x14ac:dyDescent="0.3">
      <c r="A150" s="262"/>
      <c r="B150" s="344" t="s">
        <v>2218</v>
      </c>
      <c r="C150" s="345"/>
      <c r="D150" s="345"/>
      <c r="E150" s="345"/>
      <c r="F150" s="345"/>
      <c r="G150" s="345"/>
      <c r="H150" s="345"/>
      <c r="I150" s="199"/>
      <c r="J150" s="200"/>
      <c r="K150" s="200"/>
      <c r="L150" s="200"/>
      <c r="M150" s="200"/>
      <c r="N150" s="200"/>
      <c r="O150" s="200"/>
      <c r="P150" s="200"/>
      <c r="Q150" s="200"/>
      <c r="R150" s="121"/>
      <c r="S150" s="121"/>
      <c r="T150" s="121"/>
      <c r="U150" s="121"/>
      <c r="V150" s="121"/>
      <c r="W150" s="121"/>
      <c r="X150" s="121"/>
      <c r="Y150" s="121"/>
      <c r="Z150" s="121"/>
      <c r="AJ150" s="258"/>
      <c r="AK150" s="258"/>
      <c r="AL150" s="258"/>
      <c r="AM150" s="258"/>
      <c r="AN150" s="258"/>
    </row>
    <row r="151" spans="1:40" ht="43.2" x14ac:dyDescent="0.3">
      <c r="A151" s="262"/>
      <c r="B151" s="251" t="s">
        <v>2084</v>
      </c>
      <c r="C151" s="153" t="s">
        <v>2186</v>
      </c>
      <c r="D151" s="844" t="s">
        <v>2162</v>
      </c>
      <c r="E151" s="229" t="s">
        <v>1896</v>
      </c>
      <c r="F151" s="229" t="s">
        <v>1897</v>
      </c>
      <c r="G151" s="152" t="s">
        <v>2130</v>
      </c>
      <c r="H151" s="152" t="s">
        <v>2131</v>
      </c>
      <c r="I151" s="229" t="s">
        <v>2132</v>
      </c>
      <c r="J151" s="262"/>
      <c r="K151" s="262"/>
      <c r="L151" s="200"/>
      <c r="M151" s="200"/>
      <c r="N151" s="200"/>
      <c r="O151" s="200"/>
      <c r="P151" s="200"/>
      <c r="Q151" s="200"/>
      <c r="R151" s="121"/>
      <c r="S151" s="121"/>
      <c r="T151" s="121"/>
      <c r="U151" s="121"/>
      <c r="V151" s="121"/>
      <c r="W151" s="121"/>
      <c r="X151" s="121"/>
      <c r="Y151" s="121"/>
      <c r="Z151" s="121"/>
      <c r="AJ151" s="258"/>
      <c r="AK151" s="258"/>
      <c r="AL151" s="258"/>
      <c r="AM151" s="258"/>
      <c r="AN151" s="258"/>
    </row>
    <row r="152" spans="1:40" x14ac:dyDescent="0.3">
      <c r="A152" s="262"/>
      <c r="B152" s="303" t="s">
        <v>2192</v>
      </c>
      <c r="C152" s="137">
        <f>'Capacity inputs'!$G$22</f>
        <v>7</v>
      </c>
      <c r="D152" s="116">
        <f>'Financial impact (cash)'!D13*'Capacity (local prices)'!$C152</f>
        <v>0</v>
      </c>
      <c r="E152" s="116">
        <f>'Financial impact (cash)'!E13*'Capacity (local prices)'!$C152</f>
        <v>24095.431574455564</v>
      </c>
      <c r="F152" s="116">
        <f>'Financial impact (cash)'!F13*'Capacity (local prices)'!$C152</f>
        <v>27779.714472747888</v>
      </c>
      <c r="G152" s="116">
        <f>'Financial impact (cash)'!G13*'Capacity (local prices)'!$C152</f>
        <v>30359.247671793022</v>
      </c>
      <c r="H152" s="116">
        <f>'Financial impact (cash)'!H13*'Capacity (local prices)'!$C152</f>
        <v>30626.1303375426</v>
      </c>
      <c r="I152" s="116">
        <f>'Financial impact (cash)'!I13*'Capacity (local prices)'!$C152</f>
        <v>30895.359120628404</v>
      </c>
      <c r="J152" s="262"/>
      <c r="K152" s="262"/>
      <c r="L152" s="200"/>
      <c r="M152" s="200"/>
      <c r="N152" s="200"/>
      <c r="O152" s="200"/>
      <c r="P152" s="200"/>
      <c r="Q152" s="200"/>
      <c r="R152" s="121"/>
      <c r="S152" s="121"/>
      <c r="T152" s="121"/>
      <c r="U152" s="121"/>
      <c r="V152" s="121"/>
      <c r="W152" s="121"/>
      <c r="X152" s="121"/>
      <c r="Y152" s="121"/>
      <c r="Z152" s="121"/>
      <c r="AJ152" s="258"/>
      <c r="AK152" s="258"/>
      <c r="AL152" s="258"/>
      <c r="AM152" s="258"/>
      <c r="AN152" s="258"/>
    </row>
    <row r="153" spans="1:40" x14ac:dyDescent="0.3">
      <c r="A153" s="262"/>
      <c r="B153" s="303" t="s">
        <v>2167</v>
      </c>
      <c r="C153" s="137">
        <f>'Capacity inputs'!$H$22</f>
        <v>0</v>
      </c>
      <c r="D153" s="116">
        <f>'Financial impact (cash)'!D16*'Capacity (local prices)'!$C153</f>
        <v>0</v>
      </c>
      <c r="E153" s="116">
        <f>'Financial impact (cash)'!E16*'Capacity (local prices)'!$C153</f>
        <v>0</v>
      </c>
      <c r="F153" s="116">
        <f>'Financial impact (cash)'!F16*'Capacity (local prices)'!$C153</f>
        <v>0</v>
      </c>
      <c r="G153" s="116">
        <f>'Financial impact (cash)'!G16*'Capacity (local prices)'!$C153</f>
        <v>0</v>
      </c>
      <c r="H153" s="116">
        <f>'Financial impact (cash)'!H16*'Capacity (local prices)'!$C153</f>
        <v>0</v>
      </c>
      <c r="I153" s="116">
        <f>'Financial impact (cash)'!I16*'Capacity (local prices)'!$C153</f>
        <v>0</v>
      </c>
      <c r="J153" s="262"/>
      <c r="K153" s="262"/>
      <c r="L153" s="200"/>
      <c r="M153" s="200"/>
      <c r="N153" s="200"/>
      <c r="O153" s="200"/>
      <c r="P153" s="200"/>
      <c r="Q153" s="200"/>
      <c r="R153" s="121"/>
      <c r="S153" s="121"/>
      <c r="T153" s="121"/>
      <c r="U153" s="121"/>
      <c r="V153" s="121"/>
      <c r="W153" s="121"/>
      <c r="X153" s="121"/>
      <c r="Y153" s="121"/>
      <c r="Z153" s="121"/>
      <c r="AJ153" s="258"/>
      <c r="AK153" s="258"/>
      <c r="AL153" s="258"/>
      <c r="AM153" s="258"/>
      <c r="AN153" s="258"/>
    </row>
    <row r="154" spans="1:40" x14ac:dyDescent="0.3">
      <c r="A154" s="262"/>
      <c r="B154" s="303" t="s">
        <v>2168</v>
      </c>
      <c r="C154" s="137">
        <f>'Capacity inputs'!$H$22</f>
        <v>0</v>
      </c>
      <c r="D154" s="116">
        <f>'Financial impact (cash)'!D17*'Capacity (local prices)'!$C154</f>
        <v>0</v>
      </c>
      <c r="E154" s="116">
        <f>'Financial impact (cash)'!E17*'Capacity (local prices)'!$C154</f>
        <v>0</v>
      </c>
      <c r="F154" s="116">
        <f>'Financial impact (cash)'!F17*'Capacity (local prices)'!$C154</f>
        <v>0</v>
      </c>
      <c r="G154" s="116">
        <f>'Financial impact (cash)'!G17*'Capacity (local prices)'!$C154</f>
        <v>0</v>
      </c>
      <c r="H154" s="116">
        <f>'Financial impact (cash)'!H17*'Capacity (local prices)'!$C154</f>
        <v>0</v>
      </c>
      <c r="I154" s="116">
        <f>'Financial impact (cash)'!I17*'Capacity (local prices)'!$C154</f>
        <v>0</v>
      </c>
      <c r="J154" s="262"/>
      <c r="K154" s="262"/>
      <c r="L154" s="200"/>
      <c r="M154" s="200"/>
      <c r="N154" s="200"/>
      <c r="O154" s="200"/>
      <c r="P154" s="200"/>
      <c r="Q154" s="200"/>
      <c r="R154" s="121"/>
      <c r="S154" s="121"/>
      <c r="T154" s="121"/>
      <c r="U154" s="121"/>
      <c r="V154" s="121"/>
      <c r="W154" s="121"/>
      <c r="X154" s="121"/>
      <c r="Y154" s="121"/>
      <c r="Z154" s="121"/>
      <c r="AJ154" s="258"/>
      <c r="AK154" s="258"/>
      <c r="AL154" s="258"/>
      <c r="AM154" s="258"/>
      <c r="AN154" s="258"/>
    </row>
    <row r="155" spans="1:40" x14ac:dyDescent="0.3">
      <c r="A155" s="262"/>
      <c r="B155" s="303" t="s">
        <v>2169</v>
      </c>
      <c r="C155" s="137">
        <f>'Capacity inputs'!$H$22</f>
        <v>0</v>
      </c>
      <c r="D155" s="116">
        <f>'Financial impact (cash)'!D18*'Capacity (local prices)'!$C155</f>
        <v>0</v>
      </c>
      <c r="E155" s="116">
        <f>'Financial impact (cash)'!E18*'Capacity (local prices)'!$C155</f>
        <v>0</v>
      </c>
      <c r="F155" s="116">
        <f>'Financial impact (cash)'!F18*'Capacity (local prices)'!$C155</f>
        <v>0</v>
      </c>
      <c r="G155" s="116">
        <f>'Financial impact (cash)'!G18*'Capacity (local prices)'!$C155</f>
        <v>0</v>
      </c>
      <c r="H155" s="116">
        <f>'Financial impact (cash)'!H18*'Capacity (local prices)'!$C155</f>
        <v>0</v>
      </c>
      <c r="I155" s="116">
        <f>'Financial impact (cash)'!I18*'Capacity (local prices)'!$C155</f>
        <v>0</v>
      </c>
      <c r="J155" s="262"/>
      <c r="K155" s="262"/>
      <c r="L155" s="200"/>
      <c r="M155" s="200"/>
      <c r="N155" s="200"/>
      <c r="O155" s="200"/>
      <c r="P155" s="200"/>
      <c r="Q155" s="200"/>
      <c r="R155" s="121"/>
      <c r="S155" s="121"/>
      <c r="T155" s="121"/>
      <c r="U155" s="121"/>
      <c r="V155" s="121"/>
      <c r="W155" s="121"/>
      <c r="X155" s="121"/>
      <c r="Y155" s="121"/>
      <c r="Z155" s="121"/>
      <c r="AJ155" s="258"/>
      <c r="AK155" s="258"/>
      <c r="AL155" s="258"/>
      <c r="AM155" s="258"/>
      <c r="AN155" s="258"/>
    </row>
    <row r="156" spans="1:40" x14ac:dyDescent="0.3">
      <c r="A156" s="262"/>
      <c r="B156" s="303" t="s">
        <v>2170</v>
      </c>
      <c r="C156" s="137">
        <f>'Capacity inputs'!$H$22</f>
        <v>0</v>
      </c>
      <c r="D156" s="116">
        <f>'Financial impact (cash)'!D19*'Capacity (local prices)'!$C156</f>
        <v>0</v>
      </c>
      <c r="E156" s="116">
        <f>'Financial impact (cash)'!E19*'Capacity (local prices)'!$C156</f>
        <v>0</v>
      </c>
      <c r="F156" s="116">
        <f>'Financial impact (cash)'!F19*'Capacity (local prices)'!$C156</f>
        <v>0</v>
      </c>
      <c r="G156" s="116">
        <f>'Financial impact (cash)'!G19*'Capacity (local prices)'!$C156</f>
        <v>0</v>
      </c>
      <c r="H156" s="116">
        <f>'Financial impact (cash)'!H19*'Capacity (local prices)'!$C156</f>
        <v>0</v>
      </c>
      <c r="I156" s="116">
        <f>'Financial impact (cash)'!I19*'Capacity (local prices)'!$C156</f>
        <v>0</v>
      </c>
      <c r="J156" s="262"/>
      <c r="K156" s="262"/>
      <c r="L156" s="200"/>
      <c r="M156" s="200"/>
      <c r="N156" s="200"/>
      <c r="O156" s="200"/>
      <c r="P156" s="200"/>
      <c r="Q156" s="200"/>
      <c r="R156" s="121"/>
      <c r="S156" s="121"/>
      <c r="T156" s="121"/>
      <c r="U156" s="121"/>
      <c r="V156" s="121"/>
      <c r="W156" s="121"/>
      <c r="X156" s="121"/>
      <c r="Y156" s="121"/>
      <c r="Z156" s="121"/>
      <c r="AJ156" s="258"/>
      <c r="AK156" s="258"/>
      <c r="AL156" s="258"/>
      <c r="AM156" s="258"/>
      <c r="AN156" s="258"/>
    </row>
    <row r="157" spans="1:40" x14ac:dyDescent="0.3">
      <c r="A157" s="262"/>
      <c r="B157" s="303" t="s">
        <v>2171</v>
      </c>
      <c r="C157" s="137">
        <f>'Capacity inputs'!$H$22</f>
        <v>0</v>
      </c>
      <c r="D157" s="116">
        <f>'Financial impact (cash)'!D20*'Capacity (local prices)'!$C157</f>
        <v>0</v>
      </c>
      <c r="E157" s="116">
        <f>'Financial impact (cash)'!E20*'Capacity (local prices)'!$C157</f>
        <v>0</v>
      </c>
      <c r="F157" s="116">
        <f>'Financial impact (cash)'!F20*'Capacity (local prices)'!$C157</f>
        <v>0</v>
      </c>
      <c r="G157" s="116">
        <f>'Financial impact (cash)'!G20*'Capacity (local prices)'!$C157</f>
        <v>0</v>
      </c>
      <c r="H157" s="116">
        <f>'Financial impact (cash)'!H20*'Capacity (local prices)'!$C157</f>
        <v>0</v>
      </c>
      <c r="I157" s="116">
        <f>'Financial impact (cash)'!I20*'Capacity (local prices)'!$C157</f>
        <v>0</v>
      </c>
      <c r="J157" s="262"/>
      <c r="K157" s="262"/>
      <c r="L157" s="200"/>
      <c r="M157" s="200"/>
      <c r="N157" s="200"/>
      <c r="O157" s="200"/>
      <c r="P157" s="200"/>
      <c r="Q157" s="200"/>
      <c r="R157" s="121"/>
      <c r="S157" s="121"/>
      <c r="T157" s="121"/>
      <c r="U157" s="121"/>
      <c r="V157" s="121"/>
      <c r="W157" s="121"/>
      <c r="X157" s="121"/>
      <c r="Y157" s="121"/>
      <c r="Z157" s="121"/>
      <c r="AJ157" s="258"/>
      <c r="AK157" s="258"/>
      <c r="AL157" s="258"/>
      <c r="AM157" s="258"/>
      <c r="AN157" s="258"/>
    </row>
    <row r="158" spans="1:40" x14ac:dyDescent="0.3">
      <c r="A158" s="262"/>
      <c r="B158" s="303" t="s">
        <v>2172</v>
      </c>
      <c r="C158" s="137">
        <f>'Capacity inputs'!$I$22</f>
        <v>0</v>
      </c>
      <c r="D158" s="116">
        <f>'Financial impact (cash)'!D21*'Capacity (local prices)'!$C158</f>
        <v>0</v>
      </c>
      <c r="E158" s="116">
        <f>'Financial impact (cash)'!E21*'Capacity (local prices)'!$C158</f>
        <v>0</v>
      </c>
      <c r="F158" s="116">
        <f>'Financial impact (cash)'!F21*'Capacity (local prices)'!$C158</f>
        <v>0</v>
      </c>
      <c r="G158" s="116">
        <f>'Financial impact (cash)'!G21*'Capacity (local prices)'!$C158</f>
        <v>0</v>
      </c>
      <c r="H158" s="116">
        <f>'Financial impact (cash)'!H21*'Capacity (local prices)'!$C158</f>
        <v>0</v>
      </c>
      <c r="I158" s="116">
        <f>'Financial impact (cash)'!I21*'Capacity (local prices)'!$C158</f>
        <v>0</v>
      </c>
      <c r="J158" s="262"/>
      <c r="K158" s="262"/>
      <c r="L158" s="200"/>
      <c r="M158" s="200"/>
      <c r="N158" s="200"/>
      <c r="O158" s="200"/>
      <c r="P158" s="200"/>
      <c r="Q158" s="200"/>
      <c r="R158" s="121"/>
      <c r="S158" s="121"/>
      <c r="T158" s="121"/>
      <c r="U158" s="121"/>
      <c r="V158" s="121"/>
      <c r="W158" s="121"/>
      <c r="X158" s="121"/>
      <c r="Y158" s="121"/>
      <c r="Z158" s="121"/>
      <c r="AJ158" s="258"/>
      <c r="AK158" s="258"/>
      <c r="AL158" s="258"/>
      <c r="AM158" s="258"/>
      <c r="AN158" s="258"/>
    </row>
    <row r="159" spans="1:40" x14ac:dyDescent="0.3">
      <c r="A159" s="262"/>
      <c r="B159" s="252"/>
      <c r="C159" s="187"/>
      <c r="D159" s="168">
        <f t="shared" ref="D159:I159" si="52">SUM(D152:D158)</f>
        <v>0</v>
      </c>
      <c r="E159" s="168">
        <f t="shared" si="52"/>
        <v>24095.431574455564</v>
      </c>
      <c r="F159" s="168">
        <f t="shared" si="52"/>
        <v>27779.714472747888</v>
      </c>
      <c r="G159" s="168">
        <f t="shared" si="52"/>
        <v>30359.247671793022</v>
      </c>
      <c r="H159" s="168">
        <f t="shared" si="52"/>
        <v>30626.1303375426</v>
      </c>
      <c r="I159" s="168">
        <f t="shared" si="52"/>
        <v>30895.359120628404</v>
      </c>
      <c r="J159" s="262"/>
      <c r="K159" s="262"/>
      <c r="L159" s="200"/>
      <c r="M159" s="200"/>
      <c r="N159" s="200"/>
      <c r="O159" s="200"/>
      <c r="P159" s="200"/>
      <c r="Q159" s="200"/>
      <c r="R159" s="121"/>
      <c r="S159" s="121"/>
      <c r="T159" s="121"/>
      <c r="U159" s="121"/>
      <c r="V159" s="121"/>
      <c r="W159" s="121"/>
      <c r="X159" s="121"/>
      <c r="Y159" s="121"/>
      <c r="Z159" s="121"/>
      <c r="AJ159" s="258"/>
      <c r="AK159" s="258"/>
      <c r="AL159" s="258"/>
      <c r="AM159" s="258"/>
      <c r="AN159" s="258"/>
    </row>
    <row r="160" spans="1:40" x14ac:dyDescent="0.3">
      <c r="A160" s="262"/>
      <c r="B160" s="279"/>
      <c r="C160" s="230"/>
      <c r="D160" s="257" t="s">
        <v>2216</v>
      </c>
      <c r="E160" s="168">
        <f>E159-$D$159</f>
        <v>24095.431574455564</v>
      </c>
      <c r="F160" s="168">
        <f t="shared" ref="F160:I160" si="53">F159-$D$159</f>
        <v>27779.714472747888</v>
      </c>
      <c r="G160" s="168">
        <f t="shared" si="53"/>
        <v>30359.247671793022</v>
      </c>
      <c r="H160" s="168">
        <f t="shared" si="53"/>
        <v>30626.1303375426</v>
      </c>
      <c r="I160" s="168">
        <f t="shared" si="53"/>
        <v>30895.359120628404</v>
      </c>
      <c r="J160" s="262"/>
      <c r="K160" s="262"/>
      <c r="L160" s="200"/>
      <c r="M160" s="200"/>
      <c r="N160" s="200"/>
      <c r="O160" s="200"/>
      <c r="P160" s="200"/>
      <c r="Q160" s="200"/>
      <c r="R160" s="121"/>
      <c r="V160" s="121"/>
    </row>
    <row r="161" spans="1:22" x14ac:dyDescent="0.3">
      <c r="A161" s="262"/>
      <c r="B161" s="262"/>
      <c r="C161" s="200"/>
      <c r="D161" s="262"/>
      <c r="E161" s="262"/>
      <c r="F161" s="262"/>
      <c r="G161" s="262"/>
      <c r="H161" s="262"/>
      <c r="I161" s="200"/>
      <c r="J161" s="200"/>
      <c r="K161" s="200"/>
      <c r="L161" s="200"/>
      <c r="M161" s="200"/>
      <c r="N161" s="200"/>
      <c r="O161" s="200"/>
      <c r="P161" s="200"/>
      <c r="Q161" s="200"/>
      <c r="R161" s="121"/>
      <c r="V161" s="121"/>
    </row>
    <row r="162" spans="1:22" x14ac:dyDescent="0.3">
      <c r="R162" s="121"/>
    </row>
    <row r="163" spans="1:22" x14ac:dyDescent="0.3">
      <c r="R163" s="121"/>
    </row>
  </sheetData>
  <sheetProtection algorithmName="SHA-512" hashValue="Fp7RoLGDOaxlk6XYJgTdE2u1a8hCJFGWExMq+LyxqcKygsLecp6NMX129pKged0Frx3ebO4mFnoz07WpNw1uLA==" saltValue="20EMDxuNBRcHArssGtOV3A==" spinCount="100000" sheet="1" objects="1" scenarios="1"/>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ignoredErrors>
    <ignoredError sqref="D24 E24:I24"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61"/>
  <sheetViews>
    <sheetView showGridLines="0" zoomScale="60" zoomScaleNormal="60" zoomScaleSheetLayoutView="30" workbookViewId="0">
      <selection activeCell="A164" activeCellId="3" sqref="A141:XFD142 A149:XFD149 A156:XFD157 A164:XFD164"/>
    </sheetView>
  </sheetViews>
  <sheetFormatPr defaultColWidth="8.77734375" defaultRowHeight="14.4" x14ac:dyDescent="0.3"/>
  <cols>
    <col min="1" max="1" width="3.5546875" customWidth="1"/>
    <col min="2" max="2" width="56.5546875" style="1" customWidth="1"/>
    <col min="3" max="9" width="12.5546875" customWidth="1"/>
    <col min="10" max="10" width="1.77734375" customWidth="1"/>
    <col min="11" max="18" width="11.5546875" customWidth="1"/>
    <col min="19" max="19" width="11.44140625" customWidth="1"/>
    <col min="20" max="20" width="11.5546875" customWidth="1"/>
    <col min="21" max="26" width="10.77734375" customWidth="1"/>
    <col min="28" max="41" width="0" hidden="1" customWidth="1"/>
  </cols>
  <sheetData>
    <row r="1" spans="1:40" ht="30" customHeight="1" x14ac:dyDescent="0.3">
      <c r="B1" s="444" t="str">
        <f>'Inputs and population'!B1</f>
        <v>Ribociclib with an aromatase inhibitor for adjuvant treatment of hormone receptor-positive, HER2-negative early breast cancer</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3">
      <c r="B2" s="191" t="s">
        <v>2219</v>
      </c>
      <c r="C2" s="115" t="s">
        <v>1904</v>
      </c>
      <c r="D2" s="115" t="s">
        <v>1904</v>
      </c>
      <c r="E2" s="115" t="s">
        <v>1904</v>
      </c>
      <c r="F2" s="115" t="s">
        <v>1904</v>
      </c>
      <c r="G2" s="115" t="s">
        <v>1904</v>
      </c>
      <c r="H2" s="115" t="s">
        <v>1904</v>
      </c>
      <c r="I2" s="115" t="s">
        <v>1904</v>
      </c>
      <c r="J2" s="115" t="s">
        <v>1904</v>
      </c>
      <c r="K2" s="115"/>
      <c r="L2" s="115" t="s">
        <v>1904</v>
      </c>
      <c r="M2" s="115" t="s">
        <v>1904</v>
      </c>
      <c r="N2" s="115" t="s">
        <v>1904</v>
      </c>
      <c r="O2" s="115" t="s">
        <v>1904</v>
      </c>
      <c r="P2" s="115" t="s">
        <v>1904</v>
      </c>
      <c r="Q2" s="115"/>
      <c r="R2" s="115"/>
      <c r="S2" s="115"/>
      <c r="T2" s="115"/>
      <c r="U2" s="115"/>
      <c r="V2" s="115"/>
      <c r="W2" s="115"/>
      <c r="X2" s="115"/>
      <c r="Y2" s="115"/>
      <c r="Z2" s="115"/>
    </row>
    <row r="3" spans="1:40" ht="14.55" customHeight="1" x14ac:dyDescent="0.3">
      <c r="B3" s="118" t="s">
        <v>1904</v>
      </c>
      <c r="C3" s="121" t="s">
        <v>1904</v>
      </c>
      <c r="D3" s="121" t="s">
        <v>1904</v>
      </c>
      <c r="E3" s="121" t="s">
        <v>1904</v>
      </c>
      <c r="F3" s="121" t="s">
        <v>1904</v>
      </c>
      <c r="G3" s="121" t="s">
        <v>1904</v>
      </c>
      <c r="H3" s="121" t="s">
        <v>1904</v>
      </c>
      <c r="I3" s="121" t="s">
        <v>1904</v>
      </c>
      <c r="J3" s="121" t="s">
        <v>1904</v>
      </c>
      <c r="K3" s="121"/>
      <c r="L3" s="121" t="s">
        <v>1904</v>
      </c>
      <c r="M3" s="121" t="s">
        <v>1904</v>
      </c>
      <c r="N3" s="121" t="s">
        <v>1904</v>
      </c>
      <c r="O3" s="121" t="s">
        <v>1904</v>
      </c>
      <c r="P3" s="121" t="s">
        <v>1904</v>
      </c>
      <c r="Q3" s="121"/>
      <c r="R3" s="121"/>
      <c r="S3" s="115"/>
      <c r="T3" s="115"/>
      <c r="U3" s="115"/>
      <c r="V3" s="115"/>
      <c r="W3" s="115"/>
      <c r="X3" s="115"/>
      <c r="Y3" s="121"/>
      <c r="Z3" s="121"/>
    </row>
    <row r="4" spans="1:40" ht="14.55" customHeight="1" x14ac:dyDescent="0.3">
      <c r="B4" t="s">
        <v>2220</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55" customHeight="1" x14ac:dyDescent="0.3">
      <c r="B5" s="5"/>
      <c r="F5" s="121"/>
      <c r="G5" s="121"/>
      <c r="H5" s="121"/>
      <c r="I5" s="121"/>
      <c r="J5" s="121"/>
      <c r="K5" s="121"/>
      <c r="L5" s="121"/>
      <c r="M5" s="121"/>
      <c r="N5" s="121"/>
      <c r="O5" s="121"/>
      <c r="P5" s="121"/>
      <c r="Q5" s="121"/>
      <c r="R5" s="121"/>
      <c r="S5" s="115"/>
      <c r="T5" s="115"/>
      <c r="U5" s="115"/>
      <c r="V5" s="115"/>
      <c r="W5" s="115"/>
      <c r="X5" s="115"/>
      <c r="Y5" s="121"/>
      <c r="Z5" s="121"/>
    </row>
    <row r="6" spans="1:40" ht="43.2" x14ac:dyDescent="0.3">
      <c r="B6" s="231" t="s">
        <v>2133</v>
      </c>
      <c r="C6" s="187"/>
      <c r="D6" s="844" t="s">
        <v>2162</v>
      </c>
      <c r="E6" s="229" t="s">
        <v>1896</v>
      </c>
      <c r="F6" s="229" t="s">
        <v>1897</v>
      </c>
      <c r="G6" s="152" t="s">
        <v>2130</v>
      </c>
      <c r="H6" s="152" t="s">
        <v>2131</v>
      </c>
      <c r="I6" s="229" t="s">
        <v>2132</v>
      </c>
      <c r="L6" s="844" t="s">
        <v>2162</v>
      </c>
      <c r="M6" s="229" t="s">
        <v>1896</v>
      </c>
      <c r="N6" s="229" t="s">
        <v>1897</v>
      </c>
      <c r="O6" s="152" t="s">
        <v>2130</v>
      </c>
      <c r="P6" s="152" t="s">
        <v>2131</v>
      </c>
      <c r="Q6" s="229" t="s">
        <v>2132</v>
      </c>
      <c r="R6" s="121"/>
      <c r="S6" s="115"/>
      <c r="T6" s="115"/>
      <c r="U6" s="115"/>
      <c r="V6" s="115"/>
      <c r="W6" s="115"/>
      <c r="X6" s="115"/>
      <c r="Y6" s="121"/>
      <c r="Z6" s="121"/>
      <c r="AJ6" s="258"/>
      <c r="AK6" s="258"/>
      <c r="AL6" s="258"/>
      <c r="AM6" s="258"/>
      <c r="AN6" s="258"/>
    </row>
    <row r="7" spans="1:40" ht="14.55" customHeight="1" x14ac:dyDescent="0.3">
      <c r="B7" s="202" t="s">
        <v>2133</v>
      </c>
      <c r="C7" s="155"/>
      <c r="D7" s="329">
        <f>'Inputs and population'!E34</f>
        <v>8124.305720358896</v>
      </c>
      <c r="E7" s="329">
        <f>'Inputs and population'!F34</f>
        <v>8195.7250253250222</v>
      </c>
      <c r="F7" s="329">
        <f>'Inputs and population'!G34</f>
        <v>8267.7721645083002</v>
      </c>
      <c r="G7" s="329">
        <f>'Inputs and population'!H34</f>
        <v>8340.4526570859944</v>
      </c>
      <c r="H7" s="329">
        <f>'Inputs and population'!I34</f>
        <v>8413.7720707534609</v>
      </c>
      <c r="I7" s="329">
        <f>'Inputs and population'!J34</f>
        <v>8487.7360221506606</v>
      </c>
      <c r="P7" s="121"/>
      <c r="Q7" s="121"/>
      <c r="R7" s="121"/>
      <c r="S7" s="115"/>
      <c r="T7" s="115"/>
      <c r="U7" s="115"/>
      <c r="V7" s="115"/>
      <c r="W7" s="115"/>
      <c r="X7" s="115"/>
      <c r="Y7" s="121"/>
      <c r="Z7" s="121"/>
      <c r="AJ7" s="258"/>
      <c r="AK7" s="258"/>
      <c r="AL7" s="258"/>
      <c r="AM7" s="258"/>
      <c r="AN7" s="258"/>
    </row>
    <row r="8" spans="1:40" ht="14.55" customHeight="1" x14ac:dyDescent="0.3">
      <c r="B8"/>
      <c r="P8" s="121"/>
      <c r="Q8" s="121"/>
      <c r="R8" s="121"/>
      <c r="S8" s="115"/>
      <c r="T8" s="115"/>
      <c r="U8" s="115"/>
      <c r="V8" s="115"/>
      <c r="W8" s="115"/>
      <c r="X8" s="115"/>
      <c r="Y8" s="121"/>
      <c r="Z8" s="121"/>
      <c r="AJ8" s="258"/>
      <c r="AK8" s="258"/>
      <c r="AL8" s="258"/>
      <c r="AM8" s="258"/>
      <c r="AN8" s="258"/>
    </row>
    <row r="9" spans="1:40" ht="14.55" customHeight="1" x14ac:dyDescent="0.3">
      <c r="B9" s="251" t="s">
        <v>2180</v>
      </c>
      <c r="C9" s="352" t="s">
        <v>2181</v>
      </c>
      <c r="D9" s="369"/>
      <c r="E9" s="370"/>
      <c r="F9" s="369"/>
      <c r="G9" s="371"/>
      <c r="H9" s="372"/>
      <c r="I9" s="372"/>
      <c r="J9" s="467"/>
      <c r="K9" s="715"/>
      <c r="L9" s="554" t="s">
        <v>2142</v>
      </c>
      <c r="M9" s="554" t="s">
        <v>2142</v>
      </c>
      <c r="N9" s="554" t="s">
        <v>2142</v>
      </c>
      <c r="O9" s="554" t="s">
        <v>2142</v>
      </c>
      <c r="P9" s="554" t="s">
        <v>2142</v>
      </c>
      <c r="Q9" s="554" t="s">
        <v>2142</v>
      </c>
      <c r="R9" s="121"/>
      <c r="S9" s="115"/>
      <c r="T9" s="115"/>
      <c r="U9" s="115"/>
      <c r="V9" s="115"/>
      <c r="W9" s="115"/>
      <c r="X9" s="115"/>
      <c r="Y9" s="121"/>
      <c r="Z9" s="121"/>
      <c r="AJ9" s="258"/>
      <c r="AK9" s="258"/>
      <c r="AL9" s="258"/>
      <c r="AM9" s="258"/>
      <c r="AN9" s="258"/>
    </row>
    <row r="10" spans="1:40" ht="14.55" customHeight="1" x14ac:dyDescent="0.3">
      <c r="A10" s="260"/>
      <c r="B10" s="376" t="str">
        <f>B32</f>
        <v>First attendances</v>
      </c>
      <c r="C10" s="334"/>
      <c r="D10" s="360">
        <f>D37</f>
        <v>0</v>
      </c>
      <c r="E10" s="360">
        <f t="shared" ref="E10:I10" si="0">E37</f>
        <v>0</v>
      </c>
      <c r="F10" s="360">
        <f t="shared" si="0"/>
        <v>0</v>
      </c>
      <c r="G10" s="360">
        <f t="shared" si="0"/>
        <v>0</v>
      </c>
      <c r="H10" s="360">
        <f t="shared" si="0"/>
        <v>0</v>
      </c>
      <c r="I10" s="360">
        <f t="shared" si="0"/>
        <v>0</v>
      </c>
      <c r="J10" s="467"/>
      <c r="L10" s="263">
        <f>L37</f>
        <v>0</v>
      </c>
      <c r="M10" s="263">
        <f t="shared" ref="M10:Q10" si="1">M37</f>
        <v>0</v>
      </c>
      <c r="N10" s="263">
        <f t="shared" si="1"/>
        <v>0</v>
      </c>
      <c r="O10" s="263">
        <f t="shared" si="1"/>
        <v>0</v>
      </c>
      <c r="P10" s="263">
        <f t="shared" si="1"/>
        <v>0</v>
      </c>
      <c r="Q10" s="263">
        <f t="shared" si="1"/>
        <v>0</v>
      </c>
      <c r="R10" s="121"/>
      <c r="S10" s="121"/>
      <c r="T10" s="121"/>
      <c r="U10" s="121"/>
      <c r="V10" s="121"/>
      <c r="W10" s="121"/>
      <c r="X10" s="121"/>
      <c r="Y10" s="121"/>
      <c r="Z10" s="121"/>
      <c r="AJ10" s="258"/>
      <c r="AK10" s="258"/>
      <c r="AL10" s="258"/>
      <c r="AM10" s="258"/>
      <c r="AN10" s="258"/>
    </row>
    <row r="11" spans="1:40" ht="14.55" customHeight="1" x14ac:dyDescent="0.3">
      <c r="A11" s="260"/>
      <c r="B11" s="376" t="str">
        <f>B32&amp;" - hours"</f>
        <v>First attendances - hours</v>
      </c>
      <c r="C11" s="707">
        <f>'Capacity inputs'!F13</f>
        <v>30</v>
      </c>
      <c r="D11" s="360">
        <f>D10*$C11/60</f>
        <v>0</v>
      </c>
      <c r="E11" s="360">
        <f t="shared" ref="E11:I11" si="2">E10*$C11/60</f>
        <v>0</v>
      </c>
      <c r="F11" s="360">
        <f t="shared" si="2"/>
        <v>0</v>
      </c>
      <c r="G11" s="360">
        <f t="shared" si="2"/>
        <v>0</v>
      </c>
      <c r="H11" s="360">
        <f t="shared" si="2"/>
        <v>0</v>
      </c>
      <c r="I11" s="360">
        <f t="shared" si="2"/>
        <v>0</v>
      </c>
      <c r="J11" s="467"/>
      <c r="L11" s="708"/>
      <c r="M11" s="708"/>
      <c r="N11" s="708"/>
      <c r="O11" s="708"/>
      <c r="P11" s="708"/>
      <c r="Q11" s="708"/>
      <c r="R11" s="121"/>
      <c r="S11" s="121"/>
      <c r="T11" s="121"/>
      <c r="U11" s="121"/>
      <c r="V11" s="121"/>
      <c r="W11" s="121"/>
      <c r="X11" s="121"/>
      <c r="Y11" s="121"/>
      <c r="Z11" s="121"/>
      <c r="AJ11" s="258"/>
      <c r="AK11" s="258"/>
      <c r="AL11" s="258"/>
      <c r="AM11" s="258"/>
      <c r="AN11" s="258"/>
    </row>
    <row r="12" spans="1:40" ht="14.55" customHeight="1" x14ac:dyDescent="0.3">
      <c r="A12" s="260"/>
      <c r="B12" s="376" t="str">
        <f>B40</f>
        <v>Follow up attendances</v>
      </c>
      <c r="C12" s="334"/>
      <c r="D12" s="360">
        <f>D52</f>
        <v>110815.53002569533</v>
      </c>
      <c r="E12" s="360">
        <f t="shared" ref="E12:I12" si="3">E52</f>
        <v>111101.20724555984</v>
      </c>
      <c r="F12" s="360">
        <f t="shared" si="3"/>
        <v>111675.07302215746</v>
      </c>
      <c r="G12" s="360">
        <f t="shared" si="3"/>
        <v>113371.73884557668</v>
      </c>
      <c r="H12" s="360">
        <f t="shared" si="3"/>
        <v>103102.32443565482</v>
      </c>
      <c r="I12" s="360">
        <f t="shared" si="3"/>
        <v>91893.490750222321</v>
      </c>
      <c r="J12" s="467"/>
      <c r="L12" s="263">
        <f>L52</f>
        <v>16954.776093931388</v>
      </c>
      <c r="M12" s="263">
        <f t="shared" ref="M12:Q12" si="4">M52</f>
        <v>16998.484708570657</v>
      </c>
      <c r="N12" s="263">
        <f t="shared" si="4"/>
        <v>17086.28617239009</v>
      </c>
      <c r="O12" s="263">
        <f t="shared" si="4"/>
        <v>17345.876043373231</v>
      </c>
      <c r="P12" s="263">
        <f t="shared" si="4"/>
        <v>15774.655638655187</v>
      </c>
      <c r="Q12" s="263">
        <f t="shared" si="4"/>
        <v>14059.704084784018</v>
      </c>
      <c r="R12" s="121"/>
      <c r="S12" s="121"/>
      <c r="T12" s="121"/>
      <c r="U12" s="121"/>
      <c r="V12" s="121"/>
      <c r="W12" s="121"/>
      <c r="X12" s="121"/>
      <c r="Y12" s="121"/>
      <c r="Z12" s="121"/>
      <c r="AJ12" s="258"/>
      <c r="AK12" s="258"/>
      <c r="AL12" s="258"/>
      <c r="AM12" s="258"/>
      <c r="AN12" s="258"/>
    </row>
    <row r="13" spans="1:40" ht="14.55" customHeight="1" x14ac:dyDescent="0.3">
      <c r="A13" s="260"/>
      <c r="B13" s="376" t="str">
        <f>B40&amp;" - hours"</f>
        <v>Follow up attendances - hours</v>
      </c>
      <c r="C13" s="707">
        <f>'Capacity inputs'!F14</f>
        <v>20</v>
      </c>
      <c r="D13" s="360">
        <f>$C13/60*D12</f>
        <v>36938.510008565107</v>
      </c>
      <c r="E13" s="360">
        <f t="shared" ref="E13:I13" si="5">$C13/60*E12</f>
        <v>37033.735748519946</v>
      </c>
      <c r="F13" s="360">
        <f t="shared" si="5"/>
        <v>37225.024340719152</v>
      </c>
      <c r="G13" s="360">
        <f t="shared" si="5"/>
        <v>37790.579615192226</v>
      </c>
      <c r="H13" s="360">
        <f t="shared" si="5"/>
        <v>34367.441478551606</v>
      </c>
      <c r="I13" s="360">
        <f t="shared" si="5"/>
        <v>30631.16358340744</v>
      </c>
      <c r="J13" s="467"/>
      <c r="L13" s="708"/>
      <c r="M13" s="708"/>
      <c r="N13" s="708"/>
      <c r="O13" s="708"/>
      <c r="P13" s="708"/>
      <c r="Q13" s="708"/>
      <c r="R13" s="121"/>
      <c r="S13" s="121"/>
      <c r="T13" s="121"/>
      <c r="U13" s="121"/>
      <c r="V13" s="121"/>
      <c r="W13" s="121"/>
      <c r="X13" s="121"/>
      <c r="Y13" s="121"/>
      <c r="Z13" s="121"/>
      <c r="AJ13" s="258"/>
      <c r="AK13" s="258"/>
      <c r="AL13" s="258"/>
      <c r="AM13" s="258"/>
      <c r="AN13" s="258"/>
    </row>
    <row r="14" spans="1:40" ht="14.55" customHeight="1" x14ac:dyDescent="0.3">
      <c r="A14" s="266"/>
      <c r="B14" s="373" t="str">
        <f>B71</f>
        <v>Number of administrations</v>
      </c>
      <c r="C14" s="356"/>
      <c r="D14" s="355">
        <f>D76</f>
        <v>360150.47258350987</v>
      </c>
      <c r="E14" s="355">
        <f t="shared" ref="E14:I14" si="6">E76</f>
        <v>361078.92354806943</v>
      </c>
      <c r="F14" s="355">
        <f t="shared" si="6"/>
        <v>362943.98732201173</v>
      </c>
      <c r="G14" s="355">
        <f t="shared" si="6"/>
        <v>368458.1512481242</v>
      </c>
      <c r="H14" s="355">
        <f t="shared" si="6"/>
        <v>335082.55441587814</v>
      </c>
      <c r="I14" s="355">
        <f t="shared" si="6"/>
        <v>298653.84493822255</v>
      </c>
      <c r="J14" s="467"/>
      <c r="L14" s="263">
        <f>L76</f>
        <v>52581.968997192431</v>
      </c>
      <c r="M14" s="263">
        <f t="shared" ref="M14:Q14" si="7">M76</f>
        <v>52717.522838018136</v>
      </c>
      <c r="N14" s="263">
        <f t="shared" si="7"/>
        <v>52989.822149013708</v>
      </c>
      <c r="O14" s="263">
        <f t="shared" si="7"/>
        <v>53794.890082226135</v>
      </c>
      <c r="P14" s="263">
        <f t="shared" si="7"/>
        <v>48922.052944718213</v>
      </c>
      <c r="Q14" s="263">
        <f t="shared" si="7"/>
        <v>43603.461360980495</v>
      </c>
      <c r="R14" s="121"/>
      <c r="S14" s="121"/>
      <c r="T14" s="121"/>
      <c r="U14" s="121"/>
      <c r="V14" s="121"/>
      <c r="W14" s="121"/>
      <c r="X14" s="121"/>
      <c r="Y14" s="121"/>
      <c r="Z14" s="121"/>
      <c r="AJ14" s="258"/>
      <c r="AK14" s="258"/>
      <c r="AL14" s="258"/>
      <c r="AM14" s="258"/>
      <c r="AN14" s="258"/>
    </row>
    <row r="15" spans="1:40" ht="14.55" customHeight="1" x14ac:dyDescent="0.3">
      <c r="A15" s="259"/>
      <c r="B15" s="374" t="str">
        <f>B80&amp;" "</f>
        <v xml:space="preserve">Nursing - administrations (hours) </v>
      </c>
      <c r="C15" s="378"/>
      <c r="D15" s="357">
        <f t="shared" ref="D15:I15" si="8">D85</f>
        <v>0</v>
      </c>
      <c r="E15" s="357">
        <f t="shared" si="8"/>
        <v>0</v>
      </c>
      <c r="F15" s="357">
        <f t="shared" si="8"/>
        <v>0</v>
      </c>
      <c r="G15" s="357">
        <f t="shared" si="8"/>
        <v>0</v>
      </c>
      <c r="H15" s="357">
        <f t="shared" si="8"/>
        <v>0</v>
      </c>
      <c r="I15" s="357">
        <f t="shared" si="8"/>
        <v>0</v>
      </c>
      <c r="J15" s="467"/>
      <c r="L15" s="186"/>
      <c r="M15" s="186"/>
      <c r="N15" s="186"/>
      <c r="O15" s="186"/>
      <c r="P15" s="354"/>
      <c r="Q15" s="354"/>
      <c r="R15" s="121"/>
      <c r="S15" s="121"/>
      <c r="T15" s="121"/>
      <c r="U15" s="121"/>
      <c r="V15" s="121"/>
      <c r="W15" s="121"/>
      <c r="X15" s="121"/>
      <c r="Y15" s="121"/>
      <c r="Z15" s="121"/>
      <c r="AJ15" s="258"/>
      <c r="AK15" s="258"/>
      <c r="AL15" s="258"/>
      <c r="AM15" s="258"/>
      <c r="AN15" s="258"/>
    </row>
    <row r="16" spans="1:40" ht="14.55" customHeight="1" x14ac:dyDescent="0.3">
      <c r="A16" s="259"/>
      <c r="B16" s="374" t="str">
        <f>B88&amp;" "</f>
        <v xml:space="preserve">Nursing patient preparation time (hours) </v>
      </c>
      <c r="C16" s="378"/>
      <c r="D16" s="357">
        <f t="shared" ref="D16:I16" si="9">D93</f>
        <v>0</v>
      </c>
      <c r="E16" s="357">
        <f t="shared" si="9"/>
        <v>0</v>
      </c>
      <c r="F16" s="357">
        <f t="shared" si="9"/>
        <v>0</v>
      </c>
      <c r="G16" s="357">
        <f t="shared" si="9"/>
        <v>0</v>
      </c>
      <c r="H16" s="357">
        <f t="shared" si="9"/>
        <v>0</v>
      </c>
      <c r="I16" s="357">
        <f t="shared" si="9"/>
        <v>0</v>
      </c>
      <c r="J16" s="467"/>
      <c r="L16" s="186"/>
      <c r="M16" s="186"/>
      <c r="N16" s="186"/>
      <c r="O16" s="186"/>
      <c r="P16" s="354"/>
      <c r="Q16" s="354"/>
      <c r="R16" s="121"/>
      <c r="S16" s="121"/>
      <c r="T16" s="121"/>
      <c r="U16" s="121"/>
      <c r="V16" s="121"/>
      <c r="W16" s="121"/>
      <c r="X16" s="121"/>
      <c r="Y16" s="121"/>
      <c r="Z16" s="121"/>
      <c r="AJ16" s="258"/>
      <c r="AK16" s="258"/>
      <c r="AL16" s="258"/>
      <c r="AM16" s="258"/>
      <c r="AN16" s="258"/>
    </row>
    <row r="17" spans="1:40" ht="14.55" customHeight="1" x14ac:dyDescent="0.3">
      <c r="A17" s="259"/>
      <c r="B17" s="374" t="str">
        <f>B96&amp;" "</f>
        <v xml:space="preserve">Post administration nursing time (hours) </v>
      </c>
      <c r="C17" s="378"/>
      <c r="D17" s="357">
        <f t="shared" ref="D17:I17" si="10">D101</f>
        <v>0</v>
      </c>
      <c r="E17" s="357">
        <f t="shared" si="10"/>
        <v>0</v>
      </c>
      <c r="F17" s="357">
        <f t="shared" si="10"/>
        <v>0</v>
      </c>
      <c r="G17" s="357">
        <f t="shared" si="10"/>
        <v>0</v>
      </c>
      <c r="H17" s="357">
        <f t="shared" si="10"/>
        <v>0</v>
      </c>
      <c r="I17" s="357">
        <f t="shared" si="10"/>
        <v>0</v>
      </c>
      <c r="J17" s="467"/>
      <c r="L17" s="186"/>
      <c r="M17" s="186"/>
      <c r="N17" s="186"/>
      <c r="O17" s="186"/>
      <c r="P17" s="354"/>
      <c r="Q17" s="354"/>
      <c r="R17" s="121"/>
      <c r="S17" s="121"/>
      <c r="T17" s="121"/>
      <c r="U17" s="121"/>
      <c r="V17" s="121"/>
      <c r="W17" s="121"/>
      <c r="X17" s="121"/>
      <c r="Y17" s="121"/>
      <c r="Z17" s="121"/>
      <c r="AJ17" s="258"/>
      <c r="AK17" s="258"/>
      <c r="AL17" s="258"/>
      <c r="AM17" s="258"/>
      <c r="AN17" s="258"/>
    </row>
    <row r="18" spans="1:40" ht="14.55" customHeight="1" x14ac:dyDescent="0.3">
      <c r="A18" s="261"/>
      <c r="B18" s="375" t="str">
        <f>B105</f>
        <v>Pharmacy support</v>
      </c>
      <c r="C18" s="379"/>
      <c r="D18" s="358">
        <f>D110</f>
        <v>0</v>
      </c>
      <c r="E18" s="358">
        <f t="shared" ref="E18:I18" si="11">E110</f>
        <v>0</v>
      </c>
      <c r="F18" s="358">
        <f t="shared" si="11"/>
        <v>0</v>
      </c>
      <c r="G18" s="358">
        <f t="shared" si="11"/>
        <v>0</v>
      </c>
      <c r="H18" s="358">
        <f t="shared" si="11"/>
        <v>0</v>
      </c>
      <c r="I18" s="358">
        <f t="shared" si="11"/>
        <v>0</v>
      </c>
      <c r="J18" s="467"/>
      <c r="L18" s="186"/>
      <c r="M18" s="186"/>
      <c r="N18" s="186"/>
      <c r="O18" s="186"/>
      <c r="P18" s="354"/>
      <c r="Q18" s="354"/>
      <c r="R18" s="121"/>
      <c r="S18" s="121"/>
      <c r="T18" s="121"/>
      <c r="U18" s="121"/>
      <c r="V18" s="121"/>
      <c r="W18" s="121"/>
      <c r="X18" s="121"/>
      <c r="Y18" s="121"/>
      <c r="Z18" s="121"/>
      <c r="AJ18" s="258"/>
      <c r="AK18" s="258"/>
      <c r="AL18" s="258"/>
      <c r="AM18" s="258"/>
      <c r="AN18" s="258"/>
    </row>
    <row r="19" spans="1:40" ht="14.55" customHeight="1" x14ac:dyDescent="0.3">
      <c r="A19" s="261"/>
      <c r="B19" s="375" t="str">
        <f>B105&amp;" - hours"</f>
        <v>Pharmacy support - hours</v>
      </c>
      <c r="C19" s="379"/>
      <c r="D19" s="358">
        <f>(($C107*D107)+($C108*D108)+($C109*D109))/60</f>
        <v>0</v>
      </c>
      <c r="E19" s="358">
        <f t="shared" ref="E19:I19" si="12">(($C107*E107)+($C108*E108)+($C109*E109))/60</f>
        <v>0</v>
      </c>
      <c r="F19" s="358">
        <f t="shared" si="12"/>
        <v>0</v>
      </c>
      <c r="G19" s="358">
        <f t="shared" si="12"/>
        <v>0</v>
      </c>
      <c r="H19" s="358">
        <f t="shared" si="12"/>
        <v>0</v>
      </c>
      <c r="I19" s="358">
        <f t="shared" si="12"/>
        <v>0</v>
      </c>
      <c r="J19" s="467"/>
      <c r="L19" s="186"/>
      <c r="M19" s="186"/>
      <c r="N19" s="186"/>
      <c r="O19" s="186"/>
      <c r="P19" s="354"/>
      <c r="Q19" s="354"/>
      <c r="R19" s="121"/>
      <c r="S19" s="121"/>
      <c r="T19" s="121"/>
      <c r="U19" s="121"/>
      <c r="V19" s="121"/>
      <c r="W19" s="121"/>
      <c r="X19" s="121"/>
      <c r="Y19" s="121"/>
      <c r="Z19" s="121"/>
      <c r="AJ19" s="258"/>
      <c r="AK19" s="258"/>
      <c r="AL19" s="258"/>
      <c r="AM19" s="258"/>
      <c r="AN19" s="258"/>
    </row>
    <row r="20" spans="1:40" ht="14.55" customHeight="1" x14ac:dyDescent="0.3">
      <c r="A20" s="262"/>
      <c r="B20" s="377" t="str">
        <f>B114</f>
        <v>ECG</v>
      </c>
      <c r="C20" s="380"/>
      <c r="D20" s="361">
        <f>D123</f>
        <v>0</v>
      </c>
      <c r="E20" s="361">
        <f t="shared" ref="E20:I20" si="13">E123</f>
        <v>6884.409021273018</v>
      </c>
      <c r="F20" s="361">
        <f t="shared" si="13"/>
        <v>7937.0612779279681</v>
      </c>
      <c r="G20" s="361">
        <f t="shared" si="13"/>
        <v>8674.0707633694346</v>
      </c>
      <c r="H20" s="361">
        <f t="shared" si="13"/>
        <v>8750.3229535835999</v>
      </c>
      <c r="I20" s="361">
        <f t="shared" si="13"/>
        <v>8827.2454630366865</v>
      </c>
      <c r="J20" s="467"/>
      <c r="L20" s="263">
        <f>L123</f>
        <v>0</v>
      </c>
      <c r="M20" s="263">
        <f t="shared" ref="M20:Q20" si="14">M123</f>
        <v>640.25003897839065</v>
      </c>
      <c r="N20" s="263">
        <f t="shared" si="14"/>
        <v>738.14669884730108</v>
      </c>
      <c r="O20" s="263">
        <f t="shared" si="14"/>
        <v>806.6885809933575</v>
      </c>
      <c r="P20" s="263">
        <f t="shared" si="14"/>
        <v>813.78003468327483</v>
      </c>
      <c r="Q20" s="263">
        <f t="shared" si="14"/>
        <v>820.93382806241186</v>
      </c>
      <c r="R20" s="121"/>
      <c r="S20" s="121"/>
      <c r="T20" s="121"/>
      <c r="U20" s="121"/>
      <c r="V20" s="121"/>
      <c r="W20" s="121"/>
      <c r="X20" s="121"/>
      <c r="Y20" s="121"/>
      <c r="Z20" s="121"/>
      <c r="AJ20" s="258"/>
      <c r="AK20" s="258"/>
      <c r="AL20" s="258"/>
      <c r="AM20" s="258"/>
      <c r="AN20" s="258"/>
    </row>
    <row r="21" spans="1:40" ht="14.55" customHeight="1" x14ac:dyDescent="0.3">
      <c r="A21" s="262"/>
      <c r="B21" s="377" t="str">
        <f>B114&amp;" - hours"</f>
        <v>ECG - hours</v>
      </c>
      <c r="C21" s="361">
        <f>'Capacity inputs'!F19</f>
        <v>20</v>
      </c>
      <c r="D21" s="361">
        <f>$C$21/60*D20</f>
        <v>0</v>
      </c>
      <c r="E21" s="361">
        <f t="shared" ref="E21:I21" si="15">$C$21/60*E20</f>
        <v>2294.8030070910058</v>
      </c>
      <c r="F21" s="361">
        <f t="shared" si="15"/>
        <v>2645.6870926426559</v>
      </c>
      <c r="G21" s="361">
        <f t="shared" si="15"/>
        <v>2891.3569211231447</v>
      </c>
      <c r="H21" s="361">
        <f t="shared" si="15"/>
        <v>2916.7743178612</v>
      </c>
      <c r="I21" s="361">
        <f t="shared" si="15"/>
        <v>2942.4151543455619</v>
      </c>
      <c r="J21" s="467"/>
      <c r="L21" s="708"/>
      <c r="M21" s="708"/>
      <c r="N21" s="708"/>
      <c r="O21" s="708"/>
      <c r="P21" s="708"/>
      <c r="Q21" s="708"/>
      <c r="R21" s="121"/>
      <c r="S21" s="121"/>
      <c r="T21" s="121"/>
      <c r="U21" s="121"/>
      <c r="V21" s="121"/>
      <c r="W21" s="121"/>
      <c r="X21" s="121"/>
      <c r="Y21" s="121"/>
      <c r="Z21" s="121"/>
      <c r="AJ21" s="258"/>
      <c r="AK21" s="258"/>
      <c r="AL21" s="258"/>
      <c r="AM21" s="258"/>
      <c r="AN21" s="258"/>
    </row>
    <row r="22" spans="1:40" ht="14.55" customHeight="1" x14ac:dyDescent="0.3">
      <c r="A22" s="262"/>
      <c r="B22" s="377" t="str">
        <f>B126</f>
        <v>Blood count</v>
      </c>
      <c r="C22" s="380"/>
      <c r="D22" s="361">
        <f>D135</f>
        <v>30141.17422253151</v>
      </c>
      <c r="E22" s="361">
        <f t="shared" ref="E22:I22" si="16">E135</f>
        <v>59664.878184366156</v>
      </c>
      <c r="F22" s="361">
        <f t="shared" si="16"/>
        <v>61760.258068877003</v>
      </c>
      <c r="G22" s="361">
        <f t="shared" si="16"/>
        <v>63554.249246995285</v>
      </c>
      <c r="H22" s="361">
        <f t="shared" si="16"/>
        <v>64112.943179141374</v>
      </c>
      <c r="I22" s="361">
        <f t="shared" si="16"/>
        <v>64676.54848878803</v>
      </c>
      <c r="J22" s="467"/>
      <c r="L22" s="186"/>
      <c r="M22" s="186"/>
      <c r="N22" s="186"/>
      <c r="O22" s="186"/>
      <c r="P22" s="354"/>
      <c r="Q22" s="354"/>
      <c r="R22" s="121"/>
      <c r="S22" s="121"/>
      <c r="T22" s="121"/>
      <c r="U22" s="121"/>
      <c r="V22" s="121"/>
      <c r="W22" s="121"/>
      <c r="X22" s="121"/>
      <c r="Y22" s="121"/>
      <c r="Z22" s="121"/>
      <c r="AJ22" s="258"/>
      <c r="AK22" s="258"/>
      <c r="AL22" s="258"/>
      <c r="AM22" s="258"/>
      <c r="AN22" s="258"/>
    </row>
    <row r="23" spans="1:40" ht="14.55" customHeight="1" x14ac:dyDescent="0.3">
      <c r="A23" s="262"/>
      <c r="B23" s="377" t="str">
        <f>B126&amp;" - hours"</f>
        <v>Blood count - hours</v>
      </c>
      <c r="C23" s="361">
        <f>'Capacity inputs'!F20</f>
        <v>20</v>
      </c>
      <c r="D23" s="361">
        <f>$C23/60*D22</f>
        <v>10047.05807417717</v>
      </c>
      <c r="E23" s="361">
        <f t="shared" ref="E23:I23" si="17">$C23/60*E22</f>
        <v>19888.292728122051</v>
      </c>
      <c r="F23" s="361">
        <f t="shared" si="17"/>
        <v>20586.752689625668</v>
      </c>
      <c r="G23" s="361">
        <f t="shared" si="17"/>
        <v>21184.749748998427</v>
      </c>
      <c r="H23" s="361">
        <f t="shared" si="17"/>
        <v>21370.981059713791</v>
      </c>
      <c r="I23" s="361">
        <f t="shared" si="17"/>
        <v>21558.849496262676</v>
      </c>
      <c r="J23" s="467"/>
      <c r="L23" s="186"/>
      <c r="M23" s="186"/>
      <c r="N23" s="186"/>
      <c r="O23" s="186"/>
      <c r="P23" s="354"/>
      <c r="Q23" s="354"/>
      <c r="R23" s="121"/>
      <c r="S23" s="121"/>
      <c r="T23" s="121"/>
      <c r="U23" s="121"/>
      <c r="V23" s="121"/>
      <c r="W23" s="121"/>
      <c r="X23" s="121"/>
      <c r="Y23" s="121"/>
      <c r="Z23" s="121"/>
      <c r="AJ23" s="258"/>
      <c r="AK23" s="258"/>
      <c r="AL23" s="258"/>
      <c r="AM23" s="258"/>
      <c r="AN23" s="258"/>
    </row>
    <row r="24" spans="1:40" ht="14.55" customHeight="1" x14ac:dyDescent="0.3">
      <c r="A24" s="262"/>
      <c r="B24" s="377" t="str">
        <f>B138</f>
        <v>Liver function tests</v>
      </c>
      <c r="C24" s="380"/>
      <c r="D24" s="361">
        <f>D147</f>
        <v>30141.17422253151</v>
      </c>
      <c r="E24" s="361">
        <f t="shared" ref="E24:I24" si="18">E147</f>
        <v>59664.878184366156</v>
      </c>
      <c r="F24" s="361">
        <f t="shared" si="18"/>
        <v>61760.258068877003</v>
      </c>
      <c r="G24" s="361">
        <f t="shared" si="18"/>
        <v>63554.249246995285</v>
      </c>
      <c r="H24" s="361">
        <f t="shared" si="18"/>
        <v>64112.943179141374</v>
      </c>
      <c r="I24" s="361">
        <f t="shared" si="18"/>
        <v>64676.54848878803</v>
      </c>
      <c r="J24" s="467"/>
      <c r="L24" s="186"/>
      <c r="M24" s="186"/>
      <c r="N24" s="186"/>
      <c r="O24" s="186"/>
      <c r="P24" s="354"/>
      <c r="Q24" s="354"/>
      <c r="R24" s="121"/>
      <c r="S24" s="121"/>
      <c r="T24" s="121"/>
      <c r="U24" s="121"/>
      <c r="V24" s="121"/>
      <c r="W24" s="121"/>
      <c r="X24" s="121"/>
      <c r="Y24" s="121"/>
      <c r="Z24" s="121"/>
      <c r="AJ24" s="258"/>
      <c r="AK24" s="258"/>
      <c r="AL24" s="258"/>
      <c r="AM24" s="258"/>
      <c r="AN24" s="258"/>
    </row>
    <row r="25" spans="1:40" ht="14.55" customHeight="1" x14ac:dyDescent="0.3">
      <c r="A25" s="262"/>
      <c r="B25" s="713" t="str">
        <f>B138&amp;" - hours"</f>
        <v>Liver function tests - hours</v>
      </c>
      <c r="C25" s="714">
        <f>'Capacity inputs'!F21</f>
        <v>20</v>
      </c>
      <c r="D25" s="361">
        <f>$C25/60*D24</f>
        <v>10047.05807417717</v>
      </c>
      <c r="E25" s="361">
        <f t="shared" ref="E25:I25" si="19">$C25/60*E24</f>
        <v>19888.292728122051</v>
      </c>
      <c r="F25" s="361">
        <f t="shared" si="19"/>
        <v>20586.752689625668</v>
      </c>
      <c r="G25" s="361">
        <f t="shared" si="19"/>
        <v>21184.749748998427</v>
      </c>
      <c r="H25" s="361">
        <f t="shared" si="19"/>
        <v>21370.981059713791</v>
      </c>
      <c r="I25" s="361">
        <f t="shared" si="19"/>
        <v>21558.849496262676</v>
      </c>
      <c r="J25" s="467"/>
      <c r="L25" s="186"/>
      <c r="M25" s="186"/>
      <c r="N25" s="186"/>
      <c r="O25" s="186"/>
      <c r="P25" s="354"/>
      <c r="Q25" s="354"/>
      <c r="R25" s="121"/>
      <c r="S25" s="121"/>
      <c r="T25" s="121"/>
      <c r="U25" s="121"/>
      <c r="V25" s="121"/>
      <c r="W25" s="121"/>
      <c r="X25" s="121"/>
      <c r="Y25" s="121"/>
      <c r="Z25" s="121"/>
      <c r="AJ25" s="258"/>
      <c r="AK25" s="258"/>
      <c r="AL25" s="258"/>
      <c r="AM25" s="258"/>
      <c r="AN25" s="258"/>
    </row>
    <row r="26" spans="1:40" ht="14.55" customHeight="1" x14ac:dyDescent="0.3">
      <c r="A26" s="262"/>
      <c r="B26" s="377" t="str">
        <f>B150</f>
        <v>Serum electrolytes tests</v>
      </c>
      <c r="C26" s="380"/>
      <c r="D26" s="361">
        <f>D159</f>
        <v>0</v>
      </c>
      <c r="E26" s="361">
        <f t="shared" ref="E26:I26" si="20">E159</f>
        <v>24095.431574455564</v>
      </c>
      <c r="F26" s="361">
        <f t="shared" si="20"/>
        <v>27779.714472747888</v>
      </c>
      <c r="G26" s="361">
        <f t="shared" si="20"/>
        <v>30359.247671793022</v>
      </c>
      <c r="H26" s="361">
        <f t="shared" si="20"/>
        <v>30626.1303375426</v>
      </c>
      <c r="I26" s="361">
        <f t="shared" si="20"/>
        <v>30895.359120628404</v>
      </c>
      <c r="J26" s="467"/>
      <c r="L26" s="186"/>
      <c r="M26" s="186"/>
      <c r="N26" s="186"/>
      <c r="O26" s="186"/>
      <c r="P26" s="354"/>
      <c r="Q26" s="354"/>
      <c r="R26" s="121"/>
      <c r="S26" s="121"/>
      <c r="T26" s="121"/>
      <c r="U26" s="121"/>
      <c r="V26" s="121"/>
      <c r="W26" s="121"/>
      <c r="X26" s="121"/>
      <c r="Y26" s="121"/>
      <c r="Z26" s="121"/>
      <c r="AJ26" s="258"/>
      <c r="AK26" s="258"/>
      <c r="AL26" s="258"/>
      <c r="AM26" s="258"/>
      <c r="AN26" s="258"/>
    </row>
    <row r="27" spans="1:40" ht="14.55" customHeight="1" x14ac:dyDescent="0.3">
      <c r="A27" s="262"/>
      <c r="B27" s="713" t="str">
        <f>B150&amp;" - hours"</f>
        <v>Serum electrolytes tests - hours</v>
      </c>
      <c r="C27" s="714">
        <f>'Capacity inputs'!F22</f>
        <v>20</v>
      </c>
      <c r="D27" s="361">
        <f>$C27/60*D26</f>
        <v>0</v>
      </c>
      <c r="E27" s="361">
        <f t="shared" ref="E27:I27" si="21">$C27/60*E26</f>
        <v>8031.8105248185211</v>
      </c>
      <c r="F27" s="361">
        <f t="shared" si="21"/>
        <v>9259.9048242492954</v>
      </c>
      <c r="G27" s="361">
        <f t="shared" si="21"/>
        <v>10119.749223931007</v>
      </c>
      <c r="H27" s="361">
        <f t="shared" si="21"/>
        <v>10208.7101125142</v>
      </c>
      <c r="I27" s="361">
        <f t="shared" si="21"/>
        <v>10298.453040209468</v>
      </c>
      <c r="J27" s="467"/>
      <c r="L27" s="186"/>
      <c r="M27" s="186"/>
      <c r="N27" s="186"/>
      <c r="O27" s="186"/>
      <c r="P27" s="354"/>
      <c r="Q27" s="354"/>
      <c r="R27" s="121"/>
      <c r="S27" s="121"/>
      <c r="T27" s="121"/>
      <c r="U27" s="121"/>
      <c r="V27" s="121"/>
      <c r="W27" s="121"/>
      <c r="X27" s="121"/>
      <c r="Y27" s="121"/>
      <c r="Z27" s="121"/>
      <c r="AJ27" s="258"/>
      <c r="AK27" s="258"/>
      <c r="AL27" s="258"/>
      <c r="AM27" s="258"/>
      <c r="AN27" s="258"/>
    </row>
    <row r="28" spans="1:40" ht="14.55" customHeight="1" x14ac:dyDescent="0.3">
      <c r="B28" s="220"/>
      <c r="D28" s="258"/>
      <c r="F28" s="121"/>
      <c r="G28" s="121"/>
      <c r="H28" s="121"/>
      <c r="I28" s="121"/>
      <c r="J28" s="121"/>
      <c r="K28" s="121"/>
      <c r="L28" s="264">
        <f t="shared" ref="L28:Q28" si="22">SUM(L10:L27)</f>
        <v>69536.745091123827</v>
      </c>
      <c r="M28" s="264">
        <f t="shared" si="22"/>
        <v>70356.257585567189</v>
      </c>
      <c r="N28" s="264">
        <f t="shared" si="22"/>
        <v>70814.25502025109</v>
      </c>
      <c r="O28" s="264">
        <f t="shared" si="22"/>
        <v>71947.454706592718</v>
      </c>
      <c r="P28" s="264">
        <f t="shared" si="22"/>
        <v>65510.488618056675</v>
      </c>
      <c r="Q28" s="264">
        <f t="shared" si="22"/>
        <v>58484.099273826927</v>
      </c>
      <c r="R28" s="121"/>
      <c r="S28" s="121"/>
      <c r="T28" s="121"/>
      <c r="U28" s="121"/>
      <c r="V28" s="121"/>
      <c r="W28" s="121"/>
      <c r="X28" s="121"/>
      <c r="Y28" s="121"/>
      <c r="Z28" s="121"/>
    </row>
    <row r="29" spans="1:40" x14ac:dyDescent="0.3">
      <c r="B29" s="286"/>
      <c r="C29" s="286"/>
      <c r="D29" s="286"/>
      <c r="E29" s="286"/>
      <c r="F29" s="286"/>
      <c r="G29" s="286"/>
      <c r="H29" s="286"/>
      <c r="I29" s="286"/>
      <c r="J29" s="286"/>
      <c r="K29" s="286"/>
      <c r="L29" s="286"/>
      <c r="P29" s="121"/>
      <c r="Q29" s="121"/>
      <c r="R29" s="121"/>
      <c r="S29" s="121"/>
      <c r="V29" s="121"/>
      <c r="W29" s="121"/>
      <c r="X29" s="121"/>
      <c r="Y29" s="121"/>
      <c r="Z29" s="121"/>
      <c r="AJ29" s="258"/>
      <c r="AK29" s="258"/>
      <c r="AL29" s="258"/>
      <c r="AM29" s="258"/>
      <c r="AN29" s="258"/>
    </row>
    <row r="30" spans="1:40" x14ac:dyDescent="0.3">
      <c r="B30" s="321" t="s">
        <v>2183</v>
      </c>
      <c r="C30" s="322"/>
      <c r="D30" s="322"/>
      <c r="E30" s="323"/>
      <c r="F30" s="322"/>
      <c r="G30" s="324"/>
      <c r="H30" s="325"/>
      <c r="I30" s="325"/>
      <c r="J30" s="325"/>
      <c r="K30" s="325"/>
      <c r="L30" s="325"/>
      <c r="M30" s="325"/>
      <c r="N30" s="325"/>
      <c r="O30" s="325"/>
      <c r="P30" s="325"/>
      <c r="Q30" s="326"/>
      <c r="R30" s="121"/>
      <c r="S30" s="121"/>
      <c r="T30" s="121"/>
      <c r="U30" s="121"/>
      <c r="V30" s="121"/>
      <c r="W30" s="121"/>
      <c r="X30" s="121"/>
      <c r="Y30" s="121"/>
      <c r="Z30" s="121"/>
      <c r="AJ30" s="258"/>
      <c r="AK30" s="258"/>
      <c r="AL30" s="258"/>
      <c r="AM30" s="258"/>
      <c r="AN30" s="258"/>
    </row>
    <row r="31" spans="1:40" x14ac:dyDescent="0.3">
      <c r="A31" s="260"/>
      <c r="B31" s="457" t="s">
        <v>2184</v>
      </c>
      <c r="C31" s="450"/>
      <c r="D31" s="451"/>
      <c r="E31" s="452"/>
      <c r="F31" s="260"/>
      <c r="G31" s="260"/>
      <c r="H31" s="196"/>
      <c r="I31" s="196"/>
      <c r="J31" s="196"/>
      <c r="K31" s="196"/>
      <c r="L31" s="196"/>
      <c r="M31" s="196"/>
      <c r="N31" s="196"/>
      <c r="O31" s="196"/>
      <c r="P31" s="196"/>
      <c r="Q31" s="196"/>
      <c r="R31" s="121"/>
      <c r="S31" s="121"/>
      <c r="T31" s="121"/>
      <c r="U31" s="121"/>
      <c r="V31" s="121"/>
      <c r="W31" s="121"/>
      <c r="X31" s="121"/>
      <c r="Y31" s="121"/>
      <c r="Z31" s="121"/>
      <c r="AJ31" s="258"/>
      <c r="AK31" s="258"/>
      <c r="AL31" s="258"/>
      <c r="AM31" s="258"/>
      <c r="AN31" s="258"/>
    </row>
    <row r="32" spans="1:40" x14ac:dyDescent="0.3">
      <c r="A32" s="448"/>
      <c r="B32" s="453" t="s">
        <v>2185</v>
      </c>
      <c r="C32" s="343"/>
      <c r="D32" s="343"/>
      <c r="E32" s="343"/>
      <c r="F32" s="343"/>
      <c r="G32" s="343"/>
      <c r="H32" s="343"/>
      <c r="I32" s="195"/>
      <c r="J32" s="196"/>
      <c r="K32" s="196"/>
      <c r="L32" s="196"/>
      <c r="M32" s="196"/>
      <c r="N32" s="196"/>
      <c r="O32" s="196"/>
      <c r="P32" s="196"/>
      <c r="Q32" s="196"/>
      <c r="R32" s="121"/>
      <c r="S32" s="121"/>
      <c r="T32" s="121"/>
      <c r="U32" s="121"/>
      <c r="V32" s="121"/>
      <c r="W32" s="121"/>
      <c r="X32" s="121"/>
      <c r="Y32" s="121"/>
      <c r="Z32" s="121"/>
      <c r="AJ32" s="258"/>
      <c r="AK32" s="258"/>
      <c r="AL32" s="258"/>
      <c r="AM32" s="258"/>
      <c r="AN32" s="258"/>
    </row>
    <row r="33" spans="1:40" ht="43.2" x14ac:dyDescent="0.3">
      <c r="A33" s="448"/>
      <c r="B33" s="285" t="s">
        <v>2084</v>
      </c>
      <c r="C33" s="153" t="s">
        <v>2186</v>
      </c>
      <c r="D33" s="844" t="s">
        <v>2162</v>
      </c>
      <c r="E33" s="229" t="s">
        <v>1896</v>
      </c>
      <c r="F33" s="229" t="s">
        <v>1897</v>
      </c>
      <c r="G33" s="152" t="s">
        <v>2130</v>
      </c>
      <c r="H33" s="152" t="s">
        <v>2131</v>
      </c>
      <c r="I33" s="229" t="s">
        <v>2132</v>
      </c>
      <c r="J33" s="456"/>
      <c r="K33" s="447" t="s">
        <v>2221</v>
      </c>
      <c r="L33" s="844" t="s">
        <v>2162</v>
      </c>
      <c r="M33" s="846" t="s">
        <v>1896</v>
      </c>
      <c r="N33" s="846" t="s">
        <v>1897</v>
      </c>
      <c r="O33" s="359" t="s">
        <v>2130</v>
      </c>
      <c r="P33" s="359" t="s">
        <v>2131</v>
      </c>
      <c r="Q33" s="846" t="s">
        <v>2132</v>
      </c>
      <c r="R33" s="121"/>
      <c r="S33" s="121"/>
      <c r="T33" s="121"/>
      <c r="U33" s="121"/>
      <c r="V33" s="121"/>
      <c r="W33" s="121"/>
      <c r="X33" s="121"/>
      <c r="Y33" s="121"/>
      <c r="Z33" s="121"/>
      <c r="AJ33" s="258"/>
      <c r="AK33" s="258"/>
      <c r="AL33" s="258"/>
      <c r="AM33" s="258"/>
      <c r="AN33" s="258"/>
    </row>
    <row r="34" spans="1:40" x14ac:dyDescent="0.3">
      <c r="A34" s="448"/>
      <c r="B34" s="304" t="s">
        <v>2187</v>
      </c>
      <c r="C34" s="137">
        <f>'Capacity inputs'!G$13</f>
        <v>0</v>
      </c>
      <c r="D34" s="116">
        <f>'Financial impact (cash)'!D13*$C$34</f>
        <v>0</v>
      </c>
      <c r="E34" s="116">
        <f>'Financial impact (cash)'!E13*$C$34</f>
        <v>0</v>
      </c>
      <c r="F34" s="116">
        <f>'Financial impact (cash)'!F13*$C$34</f>
        <v>0</v>
      </c>
      <c r="G34" s="116">
        <f>'Financial impact (cash)'!G13*$C$34</f>
        <v>0</v>
      </c>
      <c r="H34" s="116">
        <f>'Financial impact (cash)'!H13*$C$34</f>
        <v>0</v>
      </c>
      <c r="I34" s="116">
        <f>'Financial impact (cash)'!I13*$C$34</f>
        <v>0</v>
      </c>
      <c r="J34" s="456"/>
      <c r="K34" s="461">
        <f>'Unit costs'!L74</f>
        <v>338</v>
      </c>
      <c r="L34" s="263">
        <f>(D34*$K$34)/1000</f>
        <v>0</v>
      </c>
      <c r="M34" s="263">
        <f t="shared" ref="M34:Q34" si="23">(E34*$K$34)/1000</f>
        <v>0</v>
      </c>
      <c r="N34" s="263">
        <f t="shared" si="23"/>
        <v>0</v>
      </c>
      <c r="O34" s="263">
        <f t="shared" si="23"/>
        <v>0</v>
      </c>
      <c r="P34" s="263">
        <f t="shared" si="23"/>
        <v>0</v>
      </c>
      <c r="Q34" s="263">
        <f t="shared" si="23"/>
        <v>0</v>
      </c>
      <c r="R34" s="121"/>
      <c r="S34" s="121"/>
      <c r="T34" s="121"/>
      <c r="U34" s="121"/>
      <c r="V34" s="121"/>
      <c r="W34" s="121"/>
      <c r="X34" s="121"/>
      <c r="Y34" s="121"/>
      <c r="Z34" s="121"/>
      <c r="AJ34" s="258"/>
      <c r="AK34" s="258"/>
      <c r="AL34" s="258"/>
      <c r="AM34" s="258"/>
      <c r="AN34" s="258"/>
    </row>
    <row r="35" spans="1:40" x14ac:dyDescent="0.3">
      <c r="A35" s="448"/>
      <c r="B35" s="304" t="s">
        <v>2188</v>
      </c>
      <c r="C35" s="137">
        <f>'Capacity inputs'!H$13</f>
        <v>0</v>
      </c>
      <c r="D35" s="116">
        <f>'Financial impact (cash)'!D16*$C$35</f>
        <v>0</v>
      </c>
      <c r="E35" s="116">
        <f>'Financial impact (cash)'!E16*$C$35</f>
        <v>0</v>
      </c>
      <c r="F35" s="116">
        <f>'Financial impact (cash)'!F16*$C$35</f>
        <v>0</v>
      </c>
      <c r="G35" s="116">
        <f>'Financial impact (cash)'!G16*$C$35</f>
        <v>0</v>
      </c>
      <c r="H35" s="116">
        <f>'Financial impact (cash)'!H16*$C$35</f>
        <v>0</v>
      </c>
      <c r="I35" s="116">
        <f>'Financial impact (cash)'!I16*$C$35</f>
        <v>0</v>
      </c>
      <c r="J35" s="456"/>
      <c r="K35" s="461">
        <f>K34</f>
        <v>338</v>
      </c>
      <c r="L35" s="263">
        <f>(D35*$K$35)/1000</f>
        <v>0</v>
      </c>
      <c r="M35" s="263">
        <f t="shared" ref="M35:Q35" si="24">(E35*$K$35)/1000</f>
        <v>0</v>
      </c>
      <c r="N35" s="263">
        <f t="shared" si="24"/>
        <v>0</v>
      </c>
      <c r="O35" s="263">
        <f t="shared" si="24"/>
        <v>0</v>
      </c>
      <c r="P35" s="263">
        <f t="shared" si="24"/>
        <v>0</v>
      </c>
      <c r="Q35" s="263">
        <f t="shared" si="24"/>
        <v>0</v>
      </c>
      <c r="R35" s="121"/>
      <c r="S35" s="121"/>
      <c r="T35" s="121"/>
      <c r="U35" s="121"/>
      <c r="V35" s="121"/>
      <c r="W35" s="121"/>
      <c r="X35" s="121"/>
      <c r="Y35" s="121"/>
      <c r="Z35" s="121"/>
      <c r="AJ35" s="258"/>
      <c r="AK35" s="258"/>
      <c r="AL35" s="258"/>
      <c r="AM35" s="258"/>
      <c r="AN35" s="258"/>
    </row>
    <row r="36" spans="1:40" x14ac:dyDescent="0.3">
      <c r="A36" s="448"/>
      <c r="B36" s="304" t="s">
        <v>2189</v>
      </c>
      <c r="C36" s="137">
        <f>'Capacity inputs'!I$13</f>
        <v>0</v>
      </c>
      <c r="D36" s="116">
        <f>'Financial impact (cash)'!D21*$C$36</f>
        <v>0</v>
      </c>
      <c r="E36" s="116">
        <f>'Financial impact (cash)'!E21*$C$36</f>
        <v>0</v>
      </c>
      <c r="F36" s="116">
        <f>'Financial impact (cash)'!F21*$C$36</f>
        <v>0</v>
      </c>
      <c r="G36" s="116">
        <f>'Financial impact (cash)'!G21*$C$36</f>
        <v>0</v>
      </c>
      <c r="H36" s="116">
        <f>'Financial impact (cash)'!H21*$C$36</f>
        <v>0</v>
      </c>
      <c r="I36" s="116">
        <f>'Financial impact (cash)'!I21*$C$36</f>
        <v>0</v>
      </c>
      <c r="J36" s="456"/>
      <c r="K36" s="461">
        <f>K34</f>
        <v>338</v>
      </c>
      <c r="L36" s="263">
        <f>(D36*$K$36)/1000</f>
        <v>0</v>
      </c>
      <c r="M36" s="263">
        <f t="shared" ref="M36:Q36" si="25">(E36*$K$36)/1000</f>
        <v>0</v>
      </c>
      <c r="N36" s="263">
        <f t="shared" si="25"/>
        <v>0</v>
      </c>
      <c r="O36" s="263">
        <f t="shared" si="25"/>
        <v>0</v>
      </c>
      <c r="P36" s="263">
        <f t="shared" si="25"/>
        <v>0</v>
      </c>
      <c r="Q36" s="263">
        <f t="shared" si="25"/>
        <v>0</v>
      </c>
      <c r="R36" s="121"/>
      <c r="S36" s="121"/>
      <c r="T36" s="121"/>
      <c r="U36" s="121"/>
      <c r="V36" s="121"/>
      <c r="W36" s="121"/>
      <c r="X36" s="121"/>
      <c r="Y36" s="121"/>
      <c r="Z36" s="121"/>
      <c r="AJ36" s="258"/>
      <c r="AK36" s="258"/>
      <c r="AL36" s="258"/>
      <c r="AM36" s="258"/>
      <c r="AN36" s="258"/>
    </row>
    <row r="37" spans="1:40" x14ac:dyDescent="0.3">
      <c r="A37" s="448"/>
      <c r="B37" s="434"/>
      <c r="C37" s="289"/>
      <c r="D37" s="168">
        <f t="shared" ref="D37:I37" si="26">SUM(D34:D36)</f>
        <v>0</v>
      </c>
      <c r="E37" s="168">
        <f t="shared" si="26"/>
        <v>0</v>
      </c>
      <c r="F37" s="168">
        <f t="shared" si="26"/>
        <v>0</v>
      </c>
      <c r="G37" s="168">
        <f t="shared" si="26"/>
        <v>0</v>
      </c>
      <c r="H37" s="168">
        <f t="shared" si="26"/>
        <v>0</v>
      </c>
      <c r="I37" s="168">
        <f t="shared" si="26"/>
        <v>0</v>
      </c>
      <c r="J37" s="456"/>
      <c r="K37" s="196"/>
      <c r="L37" s="264">
        <f t="shared" ref="L37:Q37" si="27">SUM(L34:L36)</f>
        <v>0</v>
      </c>
      <c r="M37" s="264">
        <f t="shared" si="27"/>
        <v>0</v>
      </c>
      <c r="N37" s="264">
        <f t="shared" si="27"/>
        <v>0</v>
      </c>
      <c r="O37" s="264">
        <f t="shared" si="27"/>
        <v>0</v>
      </c>
      <c r="P37" s="264">
        <f t="shared" si="27"/>
        <v>0</v>
      </c>
      <c r="Q37" s="264">
        <f t="shared" si="27"/>
        <v>0</v>
      </c>
      <c r="R37" s="121"/>
      <c r="S37" s="121"/>
      <c r="T37" s="121"/>
      <c r="U37" s="121"/>
      <c r="V37" s="121"/>
      <c r="W37" s="121"/>
      <c r="X37" s="121"/>
      <c r="Y37" s="121"/>
      <c r="Z37" s="121"/>
      <c r="AJ37" s="258"/>
      <c r="AK37" s="258"/>
      <c r="AL37" s="258"/>
      <c r="AM37" s="258"/>
      <c r="AN37" s="258"/>
    </row>
    <row r="38" spans="1:40" x14ac:dyDescent="0.3">
      <c r="A38" s="448"/>
      <c r="B38" s="230"/>
      <c r="C38" s="289"/>
      <c r="D38" s="257" t="s">
        <v>2190</v>
      </c>
      <c r="E38" s="168">
        <f>E37-$D$37</f>
        <v>0</v>
      </c>
      <c r="F38" s="168">
        <f>F37-$D$37</f>
        <v>0</v>
      </c>
      <c r="G38" s="168">
        <f>G37-$D$37</f>
        <v>0</v>
      </c>
      <c r="H38" s="168">
        <f>H37-$D$37</f>
        <v>0</v>
      </c>
      <c r="I38" s="168">
        <f>I37-$D$37</f>
        <v>0</v>
      </c>
      <c r="J38" s="456"/>
      <c r="K38" s="196"/>
      <c r="L38" s="196"/>
      <c r="M38" s="264">
        <f>M37-$L37</f>
        <v>0</v>
      </c>
      <c r="N38" s="264">
        <f t="shared" ref="N38:Q38" si="28">N37-$L37</f>
        <v>0</v>
      </c>
      <c r="O38" s="264">
        <f t="shared" si="28"/>
        <v>0</v>
      </c>
      <c r="P38" s="264">
        <f t="shared" si="28"/>
        <v>0</v>
      </c>
      <c r="Q38" s="264">
        <f t="shared" si="28"/>
        <v>0</v>
      </c>
      <c r="R38" s="121"/>
      <c r="S38" s="121"/>
      <c r="T38" s="121"/>
      <c r="U38" s="121"/>
      <c r="V38" s="121"/>
      <c r="W38" s="121"/>
      <c r="X38" s="121"/>
      <c r="Y38" s="121"/>
      <c r="Z38" s="121"/>
      <c r="AJ38" s="258"/>
      <c r="AK38" s="258"/>
      <c r="AL38" s="258"/>
      <c r="AM38" s="258"/>
      <c r="AN38" s="258"/>
    </row>
    <row r="39" spans="1:40" x14ac:dyDescent="0.3">
      <c r="A39" s="260"/>
      <c r="B39" s="449"/>
      <c r="C39" s="450"/>
      <c r="D39" s="451"/>
      <c r="E39" s="452"/>
      <c r="F39" s="260"/>
      <c r="G39" s="260"/>
      <c r="H39" s="260"/>
      <c r="I39" s="280"/>
      <c r="J39" s="196"/>
      <c r="K39" s="196"/>
      <c r="L39" s="196"/>
      <c r="M39" s="196"/>
      <c r="N39" s="196"/>
      <c r="O39" s="196"/>
      <c r="P39" s="196"/>
      <c r="Q39" s="196"/>
      <c r="R39" s="121"/>
      <c r="S39" s="121"/>
      <c r="T39" s="121"/>
      <c r="U39" s="121"/>
      <c r="V39" s="121"/>
      <c r="W39" s="121"/>
      <c r="X39" s="121"/>
      <c r="Y39" s="121"/>
      <c r="Z39" s="121"/>
      <c r="AJ39" s="258"/>
      <c r="AK39" s="258"/>
      <c r="AL39" s="258"/>
      <c r="AM39" s="258"/>
      <c r="AN39" s="258"/>
    </row>
    <row r="40" spans="1:40" x14ac:dyDescent="0.3">
      <c r="A40" s="260"/>
      <c r="B40" s="342" t="s">
        <v>2191</v>
      </c>
      <c r="C40" s="343"/>
      <c r="D40" s="343"/>
      <c r="E40" s="343"/>
      <c r="F40" s="343"/>
      <c r="G40" s="343"/>
      <c r="H40" s="343"/>
      <c r="I40" s="195"/>
      <c r="J40" s="196"/>
      <c r="K40" s="196"/>
      <c r="L40" s="196"/>
      <c r="M40" s="196"/>
      <c r="N40" s="196"/>
      <c r="O40" s="196"/>
      <c r="P40" s="196"/>
      <c r="Q40" s="196"/>
      <c r="R40" s="121"/>
      <c r="S40" s="121"/>
      <c r="T40" s="121"/>
      <c r="U40" s="121"/>
      <c r="V40" s="121"/>
      <c r="W40" s="121"/>
      <c r="X40" s="121"/>
      <c r="Y40" s="121"/>
      <c r="Z40" s="121"/>
      <c r="AJ40" s="258"/>
      <c r="AK40" s="258"/>
      <c r="AL40" s="258"/>
      <c r="AM40" s="258"/>
      <c r="AN40" s="258"/>
    </row>
    <row r="41" spans="1:40" ht="43.2" x14ac:dyDescent="0.3">
      <c r="A41" s="260"/>
      <c r="B41" s="251" t="s">
        <v>2084</v>
      </c>
      <c r="C41" s="153" t="s">
        <v>2186</v>
      </c>
      <c r="D41" s="844" t="s">
        <v>2162</v>
      </c>
      <c r="E41" s="229" t="s">
        <v>1896</v>
      </c>
      <c r="F41" s="229" t="s">
        <v>1897</v>
      </c>
      <c r="G41" s="152" t="s">
        <v>2130</v>
      </c>
      <c r="H41" s="152" t="s">
        <v>2131</v>
      </c>
      <c r="I41" s="229" t="s">
        <v>2132</v>
      </c>
      <c r="J41" s="196"/>
      <c r="K41" s="447" t="s">
        <v>2221</v>
      </c>
      <c r="L41" s="844" t="s">
        <v>2162</v>
      </c>
      <c r="M41" s="846" t="s">
        <v>1896</v>
      </c>
      <c r="N41" s="846" t="s">
        <v>1897</v>
      </c>
      <c r="O41" s="359" t="s">
        <v>2130</v>
      </c>
      <c r="P41" s="359" t="s">
        <v>2131</v>
      </c>
      <c r="Q41" s="846" t="s">
        <v>2132</v>
      </c>
      <c r="R41" s="121"/>
      <c r="S41" s="121"/>
      <c r="T41" s="121"/>
      <c r="U41" s="121"/>
      <c r="V41" s="121"/>
      <c r="W41" s="121"/>
      <c r="X41" s="121"/>
      <c r="Y41" s="121"/>
      <c r="Z41" s="121"/>
      <c r="AJ41" s="258"/>
      <c r="AK41" s="258"/>
      <c r="AL41" s="258"/>
      <c r="AM41" s="258"/>
      <c r="AN41" s="258"/>
    </row>
    <row r="42" spans="1:40" x14ac:dyDescent="0.3">
      <c r="A42" s="260"/>
      <c r="B42" s="303" t="s">
        <v>2192</v>
      </c>
      <c r="C42" s="137">
        <f>'Capacity inputs'!$G$14</f>
        <v>4</v>
      </c>
      <c r="D42" s="116">
        <f>'Financial impact (cash)'!D13*$C42</f>
        <v>0</v>
      </c>
      <c r="E42" s="116">
        <f>'Financial impact (cash)'!E13*$C42</f>
        <v>13768.818042546036</v>
      </c>
      <c r="F42" s="116">
        <f>'Financial impact (cash)'!F13*$C42</f>
        <v>15874.122555855936</v>
      </c>
      <c r="G42" s="116">
        <f>'Financial impact (cash)'!G13*$C42</f>
        <v>17348.141526738869</v>
      </c>
      <c r="H42" s="116">
        <f>'Financial impact (cash)'!H13*$C42</f>
        <v>17500.6459071672</v>
      </c>
      <c r="I42" s="116">
        <f>'Financial impact (cash)'!I13*$C42</f>
        <v>17654.490926073373</v>
      </c>
      <c r="J42" s="196"/>
      <c r="K42" s="461">
        <f>'Unit costs'!L75</f>
        <v>153</v>
      </c>
      <c r="L42" s="263">
        <f>(D42*$K42)/1000</f>
        <v>0</v>
      </c>
      <c r="M42" s="263">
        <f t="shared" ref="M42:Q51" si="29">(E42*$K42)/1000</f>
        <v>2106.6291605095435</v>
      </c>
      <c r="N42" s="263">
        <f t="shared" si="29"/>
        <v>2428.7407510459579</v>
      </c>
      <c r="O42" s="263">
        <f t="shared" si="29"/>
        <v>2654.2656535910469</v>
      </c>
      <c r="P42" s="263">
        <f t="shared" si="29"/>
        <v>2677.5988237965817</v>
      </c>
      <c r="Q42" s="263">
        <f t="shared" si="29"/>
        <v>2701.1371116892265</v>
      </c>
      <c r="R42" s="121"/>
      <c r="S42" s="121"/>
      <c r="T42" s="121"/>
      <c r="U42" s="121"/>
      <c r="V42" s="121"/>
      <c r="W42" s="121"/>
      <c r="X42" s="121"/>
      <c r="Y42" s="121"/>
      <c r="Z42" s="121"/>
      <c r="AJ42" s="258"/>
      <c r="AK42" s="258"/>
      <c r="AL42" s="258"/>
      <c r="AM42" s="258"/>
      <c r="AN42" s="258"/>
    </row>
    <row r="43" spans="1:40" x14ac:dyDescent="0.3">
      <c r="A43" s="260"/>
      <c r="B43" s="303" t="s">
        <v>2193</v>
      </c>
      <c r="C43" s="137">
        <f>'Capacity inputs'!$G$14</f>
        <v>4</v>
      </c>
      <c r="D43" s="116">
        <f>'Financial impact (cash)'!D14*$C43</f>
        <v>0</v>
      </c>
      <c r="E43" s="116">
        <f>'Financial impact (cash)'!E14*$C43</f>
        <v>0</v>
      </c>
      <c r="F43" s="116">
        <f>'Financial impact (cash)'!F14*$C43</f>
        <v>13768.818042546036</v>
      </c>
      <c r="G43" s="116">
        <f>'Financial impact (cash)'!G14*$C43</f>
        <v>15874.122555855936</v>
      </c>
      <c r="H43" s="116">
        <f>'Financial impact (cash)'!H14*$C43</f>
        <v>17348.141526738869</v>
      </c>
      <c r="I43" s="116">
        <f>'Financial impact (cash)'!I14*$C43</f>
        <v>17500.6459071672</v>
      </c>
      <c r="J43" s="196"/>
      <c r="K43" s="461">
        <f t="shared" ref="K43:K51" si="30">K42</f>
        <v>153</v>
      </c>
      <c r="L43" s="263">
        <f t="shared" ref="L43:L51" si="31">(D43*$K43)/1000</f>
        <v>0</v>
      </c>
      <c r="M43" s="263">
        <f t="shared" si="29"/>
        <v>0</v>
      </c>
      <c r="N43" s="263">
        <f t="shared" si="29"/>
        <v>2106.6291605095435</v>
      </c>
      <c r="O43" s="263">
        <f t="shared" si="29"/>
        <v>2428.7407510459579</v>
      </c>
      <c r="P43" s="263">
        <f t="shared" si="29"/>
        <v>2654.2656535910469</v>
      </c>
      <c r="Q43" s="263">
        <f t="shared" si="29"/>
        <v>2677.5988237965817</v>
      </c>
      <c r="R43" s="121"/>
      <c r="S43" s="121"/>
      <c r="T43" s="121"/>
      <c r="U43" s="121"/>
      <c r="V43" s="121"/>
      <c r="W43" s="121"/>
      <c r="X43" s="121"/>
      <c r="Y43" s="121"/>
      <c r="Z43" s="121"/>
      <c r="AJ43" s="258"/>
      <c r="AK43" s="258"/>
      <c r="AL43" s="258"/>
      <c r="AM43" s="258"/>
      <c r="AN43" s="258"/>
    </row>
    <row r="44" spans="1:40" x14ac:dyDescent="0.3">
      <c r="A44" s="260"/>
      <c r="B44" s="303" t="s">
        <v>2194</v>
      </c>
      <c r="C44" s="137">
        <f>'Capacity inputs'!$G$14</f>
        <v>4</v>
      </c>
      <c r="D44" s="116">
        <f>'Financial impact (cash)'!D15*$C44</f>
        <v>0</v>
      </c>
      <c r="E44" s="116">
        <f>'Financial impact (cash)'!E15*$C44</f>
        <v>0</v>
      </c>
      <c r="F44" s="116">
        <f>'Financial impact (cash)'!F15*$C44</f>
        <v>0</v>
      </c>
      <c r="G44" s="116">
        <f>'Financial impact (cash)'!G15*$C44</f>
        <v>13768.818042546036</v>
      </c>
      <c r="H44" s="116">
        <f>'Financial impact (cash)'!H15*$C44</f>
        <v>15874.122555855936</v>
      </c>
      <c r="I44" s="116">
        <f>'Financial impact (cash)'!I15*$C44</f>
        <v>17348.141526738869</v>
      </c>
      <c r="J44" s="196"/>
      <c r="K44" s="461">
        <f t="shared" si="30"/>
        <v>153</v>
      </c>
      <c r="L44" s="263">
        <f t="shared" si="31"/>
        <v>0</v>
      </c>
      <c r="M44" s="263">
        <f t="shared" si="29"/>
        <v>0</v>
      </c>
      <c r="N44" s="263">
        <f t="shared" si="29"/>
        <v>0</v>
      </c>
      <c r="O44" s="263">
        <f t="shared" si="29"/>
        <v>2106.6291605095435</v>
      </c>
      <c r="P44" s="263">
        <f t="shared" si="29"/>
        <v>2428.7407510459579</v>
      </c>
      <c r="Q44" s="263">
        <f t="shared" si="29"/>
        <v>2654.2656535910469</v>
      </c>
      <c r="R44" s="121"/>
      <c r="S44" s="121"/>
      <c r="T44" s="121"/>
      <c r="U44" s="121"/>
      <c r="V44" s="121"/>
      <c r="W44" s="121"/>
      <c r="X44" s="121"/>
      <c r="Y44" s="121"/>
      <c r="Z44" s="121"/>
      <c r="AJ44" s="258"/>
      <c r="AK44" s="258"/>
      <c r="AL44" s="258"/>
      <c r="AM44" s="258"/>
      <c r="AN44" s="258"/>
    </row>
    <row r="45" spans="1:40" x14ac:dyDescent="0.3">
      <c r="A45" s="260"/>
      <c r="B45" s="303" t="s">
        <v>2167</v>
      </c>
      <c r="C45" s="137">
        <f>'Capacity inputs'!$H$14</f>
        <v>4</v>
      </c>
      <c r="D45" s="116">
        <f>'Financial impact (cash)'!D16*$C45</f>
        <v>15273.694754274724</v>
      </c>
      <c r="E45" s="116">
        <f>'Financial impact (cash)'!E16*$C45</f>
        <v>2622.6320081040071</v>
      </c>
      <c r="F45" s="116">
        <f>'Financial impact (cash)'!F16*$C45</f>
        <v>2314.9762060623243</v>
      </c>
      <c r="G45" s="116">
        <f>'Financial impact (cash)'!G16*$C45</f>
        <v>2001.7086377006385</v>
      </c>
      <c r="H45" s="116">
        <f>'Financial impact (cash)'!H16*$C45</f>
        <v>2019.3052969808305</v>
      </c>
      <c r="I45" s="116">
        <f>'Financial impact (cash)'!I16*$C45</f>
        <v>2037.0566453161584</v>
      </c>
      <c r="J45" s="196"/>
      <c r="K45" s="461">
        <f t="shared" si="30"/>
        <v>153</v>
      </c>
      <c r="L45" s="263">
        <f t="shared" si="31"/>
        <v>2336.8752974040326</v>
      </c>
      <c r="M45" s="263">
        <f t="shared" si="29"/>
        <v>401.26269723991311</v>
      </c>
      <c r="N45" s="263">
        <f t="shared" si="29"/>
        <v>354.19135952753561</v>
      </c>
      <c r="O45" s="263">
        <f t="shared" si="29"/>
        <v>306.2614215681977</v>
      </c>
      <c r="P45" s="263">
        <f t="shared" si="29"/>
        <v>308.95371043806705</v>
      </c>
      <c r="Q45" s="263">
        <f t="shared" si="29"/>
        <v>311.66966673337225</v>
      </c>
      <c r="R45" s="121"/>
      <c r="S45" s="121"/>
      <c r="T45" s="121"/>
      <c r="U45" s="121"/>
      <c r="V45" s="121"/>
      <c r="W45" s="121"/>
      <c r="X45" s="121"/>
      <c r="Y45" s="121"/>
      <c r="Z45" s="121"/>
      <c r="AJ45" s="258"/>
      <c r="AK45" s="258"/>
      <c r="AL45" s="258"/>
      <c r="AM45" s="258"/>
      <c r="AN45" s="258"/>
    </row>
    <row r="46" spans="1:40" x14ac:dyDescent="0.3">
      <c r="A46" s="260"/>
      <c r="B46" s="303" t="s">
        <v>2168</v>
      </c>
      <c r="C46" s="137">
        <f>'Capacity inputs'!$H$14</f>
        <v>4</v>
      </c>
      <c r="D46" s="116">
        <f>'Financial impact (cash)'!D17*$C46</f>
        <v>15273.694754274724</v>
      </c>
      <c r="E46" s="116">
        <f>'Financial impact (cash)'!E17*$C46</f>
        <v>15273.694754274724</v>
      </c>
      <c r="F46" s="116">
        <f>'Financial impact (cash)'!F17*$C46</f>
        <v>2622.6320081040071</v>
      </c>
      <c r="G46" s="116">
        <f>'Financial impact (cash)'!G17*$C46</f>
        <v>2314.9762060623243</v>
      </c>
      <c r="H46" s="116">
        <f>'Financial impact (cash)'!H17*$C46</f>
        <v>2001.7086377006385</v>
      </c>
      <c r="I46" s="116">
        <f>'Financial impact (cash)'!I17*$C46</f>
        <v>2019.3052969808305</v>
      </c>
      <c r="J46" s="196"/>
      <c r="K46" s="461">
        <f t="shared" si="30"/>
        <v>153</v>
      </c>
      <c r="L46" s="263">
        <f t="shared" si="31"/>
        <v>2336.8752974040326</v>
      </c>
      <c r="M46" s="263">
        <f t="shared" si="29"/>
        <v>2336.8752974040326</v>
      </c>
      <c r="N46" s="263">
        <f t="shared" si="29"/>
        <v>401.26269723991311</v>
      </c>
      <c r="O46" s="263">
        <f t="shared" si="29"/>
        <v>354.19135952753561</v>
      </c>
      <c r="P46" s="263">
        <f t="shared" si="29"/>
        <v>306.2614215681977</v>
      </c>
      <c r="Q46" s="263">
        <f t="shared" si="29"/>
        <v>308.95371043806705</v>
      </c>
      <c r="R46" s="121"/>
      <c r="S46" s="121"/>
      <c r="T46" s="121"/>
      <c r="U46" s="121"/>
      <c r="V46" s="121"/>
      <c r="W46" s="121"/>
      <c r="X46" s="121"/>
      <c r="Y46" s="121"/>
      <c r="Z46" s="121"/>
      <c r="AJ46" s="258"/>
      <c r="AK46" s="258"/>
      <c r="AL46" s="258"/>
      <c r="AM46" s="258"/>
      <c r="AN46" s="258"/>
    </row>
    <row r="47" spans="1:40" x14ac:dyDescent="0.3">
      <c r="A47" s="260"/>
      <c r="B47" s="303" t="s">
        <v>2169</v>
      </c>
      <c r="C47" s="137">
        <f>'Capacity inputs'!$H$14</f>
        <v>4</v>
      </c>
      <c r="D47" s="116">
        <f>'Financial impact (cash)'!D18*$C47</f>
        <v>15273.694754274724</v>
      </c>
      <c r="E47" s="116">
        <f>'Financial impact (cash)'!E18*$C47</f>
        <v>15273.694754274724</v>
      </c>
      <c r="F47" s="116">
        <f>'Financial impact (cash)'!F18*$C47</f>
        <v>15273.694754274724</v>
      </c>
      <c r="G47" s="116">
        <f>'Financial impact (cash)'!G18*$C47</f>
        <v>2622.6320081040071</v>
      </c>
      <c r="H47" s="116">
        <f>'Financial impact (cash)'!H18*$C47</f>
        <v>2314.9762060623243</v>
      </c>
      <c r="I47" s="116">
        <f>'Financial impact (cash)'!I18*$C47</f>
        <v>2001.7086377006385</v>
      </c>
      <c r="J47" s="196"/>
      <c r="K47" s="461">
        <f t="shared" si="30"/>
        <v>153</v>
      </c>
      <c r="L47" s="263">
        <f t="shared" si="31"/>
        <v>2336.8752974040326</v>
      </c>
      <c r="M47" s="263">
        <f t="shared" si="29"/>
        <v>2336.8752974040326</v>
      </c>
      <c r="N47" s="263">
        <f t="shared" si="29"/>
        <v>2336.8752974040326</v>
      </c>
      <c r="O47" s="263">
        <f t="shared" si="29"/>
        <v>401.26269723991311</v>
      </c>
      <c r="P47" s="263">
        <f t="shared" si="29"/>
        <v>354.19135952753561</v>
      </c>
      <c r="Q47" s="263">
        <f t="shared" si="29"/>
        <v>306.2614215681977</v>
      </c>
      <c r="R47" s="121"/>
      <c r="S47" s="121"/>
      <c r="T47" s="121"/>
      <c r="U47" s="121"/>
      <c r="V47" s="121"/>
      <c r="W47" s="121"/>
      <c r="X47" s="121"/>
      <c r="Y47" s="121"/>
      <c r="Z47" s="121"/>
      <c r="AJ47" s="258"/>
      <c r="AK47" s="258"/>
      <c r="AL47" s="258"/>
      <c r="AM47" s="258"/>
      <c r="AN47" s="258"/>
    </row>
    <row r="48" spans="1:40" x14ac:dyDescent="0.3">
      <c r="A48" s="260"/>
      <c r="B48" s="303" t="s">
        <v>2170</v>
      </c>
      <c r="C48" s="137">
        <f>'Capacity inputs'!$H$14</f>
        <v>4</v>
      </c>
      <c r="D48" s="116">
        <f>'Financial impact (cash)'!D19*$C48</f>
        <v>15273.694754274724</v>
      </c>
      <c r="E48" s="116">
        <f>'Financial impact (cash)'!E19*$C48</f>
        <v>15273.694754274724</v>
      </c>
      <c r="F48" s="116">
        <f>'Financial impact (cash)'!F19*$C48</f>
        <v>15273.694754274724</v>
      </c>
      <c r="G48" s="116">
        <f>'Financial impact (cash)'!G19*$C48</f>
        <v>15273.694754274724</v>
      </c>
      <c r="H48" s="116">
        <f>'Financial impact (cash)'!H19*$C48</f>
        <v>2622.6320081040071</v>
      </c>
      <c r="I48" s="116">
        <f>'Financial impact (cash)'!I19*$C48</f>
        <v>2314.9762060623243</v>
      </c>
      <c r="J48" s="196"/>
      <c r="K48" s="461">
        <f t="shared" si="30"/>
        <v>153</v>
      </c>
      <c r="L48" s="263">
        <f t="shared" si="31"/>
        <v>2336.8752974040326</v>
      </c>
      <c r="M48" s="263">
        <f t="shared" si="29"/>
        <v>2336.8752974040326</v>
      </c>
      <c r="N48" s="263">
        <f t="shared" si="29"/>
        <v>2336.8752974040326</v>
      </c>
      <c r="O48" s="263">
        <f t="shared" si="29"/>
        <v>2336.8752974040326</v>
      </c>
      <c r="P48" s="263">
        <f t="shared" si="29"/>
        <v>401.26269723991311</v>
      </c>
      <c r="Q48" s="263">
        <f t="shared" si="29"/>
        <v>354.19135952753561</v>
      </c>
      <c r="R48" s="121"/>
      <c r="S48" s="121"/>
      <c r="T48" s="121"/>
      <c r="U48" s="121"/>
      <c r="V48" s="121"/>
      <c r="W48" s="121"/>
      <c r="X48" s="121"/>
      <c r="Y48" s="121"/>
      <c r="Z48" s="121"/>
      <c r="AJ48" s="258"/>
      <c r="AK48" s="258"/>
      <c r="AL48" s="258"/>
      <c r="AM48" s="258"/>
      <c r="AN48" s="258"/>
    </row>
    <row r="49" spans="1:40" x14ac:dyDescent="0.3">
      <c r="A49" s="260"/>
      <c r="B49" s="303" t="s">
        <v>2171</v>
      </c>
      <c r="C49" s="137">
        <f>'Capacity inputs'!$H$14</f>
        <v>4</v>
      </c>
      <c r="D49" s="116">
        <f>'Financial impact (cash)'!D20*$C49</f>
        <v>15273.694754274724</v>
      </c>
      <c r="E49" s="116">
        <f>'Financial impact (cash)'!E20*$C49</f>
        <v>15273.694754274724</v>
      </c>
      <c r="F49" s="116">
        <f>'Financial impact (cash)'!F20*$C49</f>
        <v>15273.694754274724</v>
      </c>
      <c r="G49" s="116">
        <f>'Financial impact (cash)'!G20*$C49</f>
        <v>15273.694754274724</v>
      </c>
      <c r="H49" s="116">
        <f>'Financial impact (cash)'!H20*$C49</f>
        <v>15273.694754274724</v>
      </c>
      <c r="I49" s="116">
        <f>'Financial impact (cash)'!I20*$C49</f>
        <v>2622.6320081040071</v>
      </c>
      <c r="J49" s="196"/>
      <c r="K49" s="461">
        <f t="shared" si="30"/>
        <v>153</v>
      </c>
      <c r="L49" s="263">
        <f t="shared" si="31"/>
        <v>2336.8752974040326</v>
      </c>
      <c r="M49" s="263">
        <f t="shared" si="29"/>
        <v>2336.8752974040326</v>
      </c>
      <c r="N49" s="263">
        <f t="shared" si="29"/>
        <v>2336.8752974040326</v>
      </c>
      <c r="O49" s="263">
        <f t="shared" si="29"/>
        <v>2336.8752974040326</v>
      </c>
      <c r="P49" s="263">
        <f t="shared" si="29"/>
        <v>2336.8752974040326</v>
      </c>
      <c r="Q49" s="263">
        <f t="shared" si="29"/>
        <v>401.26269723991311</v>
      </c>
      <c r="R49" s="121"/>
      <c r="S49" s="121"/>
      <c r="T49" s="121"/>
      <c r="U49" s="121"/>
      <c r="V49" s="121"/>
      <c r="W49" s="121"/>
      <c r="X49" s="121"/>
      <c r="Y49" s="121"/>
      <c r="Z49" s="121"/>
      <c r="AJ49" s="258"/>
      <c r="AK49" s="258"/>
      <c r="AL49" s="258"/>
      <c r="AM49" s="258"/>
      <c r="AN49" s="258"/>
    </row>
    <row r="50" spans="1:40" x14ac:dyDescent="0.3">
      <c r="A50" s="260"/>
      <c r="B50" s="303" t="s">
        <v>2172</v>
      </c>
      <c r="C50" s="137">
        <f>'Capacity inputs'!$I$14</f>
        <v>4</v>
      </c>
      <c r="D50" s="116">
        <f>'Financial impact (cash)'!D21*$C50</f>
        <v>17223.528127160862</v>
      </c>
      <c r="E50" s="116">
        <f>'Financial impact (cash)'!E21*$C50</f>
        <v>16391.450050650044</v>
      </c>
      <c r="F50" s="116">
        <f>'Financial impact (cash)'!F21*$C50</f>
        <v>14881.989896114941</v>
      </c>
      <c r="G50" s="116">
        <f>'Financial impact (cash)'!G21*$C50</f>
        <v>14011.96046390447</v>
      </c>
      <c r="H50" s="116">
        <f>'Financial impact (cash)'!H21*$C50</f>
        <v>14135.137078865813</v>
      </c>
      <c r="I50" s="116">
        <f>'Financial impact (cash)'!I21*$C50</f>
        <v>14259.396517213108</v>
      </c>
      <c r="J50" s="196"/>
      <c r="K50" s="461">
        <f t="shared" si="30"/>
        <v>153</v>
      </c>
      <c r="L50" s="263">
        <f t="shared" si="31"/>
        <v>2635.1998034556118</v>
      </c>
      <c r="M50" s="263">
        <f t="shared" si="29"/>
        <v>2507.8918577494569</v>
      </c>
      <c r="N50" s="263">
        <f t="shared" si="29"/>
        <v>2276.9444541055859</v>
      </c>
      <c r="O50" s="263">
        <f t="shared" si="29"/>
        <v>2143.8299509773842</v>
      </c>
      <c r="P50" s="263">
        <f t="shared" si="29"/>
        <v>2162.6759730664699</v>
      </c>
      <c r="Q50" s="263">
        <f t="shared" si="29"/>
        <v>2181.6876671336054</v>
      </c>
      <c r="R50" s="121"/>
      <c r="S50" s="121"/>
      <c r="T50" s="121"/>
      <c r="U50" s="121"/>
      <c r="V50" s="121"/>
      <c r="W50" s="121"/>
      <c r="X50" s="121"/>
      <c r="Y50" s="121"/>
      <c r="Z50" s="121"/>
      <c r="AJ50" s="258"/>
      <c r="AK50" s="258"/>
      <c r="AL50" s="258"/>
      <c r="AM50" s="258"/>
      <c r="AN50" s="258"/>
    </row>
    <row r="51" spans="1:40" x14ac:dyDescent="0.3">
      <c r="A51" s="260"/>
      <c r="B51" s="303" t="s">
        <v>2173</v>
      </c>
      <c r="C51" s="137">
        <f>'Capacity inputs'!$I$14</f>
        <v>4</v>
      </c>
      <c r="D51" s="116">
        <f>'Financial impact (cash)'!D22*$C51</f>
        <v>17223.528127160862</v>
      </c>
      <c r="E51" s="116">
        <f>'Financial impact (cash)'!E22*$C51</f>
        <v>17223.528127160862</v>
      </c>
      <c r="F51" s="116">
        <f>'Financial impact (cash)'!F22*$C51</f>
        <v>16391.450050650044</v>
      </c>
      <c r="G51" s="116">
        <f>'Financial impact (cash)'!G22*$C51</f>
        <v>14881.989896114941</v>
      </c>
      <c r="H51" s="116">
        <f>'Financial impact (cash)'!H22*$C51</f>
        <v>14011.96046390447</v>
      </c>
      <c r="I51" s="116">
        <f>'Financial impact (cash)'!I22*$C51</f>
        <v>14135.137078865813</v>
      </c>
      <c r="J51" s="196"/>
      <c r="K51" s="461">
        <f t="shared" si="30"/>
        <v>153</v>
      </c>
      <c r="L51" s="263">
        <f t="shared" si="31"/>
        <v>2635.1998034556118</v>
      </c>
      <c r="M51" s="263">
        <f t="shared" si="29"/>
        <v>2635.1998034556118</v>
      </c>
      <c r="N51" s="263">
        <f t="shared" si="29"/>
        <v>2507.8918577494569</v>
      </c>
      <c r="O51" s="263">
        <f t="shared" si="29"/>
        <v>2276.9444541055859</v>
      </c>
      <c r="P51" s="263">
        <f t="shared" si="29"/>
        <v>2143.8299509773842</v>
      </c>
      <c r="Q51" s="263">
        <f t="shared" si="29"/>
        <v>2162.6759730664699</v>
      </c>
      <c r="R51" s="121"/>
      <c r="S51" s="121"/>
      <c r="T51" s="121"/>
      <c r="U51" s="121"/>
      <c r="V51" s="121"/>
      <c r="W51" s="121"/>
      <c r="X51" s="121"/>
      <c r="Y51" s="121"/>
      <c r="Z51" s="121"/>
      <c r="AJ51" s="258"/>
      <c r="AK51" s="258"/>
      <c r="AL51" s="258"/>
      <c r="AM51" s="258"/>
      <c r="AN51" s="258"/>
    </row>
    <row r="52" spans="1:40" x14ac:dyDescent="0.3">
      <c r="A52" s="260"/>
      <c r="B52" s="252"/>
      <c r="C52" s="289"/>
      <c r="D52" s="168">
        <f t="shared" ref="D52:I52" si="32">SUM(D42:D51)</f>
        <v>110815.53002569533</v>
      </c>
      <c r="E52" s="168">
        <f t="shared" si="32"/>
        <v>111101.20724555984</v>
      </c>
      <c r="F52" s="168">
        <f t="shared" si="32"/>
        <v>111675.07302215746</v>
      </c>
      <c r="G52" s="168">
        <f t="shared" si="32"/>
        <v>113371.73884557668</v>
      </c>
      <c r="H52" s="168">
        <f t="shared" si="32"/>
        <v>103102.32443565482</v>
      </c>
      <c r="I52" s="168">
        <f t="shared" si="32"/>
        <v>91893.490750222321</v>
      </c>
      <c r="J52" s="196"/>
      <c r="K52" s="196"/>
      <c r="L52" s="264">
        <f t="shared" ref="L52:Q52" si="33">SUM(L42:L51)</f>
        <v>16954.776093931388</v>
      </c>
      <c r="M52" s="264">
        <f t="shared" si="33"/>
        <v>16998.484708570657</v>
      </c>
      <c r="N52" s="264">
        <f t="shared" si="33"/>
        <v>17086.28617239009</v>
      </c>
      <c r="O52" s="264">
        <f t="shared" si="33"/>
        <v>17345.876043373231</v>
      </c>
      <c r="P52" s="264">
        <f t="shared" si="33"/>
        <v>15774.655638655187</v>
      </c>
      <c r="Q52" s="264">
        <f t="shared" si="33"/>
        <v>14059.704084784018</v>
      </c>
      <c r="R52" s="121"/>
      <c r="S52" s="121"/>
      <c r="T52" s="121"/>
      <c r="U52" s="121"/>
      <c r="V52" s="121"/>
      <c r="W52" s="121"/>
      <c r="X52" s="121"/>
      <c r="Y52" s="121"/>
      <c r="Z52" s="121"/>
      <c r="AJ52" s="258"/>
      <c r="AK52" s="258"/>
      <c r="AL52" s="258"/>
      <c r="AM52" s="258"/>
      <c r="AN52" s="258"/>
    </row>
    <row r="53" spans="1:40" x14ac:dyDescent="0.3">
      <c r="A53" s="260"/>
      <c r="B53" s="279"/>
      <c r="C53" s="230"/>
      <c r="D53" s="257" t="s">
        <v>2195</v>
      </c>
      <c r="E53" s="168">
        <f>E52-$D$52</f>
        <v>285.67721986450488</v>
      </c>
      <c r="F53" s="168">
        <f t="shared" ref="F53:I53" si="34">F52-$D$52</f>
        <v>859.54299646212894</v>
      </c>
      <c r="G53" s="168">
        <f t="shared" si="34"/>
        <v>2556.2088198813435</v>
      </c>
      <c r="H53" s="168">
        <f t="shared" si="34"/>
        <v>-7713.2055900405103</v>
      </c>
      <c r="I53" s="168">
        <f t="shared" si="34"/>
        <v>-18922.039275473013</v>
      </c>
      <c r="J53" s="196"/>
      <c r="K53" s="196"/>
      <c r="L53" s="196"/>
      <c r="M53" s="264">
        <f>M52-$L52</f>
        <v>43.70861463926849</v>
      </c>
      <c r="N53" s="264">
        <f t="shared" ref="N53:Q53" si="35">N52-$L52</f>
        <v>131.51007845870117</v>
      </c>
      <c r="O53" s="264">
        <f t="shared" si="35"/>
        <v>391.09994944184291</v>
      </c>
      <c r="P53" s="264">
        <f t="shared" si="35"/>
        <v>-1180.120455276201</v>
      </c>
      <c r="Q53" s="264">
        <f t="shared" si="35"/>
        <v>-2895.0720091473704</v>
      </c>
      <c r="R53" s="121"/>
      <c r="S53" s="121"/>
      <c r="T53" s="121"/>
      <c r="U53" s="121"/>
      <c r="V53" s="121"/>
      <c r="W53" s="121"/>
      <c r="X53" s="121"/>
      <c r="Y53" s="121"/>
      <c r="Z53" s="121"/>
      <c r="AJ53" s="258"/>
      <c r="AK53" s="258"/>
      <c r="AL53" s="258"/>
      <c r="AM53" s="258"/>
      <c r="AN53" s="258"/>
    </row>
    <row r="54" spans="1:40" x14ac:dyDescent="0.3">
      <c r="A54" s="260"/>
      <c r="B54" s="260"/>
      <c r="C54" s="260"/>
      <c r="D54" s="454"/>
      <c r="E54" s="455"/>
      <c r="F54" s="455"/>
      <c r="G54" s="455"/>
      <c r="H54" s="455"/>
      <c r="I54" s="455"/>
      <c r="J54" s="196"/>
      <c r="K54" s="196"/>
      <c r="L54" s="196"/>
      <c r="M54" s="196"/>
      <c r="N54" s="196"/>
      <c r="O54" s="196"/>
      <c r="P54" s="196"/>
      <c r="Q54" s="196"/>
      <c r="R54" s="121"/>
      <c r="S54" s="121"/>
      <c r="T54" s="121"/>
      <c r="U54" s="121"/>
      <c r="V54" s="121"/>
      <c r="W54" s="121"/>
      <c r="X54" s="121"/>
      <c r="Y54" s="121"/>
      <c r="Z54" s="121"/>
      <c r="AJ54" s="258"/>
      <c r="AK54" s="258"/>
      <c r="AL54" s="258"/>
      <c r="AM54" s="258"/>
      <c r="AN54" s="258"/>
    </row>
    <row r="55" spans="1:40" x14ac:dyDescent="0.3">
      <c r="A55" s="266"/>
      <c r="B55" s="287" t="s">
        <v>2196</v>
      </c>
      <c r="C55" s="267"/>
      <c r="D55" s="267"/>
      <c r="E55" s="268"/>
      <c r="F55" s="269"/>
      <c r="G55" s="270"/>
      <c r="H55" s="270"/>
      <c r="I55" s="365"/>
      <c r="J55" s="366"/>
      <c r="K55" s="266"/>
      <c r="L55" s="266"/>
      <c r="M55" s="266"/>
      <c r="N55" s="266"/>
      <c r="O55" s="266"/>
      <c r="P55" s="266"/>
      <c r="Q55" s="192"/>
      <c r="R55" s="121"/>
      <c r="S55" s="121"/>
      <c r="V55" s="121"/>
    </row>
    <row r="56" spans="1:40" x14ac:dyDescent="0.3">
      <c r="A56" s="266"/>
      <c r="B56" s="710" t="s">
        <v>2197</v>
      </c>
      <c r="C56" s="336"/>
      <c r="D56" s="336"/>
      <c r="E56" s="336"/>
      <c r="F56" s="336"/>
      <c r="G56" s="336"/>
      <c r="H56" s="336"/>
      <c r="I56" s="336"/>
      <c r="J56" s="362"/>
      <c r="K56" s="192"/>
      <c r="L56" s="192"/>
      <c r="M56" s="192"/>
      <c r="N56" s="192"/>
      <c r="O56" s="192"/>
      <c r="P56" s="192"/>
      <c r="Q56" s="192"/>
      <c r="R56" s="121"/>
      <c r="S56" s="121"/>
      <c r="T56" s="121"/>
      <c r="U56" s="121"/>
      <c r="V56" s="121"/>
      <c r="W56" s="121"/>
      <c r="X56" s="121"/>
      <c r="Y56" s="121"/>
      <c r="Z56" s="121"/>
      <c r="AJ56" s="258"/>
      <c r="AK56" s="258"/>
      <c r="AL56" s="258"/>
      <c r="AM56" s="258"/>
      <c r="AN56" s="258"/>
    </row>
    <row r="57" spans="1:40" ht="43.2" x14ac:dyDescent="0.3">
      <c r="A57" s="266"/>
      <c r="B57" s="254" t="s">
        <v>2084</v>
      </c>
      <c r="C57" s="153" t="s">
        <v>2075</v>
      </c>
      <c r="D57" s="210" t="s">
        <v>2162</v>
      </c>
      <c r="E57" s="152" t="s">
        <v>1896</v>
      </c>
      <c r="F57" s="152" t="s">
        <v>1897</v>
      </c>
      <c r="G57" s="152" t="s">
        <v>2130</v>
      </c>
      <c r="H57" s="152" t="s">
        <v>2131</v>
      </c>
      <c r="I57" s="152" t="s">
        <v>2132</v>
      </c>
      <c r="J57" s="362"/>
      <c r="K57" s="192"/>
      <c r="L57" s="192"/>
      <c r="M57" s="192"/>
      <c r="N57" s="192"/>
      <c r="O57" s="192"/>
      <c r="P57" s="192"/>
      <c r="Q57" s="192"/>
      <c r="R57" s="121"/>
      <c r="S57" s="121"/>
      <c r="T57" s="121"/>
      <c r="U57" s="121"/>
      <c r="V57" s="121"/>
      <c r="W57" s="121"/>
      <c r="X57" s="121"/>
      <c r="Y57" s="121"/>
      <c r="Z57" s="121"/>
      <c r="AJ57" s="258"/>
      <c r="AK57" s="258"/>
      <c r="AL57" s="258"/>
      <c r="AM57" s="258"/>
      <c r="AN57" s="258"/>
    </row>
    <row r="58" spans="1:40" x14ac:dyDescent="0.3">
      <c r="A58" s="266"/>
      <c r="B58" s="303" t="s">
        <v>2192</v>
      </c>
      <c r="C58" s="855">
        <f>'Inputs and population'!$H$39</f>
        <v>13</v>
      </c>
      <c r="D58" s="116">
        <f>'Financial impact (cash)'!D13*$C58</f>
        <v>0</v>
      </c>
      <c r="E58" s="116">
        <f>'Financial impact (cash)'!E13*$C58</f>
        <v>44748.658638274617</v>
      </c>
      <c r="F58" s="116">
        <f>'Financial impact (cash)'!F13*$C58</f>
        <v>51590.898306531795</v>
      </c>
      <c r="G58" s="116">
        <f>'Financial impact (cash)'!G13*$C58</f>
        <v>56381.459961901324</v>
      </c>
      <c r="H58" s="116">
        <f>'Financial impact (cash)'!H13*$C58</f>
        <v>56877.099198293399</v>
      </c>
      <c r="I58" s="116">
        <f>'Financial impact (cash)'!I13*$C58</f>
        <v>57377.095509738465</v>
      </c>
      <c r="J58" s="362"/>
      <c r="K58" s="192"/>
      <c r="L58" s="192"/>
      <c r="M58" s="192"/>
      <c r="N58" s="192"/>
      <c r="O58" s="192"/>
      <c r="P58" s="192"/>
      <c r="Q58" s="192"/>
      <c r="R58" s="121"/>
      <c r="S58" s="121"/>
      <c r="T58" s="121"/>
      <c r="U58" s="121"/>
      <c r="V58" s="121"/>
      <c r="W58" s="121"/>
      <c r="X58" s="121"/>
      <c r="Y58" s="121"/>
      <c r="Z58" s="121"/>
      <c r="AJ58" s="258"/>
      <c r="AK58" s="258"/>
      <c r="AL58" s="258"/>
      <c r="AM58" s="258"/>
      <c r="AN58" s="258"/>
    </row>
    <row r="59" spans="1:40" x14ac:dyDescent="0.3">
      <c r="A59" s="266"/>
      <c r="B59" s="303" t="s">
        <v>2193</v>
      </c>
      <c r="C59" s="855">
        <f>'Inputs and population'!$I$39</f>
        <v>13</v>
      </c>
      <c r="D59" s="116">
        <f>'Financial impact (cash)'!D14*$C59</f>
        <v>0</v>
      </c>
      <c r="E59" s="116">
        <f>'Financial impact (cash)'!E14*$C59</f>
        <v>0</v>
      </c>
      <c r="F59" s="116">
        <f>'Financial impact (cash)'!F14*$C59</f>
        <v>44748.658638274617</v>
      </c>
      <c r="G59" s="116">
        <f>'Financial impact (cash)'!G14*$C59</f>
        <v>51590.898306531795</v>
      </c>
      <c r="H59" s="116">
        <f>'Financial impact (cash)'!H14*$C59</f>
        <v>56381.459961901324</v>
      </c>
      <c r="I59" s="116">
        <f>'Financial impact (cash)'!I14*$C59</f>
        <v>56877.099198293399</v>
      </c>
      <c r="J59" s="362"/>
      <c r="K59" s="192"/>
      <c r="L59" s="192"/>
      <c r="M59" s="192"/>
      <c r="N59" s="192"/>
      <c r="O59" s="192"/>
      <c r="P59" s="192"/>
      <c r="Q59" s="192"/>
      <c r="R59" s="121"/>
      <c r="S59" s="121"/>
      <c r="T59" s="121"/>
      <c r="U59" s="121"/>
      <c r="V59" s="121"/>
      <c r="W59" s="121"/>
      <c r="X59" s="121"/>
      <c r="Y59" s="121"/>
      <c r="Z59" s="121"/>
      <c r="AJ59" s="258"/>
      <c r="AK59" s="258"/>
      <c r="AL59" s="258"/>
      <c r="AM59" s="258"/>
      <c r="AN59" s="258"/>
    </row>
    <row r="60" spans="1:40" x14ac:dyDescent="0.3">
      <c r="A60" s="266"/>
      <c r="B60" s="303" t="s">
        <v>2194</v>
      </c>
      <c r="C60" s="855">
        <f>'Inputs and population'!$J$39</f>
        <v>13</v>
      </c>
      <c r="D60" s="116">
        <f>'Financial impact (cash)'!D15*$C60</f>
        <v>0</v>
      </c>
      <c r="E60" s="116">
        <f>'Financial impact (cash)'!E15*$C60</f>
        <v>0</v>
      </c>
      <c r="F60" s="116">
        <f>'Financial impact (cash)'!F15*$C60</f>
        <v>0</v>
      </c>
      <c r="G60" s="116">
        <f>'Financial impact (cash)'!G15*$C60</f>
        <v>44748.658638274617</v>
      </c>
      <c r="H60" s="116">
        <f>'Financial impact (cash)'!H15*$C60</f>
        <v>51590.898306531795</v>
      </c>
      <c r="I60" s="116">
        <f>'Financial impact (cash)'!I15*$C60</f>
        <v>56381.459961901324</v>
      </c>
      <c r="J60" s="362"/>
      <c r="K60" s="192"/>
      <c r="L60" s="192"/>
      <c r="M60" s="192"/>
      <c r="N60" s="192"/>
      <c r="O60" s="192"/>
      <c r="P60" s="192"/>
      <c r="Q60" s="192"/>
      <c r="R60" s="121"/>
      <c r="S60" s="121"/>
      <c r="T60" s="121"/>
      <c r="U60" s="121"/>
      <c r="V60" s="121"/>
      <c r="W60" s="121"/>
      <c r="X60" s="121"/>
      <c r="Y60" s="121"/>
      <c r="Z60" s="121"/>
      <c r="AJ60" s="258"/>
      <c r="AK60" s="258"/>
      <c r="AL60" s="258"/>
      <c r="AM60" s="258"/>
      <c r="AN60" s="258"/>
    </row>
    <row r="61" spans="1:40" x14ac:dyDescent="0.3">
      <c r="A61" s="266"/>
      <c r="B61" s="303" t="s">
        <v>2167</v>
      </c>
      <c r="C61" s="855">
        <f>'Inputs and population'!$H$40</f>
        <v>13</v>
      </c>
      <c r="D61" s="116">
        <f>'Financial impact (cash)'!D16*$C61</f>
        <v>49639.50795139285</v>
      </c>
      <c r="E61" s="116">
        <f>'Financial impact (cash)'!E16*$C61</f>
        <v>8523.5540263380226</v>
      </c>
      <c r="F61" s="116">
        <f>'Financial impact (cash)'!F16*$C61</f>
        <v>7523.6726697025542</v>
      </c>
      <c r="G61" s="116">
        <f>'Financial impact (cash)'!G16*$C61</f>
        <v>6505.5530725270755</v>
      </c>
      <c r="H61" s="116">
        <f>'Financial impact (cash)'!H16*$C61</f>
        <v>6562.742215187699</v>
      </c>
      <c r="I61" s="116">
        <f>'Financial impact (cash)'!I16*$C61</f>
        <v>6620.4340972775153</v>
      </c>
      <c r="J61" s="362"/>
      <c r="K61" s="192"/>
      <c r="L61" s="192"/>
      <c r="M61" s="192"/>
      <c r="N61" s="192"/>
      <c r="O61" s="192"/>
      <c r="P61" s="192"/>
      <c r="Q61" s="192"/>
      <c r="R61" s="121"/>
      <c r="S61" s="121"/>
      <c r="T61" s="121"/>
      <c r="U61" s="121"/>
      <c r="V61" s="121"/>
      <c r="W61" s="121"/>
      <c r="X61" s="121"/>
      <c r="Y61" s="121"/>
      <c r="Z61" s="121"/>
      <c r="AJ61" s="258"/>
      <c r="AK61" s="258"/>
      <c r="AL61" s="258"/>
      <c r="AM61" s="258"/>
      <c r="AN61" s="258"/>
    </row>
    <row r="62" spans="1:40" x14ac:dyDescent="0.3">
      <c r="A62" s="266"/>
      <c r="B62" s="303" t="s">
        <v>2168</v>
      </c>
      <c r="C62" s="855">
        <f>'Inputs and population'!$I$40</f>
        <v>13</v>
      </c>
      <c r="D62" s="116">
        <f>'Financial impact (cash)'!D17*$C62</f>
        <v>49639.50795139285</v>
      </c>
      <c r="E62" s="116">
        <f>'Financial impact (cash)'!E17*$C62</f>
        <v>49639.50795139285</v>
      </c>
      <c r="F62" s="116">
        <f>'Financial impact (cash)'!F17*$C62</f>
        <v>8523.5540263380226</v>
      </c>
      <c r="G62" s="116">
        <f>'Financial impact (cash)'!G17*$C62</f>
        <v>7523.6726697025542</v>
      </c>
      <c r="H62" s="116">
        <f>'Financial impact (cash)'!H17*$C62</f>
        <v>6505.5530725270755</v>
      </c>
      <c r="I62" s="116">
        <f>'Financial impact (cash)'!I17*$C62</f>
        <v>6562.742215187699</v>
      </c>
      <c r="J62" s="362"/>
      <c r="K62" s="192"/>
      <c r="L62" s="192"/>
      <c r="M62" s="192"/>
      <c r="N62" s="192"/>
      <c r="O62" s="192"/>
      <c r="P62" s="192"/>
      <c r="Q62" s="192"/>
      <c r="R62" s="121"/>
      <c r="S62" s="121"/>
      <c r="T62" s="121"/>
      <c r="U62" s="121"/>
      <c r="V62" s="121"/>
      <c r="W62" s="121"/>
      <c r="X62" s="121"/>
      <c r="Y62" s="121"/>
      <c r="Z62" s="121"/>
      <c r="AJ62" s="258"/>
      <c r="AK62" s="258"/>
      <c r="AL62" s="258"/>
      <c r="AM62" s="258"/>
      <c r="AN62" s="258"/>
    </row>
    <row r="63" spans="1:40" x14ac:dyDescent="0.3">
      <c r="A63" s="266"/>
      <c r="B63" s="303" t="s">
        <v>2169</v>
      </c>
      <c r="C63" s="855">
        <f>'Inputs and population'!$J$40</f>
        <v>13</v>
      </c>
      <c r="D63" s="116">
        <f>'Financial impact (cash)'!D18*$C63</f>
        <v>49639.50795139285</v>
      </c>
      <c r="E63" s="116">
        <f>'Financial impact (cash)'!E18*$C63</f>
        <v>49639.50795139285</v>
      </c>
      <c r="F63" s="116">
        <f>'Financial impact (cash)'!F18*$C63</f>
        <v>49639.50795139285</v>
      </c>
      <c r="G63" s="116">
        <f>'Financial impact (cash)'!G18*$C63</f>
        <v>8523.5540263380226</v>
      </c>
      <c r="H63" s="116">
        <f>'Financial impact (cash)'!H18*$C63</f>
        <v>7523.6726697025542</v>
      </c>
      <c r="I63" s="116">
        <f>'Financial impact (cash)'!I18*$C63</f>
        <v>6505.5530725270755</v>
      </c>
      <c r="J63" s="362"/>
      <c r="K63" s="192"/>
      <c r="L63" s="192"/>
      <c r="M63" s="192"/>
      <c r="N63" s="192"/>
      <c r="O63" s="192"/>
      <c r="P63" s="192"/>
      <c r="Q63" s="192"/>
      <c r="R63" s="121"/>
      <c r="S63" s="121"/>
      <c r="T63" s="121"/>
      <c r="U63" s="121"/>
      <c r="V63" s="121"/>
      <c r="W63" s="121"/>
      <c r="X63" s="121"/>
      <c r="Y63" s="121"/>
      <c r="Z63" s="121"/>
      <c r="AJ63" s="258"/>
      <c r="AK63" s="258"/>
      <c r="AL63" s="258"/>
      <c r="AM63" s="258"/>
      <c r="AN63" s="258"/>
    </row>
    <row r="64" spans="1:40" x14ac:dyDescent="0.3">
      <c r="A64" s="266"/>
      <c r="B64" s="303" t="s">
        <v>2170</v>
      </c>
      <c r="C64" s="855">
        <f>'Inputs and population'!$K$40</f>
        <v>13</v>
      </c>
      <c r="D64" s="116">
        <f>'Financial impact (cash)'!D19*$C64</f>
        <v>49639.50795139285</v>
      </c>
      <c r="E64" s="116">
        <f>'Financial impact (cash)'!E19*$C64</f>
        <v>49639.50795139285</v>
      </c>
      <c r="F64" s="116">
        <f>'Financial impact (cash)'!F19*$C64</f>
        <v>49639.50795139285</v>
      </c>
      <c r="G64" s="116">
        <f>'Financial impact (cash)'!G19*$C64</f>
        <v>49639.50795139285</v>
      </c>
      <c r="H64" s="116">
        <f>'Financial impact (cash)'!H19*$C64</f>
        <v>8523.5540263380226</v>
      </c>
      <c r="I64" s="116">
        <f>'Financial impact (cash)'!I19*$C64</f>
        <v>7523.6726697025542</v>
      </c>
      <c r="J64" s="362"/>
      <c r="K64" s="192"/>
      <c r="L64" s="192"/>
      <c r="M64" s="192"/>
      <c r="N64" s="192"/>
      <c r="O64" s="192"/>
      <c r="P64" s="192"/>
      <c r="Q64" s="192"/>
      <c r="R64" s="121"/>
      <c r="S64" s="121"/>
      <c r="T64" s="121"/>
      <c r="U64" s="121"/>
      <c r="V64" s="121"/>
      <c r="W64" s="121"/>
      <c r="X64" s="121"/>
      <c r="Y64" s="121"/>
      <c r="Z64" s="121"/>
      <c r="AJ64" s="258"/>
      <c r="AK64" s="258"/>
      <c r="AL64" s="258"/>
      <c r="AM64" s="258"/>
      <c r="AN64" s="258"/>
    </row>
    <row r="65" spans="1:40" x14ac:dyDescent="0.3">
      <c r="A65" s="266"/>
      <c r="B65" s="303" t="s">
        <v>2171</v>
      </c>
      <c r="C65" s="855">
        <f>'Inputs and population'!$L$40</f>
        <v>13</v>
      </c>
      <c r="D65" s="116">
        <f>'Financial impact (cash)'!D20*$C65</f>
        <v>49639.50795139285</v>
      </c>
      <c r="E65" s="116">
        <f>'Financial impact (cash)'!E20*$C65</f>
        <v>49639.50795139285</v>
      </c>
      <c r="F65" s="116">
        <f>'Financial impact (cash)'!F20*$C65</f>
        <v>49639.50795139285</v>
      </c>
      <c r="G65" s="116">
        <f>'Financial impact (cash)'!G20*$C65</f>
        <v>49639.50795139285</v>
      </c>
      <c r="H65" s="116">
        <f>'Financial impact (cash)'!H20*$C65</f>
        <v>49639.50795139285</v>
      </c>
      <c r="I65" s="116">
        <f>'Financial impact (cash)'!I20*$C65</f>
        <v>8523.5540263380226</v>
      </c>
      <c r="J65" s="362"/>
      <c r="K65" s="192"/>
      <c r="L65" s="192"/>
      <c r="M65" s="192"/>
      <c r="N65" s="192"/>
      <c r="O65" s="192"/>
      <c r="P65" s="192"/>
      <c r="Q65" s="192"/>
      <c r="R65" s="121"/>
      <c r="S65" s="121"/>
      <c r="T65" s="121"/>
      <c r="U65" s="121"/>
      <c r="V65" s="121"/>
      <c r="W65" s="121"/>
      <c r="X65" s="121"/>
      <c r="Y65" s="121"/>
      <c r="Z65" s="121"/>
      <c r="AJ65" s="258"/>
      <c r="AK65" s="258"/>
      <c r="AL65" s="258"/>
      <c r="AM65" s="258"/>
      <c r="AN65" s="258"/>
    </row>
    <row r="66" spans="1:40" x14ac:dyDescent="0.3">
      <c r="A66" s="266"/>
      <c r="B66" s="303" t="s">
        <v>2172</v>
      </c>
      <c r="C66" s="855">
        <f>'Inputs and population'!$H$41</f>
        <v>13</v>
      </c>
      <c r="D66" s="116">
        <f>'Financial impact (cash)'!D21*$C66</f>
        <v>55976.466413272799</v>
      </c>
      <c r="E66" s="116">
        <f>'Financial impact (cash)'!E21*$C66</f>
        <v>53272.212664612642</v>
      </c>
      <c r="F66" s="116">
        <f>'Financial impact (cash)'!F21*$C66</f>
        <v>48366.467162373556</v>
      </c>
      <c r="G66" s="116">
        <f>'Financial impact (cash)'!G21*$C66</f>
        <v>45538.871507689531</v>
      </c>
      <c r="H66" s="116">
        <f>'Financial impact (cash)'!H21*$C66</f>
        <v>45939.195506313896</v>
      </c>
      <c r="I66" s="116">
        <f>'Financial impact (cash)'!I21*$C66</f>
        <v>46343.038680942605</v>
      </c>
      <c r="J66" s="362"/>
      <c r="K66" s="192"/>
      <c r="L66" s="192"/>
      <c r="M66" s="192"/>
      <c r="N66" s="192"/>
      <c r="O66" s="192"/>
      <c r="P66" s="192"/>
      <c r="Q66" s="192"/>
      <c r="R66" s="121"/>
      <c r="S66" s="121"/>
      <c r="T66" s="121"/>
      <c r="U66" s="121"/>
      <c r="V66" s="121"/>
      <c r="W66" s="121"/>
      <c r="X66" s="121"/>
      <c r="Y66" s="121"/>
      <c r="Z66" s="121"/>
      <c r="AJ66" s="258"/>
      <c r="AK66" s="258"/>
      <c r="AL66" s="258"/>
      <c r="AM66" s="258"/>
      <c r="AN66" s="258"/>
    </row>
    <row r="67" spans="1:40" x14ac:dyDescent="0.3">
      <c r="A67" s="266"/>
      <c r="B67" s="303" t="s">
        <v>2173</v>
      </c>
      <c r="C67" s="855">
        <f>'Inputs and population'!$I$41</f>
        <v>13</v>
      </c>
      <c r="D67" s="116">
        <f>'Financial impact (cash)'!D22*$C67</f>
        <v>55976.466413272799</v>
      </c>
      <c r="E67" s="116">
        <f>'Financial impact (cash)'!E22*$C67</f>
        <v>55976.466413272799</v>
      </c>
      <c r="F67" s="116">
        <f>'Financial impact (cash)'!F22*$C67</f>
        <v>53272.212664612642</v>
      </c>
      <c r="G67" s="116">
        <f>'Financial impact (cash)'!G22*$C67</f>
        <v>48366.467162373556</v>
      </c>
      <c r="H67" s="116">
        <f>'Financial impact (cash)'!H22*$C67</f>
        <v>45538.871507689531</v>
      </c>
      <c r="I67" s="116">
        <f>'Financial impact (cash)'!I22*$C67</f>
        <v>45939.195506313896</v>
      </c>
      <c r="J67" s="362"/>
      <c r="K67" s="192"/>
      <c r="L67" s="192"/>
      <c r="M67" s="192"/>
      <c r="N67" s="192"/>
      <c r="O67" s="192"/>
      <c r="P67" s="192"/>
      <c r="Q67" s="192"/>
      <c r="R67" s="121"/>
      <c r="S67" s="121"/>
      <c r="T67" s="121"/>
      <c r="U67" s="121"/>
      <c r="V67" s="121"/>
      <c r="W67" s="121"/>
      <c r="X67" s="121"/>
      <c r="Y67" s="121"/>
      <c r="Z67" s="121"/>
      <c r="AJ67" s="258"/>
      <c r="AK67" s="258"/>
      <c r="AL67" s="258"/>
      <c r="AM67" s="258"/>
      <c r="AN67" s="258"/>
    </row>
    <row r="68" spans="1:40" x14ac:dyDescent="0.3">
      <c r="A68" s="266"/>
      <c r="B68" s="252"/>
      <c r="C68" s="289"/>
      <c r="D68" s="168">
        <f t="shared" ref="D68:I68" si="36">SUM(D58:D67)</f>
        <v>360150.47258350981</v>
      </c>
      <c r="E68" s="168">
        <f t="shared" si="36"/>
        <v>361078.92354806943</v>
      </c>
      <c r="F68" s="168">
        <f t="shared" si="36"/>
        <v>362943.98732201173</v>
      </c>
      <c r="G68" s="168">
        <f t="shared" si="36"/>
        <v>368458.15124812414</v>
      </c>
      <c r="H68" s="168">
        <f t="shared" si="36"/>
        <v>335082.55441587814</v>
      </c>
      <c r="I68" s="168">
        <f t="shared" si="36"/>
        <v>298653.84493822255</v>
      </c>
      <c r="J68" s="362"/>
      <c r="K68" s="192"/>
      <c r="L68" s="192"/>
      <c r="M68" s="192"/>
      <c r="N68" s="192"/>
      <c r="O68" s="192"/>
      <c r="P68" s="192"/>
      <c r="Q68" s="192"/>
      <c r="R68" s="121"/>
      <c r="S68" s="121"/>
      <c r="T68" s="121"/>
      <c r="U68" s="121"/>
      <c r="V68" s="121"/>
      <c r="W68" s="121"/>
      <c r="X68" s="121"/>
      <c r="Y68" s="121"/>
      <c r="Z68" s="121"/>
      <c r="AJ68" s="258"/>
      <c r="AK68" s="258"/>
      <c r="AL68" s="258"/>
      <c r="AM68" s="258"/>
      <c r="AN68" s="258"/>
    </row>
    <row r="69" spans="1:40" x14ac:dyDescent="0.3">
      <c r="A69" s="266"/>
      <c r="B69" s="186"/>
      <c r="C69" s="186"/>
      <c r="D69" s="709" t="s">
        <v>2198</v>
      </c>
      <c r="E69" s="168">
        <f>E68-$D$68</f>
        <v>928.4509645596263</v>
      </c>
      <c r="F69" s="168">
        <f>F68-$D$68</f>
        <v>2793.5147385019227</v>
      </c>
      <c r="G69" s="168">
        <f>G68-$D$68</f>
        <v>8307.67866461433</v>
      </c>
      <c r="H69" s="168">
        <f>H68-$D$68</f>
        <v>-25067.918167631666</v>
      </c>
      <c r="I69" s="168">
        <f>I68-$D$68</f>
        <v>-61496.627645287255</v>
      </c>
      <c r="J69" s="362"/>
      <c r="K69" s="192"/>
      <c r="L69" s="192"/>
      <c r="M69" s="192"/>
      <c r="N69" s="192"/>
      <c r="O69" s="192"/>
      <c r="P69" s="192"/>
      <c r="Q69" s="192"/>
      <c r="R69" s="121"/>
      <c r="S69" s="121"/>
      <c r="T69" s="121"/>
      <c r="U69" s="121"/>
      <c r="V69" s="121"/>
      <c r="W69" s="121"/>
      <c r="X69" s="121"/>
      <c r="Y69" s="121"/>
      <c r="Z69" s="121"/>
      <c r="AJ69" s="258"/>
      <c r="AK69" s="258"/>
      <c r="AL69" s="258"/>
      <c r="AM69" s="258"/>
      <c r="AN69" s="258"/>
    </row>
    <row r="70" spans="1:40" x14ac:dyDescent="0.3">
      <c r="A70" s="266"/>
      <c r="B70" s="847"/>
      <c r="C70" s="848"/>
      <c r="D70" s="848"/>
      <c r="E70" s="848"/>
      <c r="F70" s="848"/>
      <c r="G70" s="848"/>
      <c r="H70" s="848"/>
      <c r="I70" s="848"/>
      <c r="J70" s="192"/>
      <c r="K70" s="192"/>
      <c r="L70" s="192"/>
      <c r="M70" s="192"/>
      <c r="N70" s="192"/>
      <c r="O70" s="192"/>
      <c r="P70" s="192"/>
      <c r="Q70" s="192"/>
      <c r="R70" s="121"/>
      <c r="S70" s="121"/>
      <c r="T70" s="121"/>
      <c r="U70" s="121"/>
      <c r="V70" s="121"/>
      <c r="W70" s="121"/>
      <c r="X70" s="121"/>
      <c r="Y70" s="121"/>
      <c r="Z70" s="121"/>
      <c r="AJ70" s="258"/>
      <c r="AK70" s="258"/>
      <c r="AL70" s="258"/>
      <c r="AM70" s="258"/>
      <c r="AN70" s="258"/>
    </row>
    <row r="71" spans="1:40" x14ac:dyDescent="0.3">
      <c r="A71" s="266"/>
      <c r="B71" s="710" t="s">
        <v>2199</v>
      </c>
      <c r="C71" s="336"/>
      <c r="D71" s="336"/>
      <c r="E71" s="336"/>
      <c r="F71" s="336"/>
      <c r="G71" s="336"/>
      <c r="H71" s="336"/>
      <c r="I71" s="711"/>
      <c r="J71" s="192"/>
      <c r="K71" s="192"/>
      <c r="L71" s="192"/>
      <c r="M71" s="192"/>
      <c r="N71" s="192"/>
      <c r="O71" s="192"/>
      <c r="P71" s="192"/>
      <c r="Q71" s="192"/>
      <c r="R71" s="121"/>
      <c r="S71" s="121"/>
      <c r="T71" s="121"/>
      <c r="U71" s="121"/>
      <c r="V71" s="121"/>
      <c r="W71" s="121"/>
      <c r="X71" s="121"/>
      <c r="Y71" s="121"/>
      <c r="Z71" s="121"/>
      <c r="AJ71" s="258"/>
      <c r="AK71" s="258"/>
      <c r="AL71" s="258"/>
      <c r="AM71" s="258"/>
      <c r="AN71" s="258"/>
    </row>
    <row r="72" spans="1:40" ht="43.2" x14ac:dyDescent="0.3">
      <c r="A72" s="266"/>
      <c r="B72" s="251" t="s">
        <v>2084</v>
      </c>
      <c r="C72" s="543" t="s">
        <v>2088</v>
      </c>
      <c r="D72" s="844" t="s">
        <v>2162</v>
      </c>
      <c r="E72" s="229" t="s">
        <v>1896</v>
      </c>
      <c r="F72" s="229" t="s">
        <v>1897</v>
      </c>
      <c r="G72" s="152" t="s">
        <v>2130</v>
      </c>
      <c r="H72" s="152" t="s">
        <v>2131</v>
      </c>
      <c r="I72" s="229" t="s">
        <v>2132</v>
      </c>
      <c r="J72" s="362"/>
      <c r="K72" s="447" t="s">
        <v>2221</v>
      </c>
      <c r="L72" s="844" t="s">
        <v>2162</v>
      </c>
      <c r="M72" s="846" t="s">
        <v>1896</v>
      </c>
      <c r="N72" s="846" t="s">
        <v>1897</v>
      </c>
      <c r="O72" s="359" t="s">
        <v>2130</v>
      </c>
      <c r="P72" s="359" t="s">
        <v>2131</v>
      </c>
      <c r="Q72" s="846" t="s">
        <v>2132</v>
      </c>
      <c r="R72" s="121"/>
      <c r="S72" s="121"/>
      <c r="T72" s="121"/>
      <c r="U72" s="121"/>
      <c r="V72" s="121"/>
      <c r="W72" s="121"/>
      <c r="X72" s="121"/>
      <c r="Y72" s="121"/>
      <c r="Z72" s="121"/>
      <c r="AJ72" s="258"/>
      <c r="AK72" s="258"/>
      <c r="AL72" s="258"/>
      <c r="AM72" s="258"/>
      <c r="AN72" s="258"/>
    </row>
    <row r="73" spans="1:40" x14ac:dyDescent="0.3">
      <c r="A73" s="266"/>
      <c r="B73" s="302" t="s">
        <v>2222</v>
      </c>
      <c r="C73" s="856">
        <f>'Unit costs'!M33</f>
        <v>1</v>
      </c>
      <c r="D73" s="116">
        <f>(D58+D59+D60)*$C73</f>
        <v>0</v>
      </c>
      <c r="E73" s="116">
        <f t="shared" ref="E73:I73" si="37">(E58+E59+E60)*$C73</f>
        <v>44748.658638274617</v>
      </c>
      <c r="F73" s="116">
        <f t="shared" si="37"/>
        <v>96339.55694480642</v>
      </c>
      <c r="G73" s="116">
        <f t="shared" si="37"/>
        <v>152721.01690670772</v>
      </c>
      <c r="H73" s="116">
        <f t="shared" si="37"/>
        <v>164849.45746672651</v>
      </c>
      <c r="I73" s="116">
        <f t="shared" si="37"/>
        <v>170635.6546699332</v>
      </c>
      <c r="J73" s="362"/>
      <c r="K73" s="461">
        <f>'Unit costs'!O33</f>
        <v>146</v>
      </c>
      <c r="L73" s="263">
        <f>D73*$K73/1000</f>
        <v>0</v>
      </c>
      <c r="M73" s="263">
        <f t="shared" ref="M73:Q75" si="38">E73*$K73/1000</f>
        <v>6533.3041611880935</v>
      </c>
      <c r="N73" s="263">
        <f t="shared" si="38"/>
        <v>14065.575313941737</v>
      </c>
      <c r="O73" s="263">
        <f t="shared" si="38"/>
        <v>22297.268468379327</v>
      </c>
      <c r="P73" s="263">
        <f t="shared" si="38"/>
        <v>24068.020790142069</v>
      </c>
      <c r="Q73" s="263">
        <f t="shared" si="38"/>
        <v>24912.805581810248</v>
      </c>
      <c r="R73" s="121"/>
      <c r="S73" s="121"/>
      <c r="T73" s="121"/>
      <c r="U73" s="121"/>
      <c r="V73" s="121"/>
      <c r="W73" s="121"/>
      <c r="X73" s="121"/>
      <c r="Y73" s="121"/>
      <c r="Z73" s="121"/>
      <c r="AJ73" s="258"/>
      <c r="AK73" s="258"/>
      <c r="AL73" s="258"/>
      <c r="AM73" s="258"/>
      <c r="AN73" s="258"/>
    </row>
    <row r="74" spans="1:40" ht="15.6" customHeight="1" x14ac:dyDescent="0.3">
      <c r="A74" s="266"/>
      <c r="B74" s="302" t="s">
        <v>2223</v>
      </c>
      <c r="C74" s="856">
        <f>'Unit costs'!M50</f>
        <v>1</v>
      </c>
      <c r="D74" s="116">
        <f>(D65+D64+D63+D62+D61)*$C74</f>
        <v>248197.53975696425</v>
      </c>
      <c r="E74" s="116">
        <f t="shared" ref="E74:I74" si="39">(E65+E64+E63+E62+E61)*$C74</f>
        <v>207081.58583190941</v>
      </c>
      <c r="F74" s="116">
        <f t="shared" si="39"/>
        <v>164965.75055021912</v>
      </c>
      <c r="G74" s="116">
        <f t="shared" si="39"/>
        <v>121831.79567135336</v>
      </c>
      <c r="H74" s="116">
        <f t="shared" si="39"/>
        <v>78755.02993514821</v>
      </c>
      <c r="I74" s="116">
        <f t="shared" si="39"/>
        <v>35735.956081032869</v>
      </c>
      <c r="J74" s="362"/>
      <c r="K74" s="461">
        <f>'Unit costs'!O50</f>
        <v>146</v>
      </c>
      <c r="L74" s="263">
        <f>D74*$K74/1000</f>
        <v>36236.840804516774</v>
      </c>
      <c r="M74" s="263">
        <f t="shared" si="38"/>
        <v>30233.911531458773</v>
      </c>
      <c r="N74" s="263">
        <f t="shared" si="38"/>
        <v>24084.999580331991</v>
      </c>
      <c r="O74" s="263">
        <f t="shared" si="38"/>
        <v>17787.442168017591</v>
      </c>
      <c r="P74" s="263">
        <f t="shared" si="38"/>
        <v>11498.23437053164</v>
      </c>
      <c r="Q74" s="263">
        <f t="shared" si="38"/>
        <v>5217.4495878307989</v>
      </c>
      <c r="R74" s="121"/>
      <c r="S74" s="121"/>
      <c r="T74" s="121"/>
      <c r="U74" s="121"/>
      <c r="V74" s="121"/>
      <c r="W74" s="121"/>
      <c r="X74" s="121"/>
      <c r="Y74" s="121"/>
      <c r="Z74" s="121"/>
      <c r="AJ74" s="258"/>
      <c r="AK74" s="258"/>
      <c r="AL74" s="258"/>
      <c r="AM74" s="258"/>
      <c r="AN74" s="258"/>
    </row>
    <row r="75" spans="1:40" x14ac:dyDescent="0.3">
      <c r="A75" s="266"/>
      <c r="B75" s="302" t="s">
        <v>1934</v>
      </c>
      <c r="C75" s="856">
        <f>'Unit costs'!M66</f>
        <v>1</v>
      </c>
      <c r="D75" s="116">
        <f>(D66+D67)*$C75</f>
        <v>111952.9328265456</v>
      </c>
      <c r="E75" s="116">
        <f t="shared" ref="E75:I75" si="40">(E66+E67)*$C75</f>
        <v>109248.67907788543</v>
      </c>
      <c r="F75" s="116">
        <f t="shared" si="40"/>
        <v>101638.67982698619</v>
      </c>
      <c r="G75" s="116">
        <f t="shared" si="40"/>
        <v>93905.338670063094</v>
      </c>
      <c r="H75" s="116">
        <f t="shared" si="40"/>
        <v>91478.067014003434</v>
      </c>
      <c r="I75" s="116">
        <f t="shared" si="40"/>
        <v>92282.234187256501</v>
      </c>
      <c r="J75" s="362"/>
      <c r="K75" s="461">
        <f>'Unit costs'!O66</f>
        <v>146</v>
      </c>
      <c r="L75" s="263">
        <f>D75*$K75/1000</f>
        <v>16345.128192675658</v>
      </c>
      <c r="M75" s="263">
        <f t="shared" si="38"/>
        <v>15950.307145371273</v>
      </c>
      <c r="N75" s="263">
        <f t="shared" si="38"/>
        <v>14839.247254739983</v>
      </c>
      <c r="O75" s="263">
        <f t="shared" si="38"/>
        <v>13710.179445829213</v>
      </c>
      <c r="P75" s="263">
        <f t="shared" si="38"/>
        <v>13355.797784044502</v>
      </c>
      <c r="Q75" s="263">
        <f t="shared" si="38"/>
        <v>13473.20619133945</v>
      </c>
      <c r="R75" s="121"/>
      <c r="S75" s="121"/>
      <c r="T75" s="121"/>
      <c r="U75" s="121"/>
      <c r="V75" s="121"/>
      <c r="W75" s="121"/>
      <c r="X75" s="121"/>
      <c r="Y75" s="121"/>
      <c r="Z75" s="121"/>
      <c r="AJ75" s="258"/>
      <c r="AK75" s="258"/>
      <c r="AL75" s="258"/>
      <c r="AM75" s="258"/>
      <c r="AN75" s="258"/>
    </row>
    <row r="76" spans="1:40" x14ac:dyDescent="0.3">
      <c r="A76" s="266"/>
      <c r="B76" s="252"/>
      <c r="C76" s="289"/>
      <c r="D76" s="168">
        <f t="shared" ref="D76:I76" si="41">SUM(D73:D75)</f>
        <v>360150.47258350987</v>
      </c>
      <c r="E76" s="168">
        <f t="shared" si="41"/>
        <v>361078.92354806943</v>
      </c>
      <c r="F76" s="168">
        <f t="shared" si="41"/>
        <v>362943.98732201173</v>
      </c>
      <c r="G76" s="168">
        <f t="shared" si="41"/>
        <v>368458.1512481242</v>
      </c>
      <c r="H76" s="168">
        <f t="shared" si="41"/>
        <v>335082.55441587814</v>
      </c>
      <c r="I76" s="168">
        <f t="shared" si="41"/>
        <v>298653.84493822255</v>
      </c>
      <c r="J76" s="362"/>
      <c r="K76" s="192"/>
      <c r="L76" s="264">
        <f t="shared" ref="L76:Q76" si="42">SUM(L73:L75)</f>
        <v>52581.968997192431</v>
      </c>
      <c r="M76" s="264">
        <f t="shared" si="42"/>
        <v>52717.522838018136</v>
      </c>
      <c r="N76" s="264">
        <f t="shared" si="42"/>
        <v>52989.822149013708</v>
      </c>
      <c r="O76" s="264">
        <f t="shared" si="42"/>
        <v>53794.890082226135</v>
      </c>
      <c r="P76" s="264">
        <f t="shared" si="42"/>
        <v>48922.052944718213</v>
      </c>
      <c r="Q76" s="264">
        <f t="shared" si="42"/>
        <v>43603.461360980495</v>
      </c>
      <c r="R76" s="121"/>
      <c r="S76" s="121"/>
      <c r="T76" s="121"/>
      <c r="U76" s="121"/>
      <c r="V76" s="121"/>
      <c r="W76" s="121"/>
      <c r="X76" s="121"/>
      <c r="Y76" s="121"/>
      <c r="Z76" s="121"/>
      <c r="AJ76" s="258"/>
      <c r="AK76" s="258"/>
      <c r="AL76" s="258"/>
      <c r="AM76" s="258"/>
      <c r="AN76" s="258"/>
    </row>
    <row r="77" spans="1:40" x14ac:dyDescent="0.3">
      <c r="A77" s="266"/>
      <c r="B77" s="279"/>
      <c r="C77" s="230"/>
      <c r="D77" s="257" t="s">
        <v>2201</v>
      </c>
      <c r="E77" s="168">
        <f>E76-D76</f>
        <v>928.45096455956809</v>
      </c>
      <c r="F77" s="168">
        <f>F76-$D$76</f>
        <v>2793.5147385018645</v>
      </c>
      <c r="G77" s="168">
        <f t="shared" ref="G77:I77" si="43">G76-$D$76</f>
        <v>8307.67866461433</v>
      </c>
      <c r="H77" s="168">
        <f t="shared" si="43"/>
        <v>-25067.918167631724</v>
      </c>
      <c r="I77" s="168">
        <f t="shared" si="43"/>
        <v>-61496.627645287313</v>
      </c>
      <c r="J77" s="362"/>
      <c r="K77" s="192"/>
      <c r="L77" s="849"/>
      <c r="M77" s="264">
        <f>M76-$L76</f>
        <v>135.55384082570527</v>
      </c>
      <c r="N77" s="264">
        <f t="shared" ref="N77:Q77" si="44">N76-$L76</f>
        <v>407.8531518212767</v>
      </c>
      <c r="O77" s="264">
        <f t="shared" si="44"/>
        <v>1212.921085033704</v>
      </c>
      <c r="P77" s="264">
        <f t="shared" si="44"/>
        <v>-3659.9160524742183</v>
      </c>
      <c r="Q77" s="264">
        <f t="shared" si="44"/>
        <v>-8978.5076362119362</v>
      </c>
      <c r="R77" s="121"/>
      <c r="S77" s="121"/>
      <c r="T77" s="121"/>
      <c r="U77" s="121"/>
      <c r="V77" s="121"/>
      <c r="W77" s="121"/>
      <c r="X77" s="121"/>
      <c r="Y77" s="121"/>
      <c r="Z77" s="121"/>
      <c r="AJ77" s="258"/>
      <c r="AK77" s="258"/>
      <c r="AL77" s="258"/>
      <c r="AM77" s="258"/>
      <c r="AN77" s="258"/>
    </row>
    <row r="78" spans="1:40" x14ac:dyDescent="0.3">
      <c r="A78" s="266"/>
      <c r="B78" s="288"/>
      <c r="C78" s="272"/>
      <c r="D78" s="271"/>
      <c r="E78" s="272"/>
      <c r="F78" s="273"/>
      <c r="G78" s="266"/>
      <c r="H78" s="266"/>
      <c r="I78" s="270"/>
      <c r="J78" s="192"/>
      <c r="K78" s="192"/>
      <c r="L78" s="192"/>
      <c r="M78" s="192"/>
      <c r="N78" s="192"/>
      <c r="O78" s="192"/>
      <c r="P78" s="192"/>
      <c r="Q78" s="192"/>
      <c r="R78" s="121"/>
      <c r="S78" s="121"/>
      <c r="T78" s="121"/>
      <c r="U78" s="121"/>
      <c r="V78" s="121"/>
      <c r="W78" s="121"/>
      <c r="X78" s="121"/>
      <c r="Y78" s="121"/>
      <c r="Z78" s="121"/>
      <c r="AJ78" s="258"/>
      <c r="AK78" s="258"/>
      <c r="AL78" s="258"/>
      <c r="AM78" s="258"/>
      <c r="AN78" s="258"/>
    </row>
    <row r="79" spans="1:40" x14ac:dyDescent="0.3">
      <c r="A79" s="259"/>
      <c r="B79" s="290" t="s">
        <v>2202</v>
      </c>
      <c r="C79" s="275"/>
      <c r="D79" s="275"/>
      <c r="E79" s="276"/>
      <c r="F79" s="277"/>
      <c r="G79" s="278"/>
      <c r="H79" s="278"/>
      <c r="I79" s="278"/>
      <c r="J79" s="367"/>
      <c r="K79" s="259"/>
      <c r="L79" s="259"/>
      <c r="M79" s="259"/>
      <c r="N79" s="259"/>
      <c r="O79" s="259"/>
      <c r="P79" s="259"/>
      <c r="Q79" s="194"/>
      <c r="R79" s="121"/>
      <c r="V79" s="121"/>
    </row>
    <row r="80" spans="1:40" x14ac:dyDescent="0.3">
      <c r="A80" s="259"/>
      <c r="B80" s="337" t="s">
        <v>2203</v>
      </c>
      <c r="C80" s="338"/>
      <c r="D80" s="338"/>
      <c r="E80" s="338"/>
      <c r="F80" s="338"/>
      <c r="G80" s="338"/>
      <c r="H80" s="338"/>
      <c r="I80" s="193"/>
      <c r="J80" s="363"/>
      <c r="K80" s="194"/>
      <c r="L80" s="259"/>
      <c r="M80" s="259"/>
      <c r="N80" s="259"/>
      <c r="O80" s="259"/>
      <c r="P80" s="259"/>
      <c r="Q80" s="194"/>
      <c r="R80" s="121"/>
      <c r="V80" s="121"/>
    </row>
    <row r="81" spans="1:40" ht="43.2" x14ac:dyDescent="0.3">
      <c r="A81" s="259"/>
      <c r="B81" s="254" t="s">
        <v>2084</v>
      </c>
      <c r="C81" s="352" t="s">
        <v>2181</v>
      </c>
      <c r="D81" s="844" t="s">
        <v>2162</v>
      </c>
      <c r="E81" s="229" t="s">
        <v>1896</v>
      </c>
      <c r="F81" s="229" t="s">
        <v>1897</v>
      </c>
      <c r="G81" s="152" t="s">
        <v>2130</v>
      </c>
      <c r="H81" s="152" t="s">
        <v>2131</v>
      </c>
      <c r="I81" s="229" t="s">
        <v>2132</v>
      </c>
      <c r="J81" s="259"/>
      <c r="K81" s="259"/>
      <c r="L81" s="259"/>
      <c r="M81" s="259"/>
      <c r="N81" s="259"/>
      <c r="O81" s="259"/>
      <c r="P81" s="259"/>
      <c r="Q81" s="194"/>
      <c r="R81" s="121"/>
      <c r="V81" s="121"/>
    </row>
    <row r="82" spans="1:40" x14ac:dyDescent="0.3">
      <c r="A82" s="259"/>
      <c r="B82" s="304" t="str">
        <f>'Inputs and population'!C61</f>
        <v>Ribociclib + AI</v>
      </c>
      <c r="C82" s="137">
        <f>'Capacity inputs'!F15*'Capacity inputs'!G15</f>
        <v>0</v>
      </c>
      <c r="D82" s="116">
        <f t="shared" ref="D82:I84" si="45">D73*$C82/60</f>
        <v>0</v>
      </c>
      <c r="E82" s="116">
        <f t="shared" si="45"/>
        <v>0</v>
      </c>
      <c r="F82" s="116">
        <f t="shared" si="45"/>
        <v>0</v>
      </c>
      <c r="G82" s="116">
        <f t="shared" si="45"/>
        <v>0</v>
      </c>
      <c r="H82" s="116">
        <f t="shared" si="45"/>
        <v>0</v>
      </c>
      <c r="I82" s="116">
        <f t="shared" si="45"/>
        <v>0</v>
      </c>
      <c r="J82" s="259"/>
      <c r="K82" s="259"/>
      <c r="L82" s="259"/>
      <c r="M82" s="259"/>
      <c r="N82" s="259"/>
      <c r="O82" s="259"/>
      <c r="P82" s="259"/>
      <c r="Q82" s="194"/>
      <c r="R82" s="121"/>
      <c r="S82" s="121"/>
      <c r="T82" s="121"/>
      <c r="U82" s="121"/>
      <c r="V82" s="121"/>
      <c r="W82" s="121"/>
      <c r="X82" s="121"/>
      <c r="Y82" s="121"/>
      <c r="Z82" s="121"/>
      <c r="AJ82" s="258"/>
      <c r="AK82" s="258"/>
      <c r="AL82" s="258"/>
      <c r="AM82" s="258"/>
      <c r="AN82" s="258"/>
    </row>
    <row r="83" spans="1:40" x14ac:dyDescent="0.3">
      <c r="A83" s="259"/>
      <c r="B83" s="304" t="str">
        <f>'Inputs and population'!C62</f>
        <v>Endocrine Therapy (ET)</v>
      </c>
      <c r="C83" s="137">
        <f>'Capacity inputs'!F15*'Capacity inputs'!H15</f>
        <v>0</v>
      </c>
      <c r="D83" s="116">
        <f t="shared" si="45"/>
        <v>0</v>
      </c>
      <c r="E83" s="116">
        <f t="shared" si="45"/>
        <v>0</v>
      </c>
      <c r="F83" s="116">
        <f t="shared" si="45"/>
        <v>0</v>
      </c>
      <c r="G83" s="116">
        <f t="shared" si="45"/>
        <v>0</v>
      </c>
      <c r="H83" s="116">
        <f t="shared" si="45"/>
        <v>0</v>
      </c>
      <c r="I83" s="116">
        <f t="shared" si="45"/>
        <v>0</v>
      </c>
      <c r="J83" s="259"/>
      <c r="K83" s="259"/>
      <c r="L83" s="259"/>
      <c r="M83" s="259"/>
      <c r="N83" s="259"/>
      <c r="O83" s="259"/>
      <c r="P83" s="259"/>
      <c r="Q83" s="194"/>
      <c r="R83" s="121"/>
      <c r="S83" s="121"/>
      <c r="T83" s="121"/>
      <c r="U83" s="121"/>
      <c r="V83" s="121"/>
      <c r="W83" s="121"/>
      <c r="X83" s="121"/>
      <c r="Y83" s="121"/>
      <c r="Z83" s="121"/>
      <c r="AJ83" s="258"/>
      <c r="AK83" s="258"/>
      <c r="AL83" s="258"/>
      <c r="AM83" s="258"/>
      <c r="AN83" s="258"/>
    </row>
    <row r="84" spans="1:40" x14ac:dyDescent="0.3">
      <c r="A84" s="259"/>
      <c r="B84" s="304" t="str">
        <f>'Inputs and population'!C63</f>
        <v>Abemaciclib + ET</v>
      </c>
      <c r="C84" s="137">
        <f>'Capacity inputs'!F15*'Capacity inputs'!I15</f>
        <v>0</v>
      </c>
      <c r="D84" s="116">
        <f t="shared" si="45"/>
        <v>0</v>
      </c>
      <c r="E84" s="116">
        <f t="shared" si="45"/>
        <v>0</v>
      </c>
      <c r="F84" s="116">
        <f t="shared" si="45"/>
        <v>0</v>
      </c>
      <c r="G84" s="116">
        <f t="shared" si="45"/>
        <v>0</v>
      </c>
      <c r="H84" s="116">
        <f t="shared" si="45"/>
        <v>0</v>
      </c>
      <c r="I84" s="116">
        <f t="shared" si="45"/>
        <v>0</v>
      </c>
      <c r="J84" s="259"/>
      <c r="K84" s="259"/>
      <c r="L84" s="259"/>
      <c r="M84" s="259"/>
      <c r="N84" s="259"/>
      <c r="O84" s="259"/>
      <c r="P84" s="259"/>
      <c r="Q84" s="194"/>
      <c r="R84" s="121"/>
      <c r="S84" s="121"/>
      <c r="T84" s="121"/>
      <c r="U84" s="121"/>
      <c r="V84" s="121"/>
      <c r="W84" s="121"/>
      <c r="X84" s="121"/>
      <c r="Y84" s="121"/>
      <c r="Z84" s="121"/>
      <c r="AJ84" s="258"/>
      <c r="AK84" s="258"/>
      <c r="AL84" s="258"/>
      <c r="AM84" s="258"/>
      <c r="AN84" s="258"/>
    </row>
    <row r="85" spans="1:40" x14ac:dyDescent="0.3">
      <c r="A85" s="259"/>
      <c r="B85" s="252" t="s">
        <v>2224</v>
      </c>
      <c r="C85" s="289"/>
      <c r="D85" s="168">
        <f t="shared" ref="D85:I85" si="46">SUM(D82:D84)</f>
        <v>0</v>
      </c>
      <c r="E85" s="168">
        <f t="shared" si="46"/>
        <v>0</v>
      </c>
      <c r="F85" s="168">
        <f t="shared" si="46"/>
        <v>0</v>
      </c>
      <c r="G85" s="168">
        <f t="shared" si="46"/>
        <v>0</v>
      </c>
      <c r="H85" s="168">
        <f t="shared" si="46"/>
        <v>0</v>
      </c>
      <c r="I85" s="168">
        <f t="shared" si="46"/>
        <v>0</v>
      </c>
      <c r="J85" s="259"/>
      <c r="K85" s="259"/>
      <c r="L85" s="259"/>
      <c r="M85" s="259"/>
      <c r="N85" s="259"/>
      <c r="O85" s="259"/>
      <c r="P85" s="259"/>
      <c r="Q85" s="194"/>
      <c r="R85" s="121"/>
      <c r="S85" s="121"/>
      <c r="T85" s="121"/>
      <c r="U85" s="121"/>
      <c r="V85" s="121"/>
      <c r="W85" s="121"/>
      <c r="X85" s="121"/>
      <c r="Y85" s="121"/>
      <c r="Z85" s="121"/>
      <c r="AJ85" s="258"/>
      <c r="AK85" s="258"/>
      <c r="AL85" s="258"/>
      <c r="AM85" s="258"/>
      <c r="AN85" s="258"/>
    </row>
    <row r="86" spans="1:40" x14ac:dyDescent="0.3">
      <c r="A86" s="259"/>
      <c r="B86" s="279"/>
      <c r="C86" s="230"/>
      <c r="D86" s="257" t="s">
        <v>2204</v>
      </c>
      <c r="E86" s="168">
        <f>E85-$D$85</f>
        <v>0</v>
      </c>
      <c r="F86" s="168">
        <f>F85-$D$85</f>
        <v>0</v>
      </c>
      <c r="G86" s="168">
        <f>G85-$D$85</f>
        <v>0</v>
      </c>
      <c r="H86" s="168">
        <f>H85-$D$85</f>
        <v>0</v>
      </c>
      <c r="I86" s="168">
        <f>I85-$D$85</f>
        <v>0</v>
      </c>
      <c r="J86" s="259"/>
      <c r="K86" s="259"/>
      <c r="L86" s="259"/>
      <c r="M86" s="259"/>
      <c r="N86" s="259"/>
      <c r="O86" s="259"/>
      <c r="P86" s="259"/>
      <c r="Q86" s="194"/>
      <c r="R86" s="121"/>
      <c r="S86" s="121"/>
      <c r="T86" s="121"/>
      <c r="U86" s="121"/>
      <c r="V86" s="121"/>
      <c r="W86" s="121"/>
      <c r="X86" s="121"/>
      <c r="Y86" s="121"/>
      <c r="Z86" s="121"/>
      <c r="AJ86" s="258"/>
      <c r="AK86" s="258"/>
      <c r="AL86" s="258"/>
      <c r="AM86" s="258"/>
      <c r="AN86" s="258"/>
    </row>
    <row r="87" spans="1:40" x14ac:dyDescent="0.3">
      <c r="A87" s="259"/>
      <c r="B87" s="291"/>
      <c r="C87" s="194"/>
      <c r="D87" s="194"/>
      <c r="E87" s="194"/>
      <c r="F87" s="194"/>
      <c r="G87" s="194"/>
      <c r="H87" s="194"/>
      <c r="I87" s="194"/>
      <c r="J87" s="194"/>
      <c r="K87" s="194"/>
      <c r="L87" s="259"/>
      <c r="M87" s="259"/>
      <c r="N87" s="259"/>
      <c r="O87" s="259"/>
      <c r="P87" s="259"/>
      <c r="Q87" s="194"/>
      <c r="R87" s="121"/>
      <c r="S87" s="121"/>
      <c r="T87" s="121"/>
      <c r="U87" s="121"/>
      <c r="V87" s="121"/>
      <c r="W87" s="121"/>
      <c r="X87" s="121"/>
      <c r="Y87" s="121"/>
      <c r="Z87" s="121"/>
      <c r="AJ87" s="258"/>
      <c r="AK87" s="258"/>
      <c r="AL87" s="258"/>
      <c r="AM87" s="258"/>
      <c r="AN87" s="258"/>
    </row>
    <row r="88" spans="1:40" x14ac:dyDescent="0.3">
      <c r="A88" s="259"/>
      <c r="B88" s="339" t="s">
        <v>2205</v>
      </c>
      <c r="C88" s="338"/>
      <c r="D88" s="338"/>
      <c r="E88" s="338"/>
      <c r="F88" s="338"/>
      <c r="G88" s="338"/>
      <c r="H88" s="338"/>
      <c r="I88" s="193"/>
      <c r="J88" s="363"/>
      <c r="K88" s="194"/>
      <c r="L88" s="259"/>
      <c r="M88" s="259"/>
      <c r="N88" s="259"/>
      <c r="O88" s="259"/>
      <c r="P88" s="259"/>
      <c r="Q88" s="194"/>
      <c r="R88" s="121"/>
      <c r="S88" s="121"/>
      <c r="T88" s="121"/>
      <c r="U88" s="121"/>
      <c r="V88" s="121"/>
      <c r="W88" s="121"/>
      <c r="X88" s="121"/>
      <c r="Y88" s="121"/>
      <c r="Z88" s="121"/>
      <c r="AJ88" s="258"/>
      <c r="AK88" s="258"/>
      <c r="AL88" s="258"/>
      <c r="AM88" s="258"/>
      <c r="AN88" s="258"/>
    </row>
    <row r="89" spans="1:40" ht="43.2" x14ac:dyDescent="0.3">
      <c r="A89" s="259"/>
      <c r="B89" s="254" t="s">
        <v>2084</v>
      </c>
      <c r="C89" s="352" t="s">
        <v>2181</v>
      </c>
      <c r="D89" s="844" t="s">
        <v>2162</v>
      </c>
      <c r="E89" s="229" t="s">
        <v>1896</v>
      </c>
      <c r="F89" s="229" t="s">
        <v>1897</v>
      </c>
      <c r="G89" s="152" t="s">
        <v>2130</v>
      </c>
      <c r="H89" s="152" t="s">
        <v>2131</v>
      </c>
      <c r="I89" s="229" t="s">
        <v>2132</v>
      </c>
      <c r="J89" s="259"/>
      <c r="K89" s="259"/>
      <c r="L89" s="259"/>
      <c r="M89" s="259"/>
      <c r="N89" s="259"/>
      <c r="O89" s="259"/>
      <c r="P89" s="259"/>
      <c r="Q89" s="194"/>
      <c r="R89" s="121"/>
      <c r="S89" s="121"/>
      <c r="T89" s="121"/>
      <c r="U89" s="121"/>
      <c r="V89" s="121"/>
      <c r="W89" s="121"/>
      <c r="X89" s="121"/>
      <c r="Y89" s="121"/>
      <c r="Z89" s="121"/>
      <c r="AJ89" s="258"/>
      <c r="AK89" s="258"/>
      <c r="AL89" s="258"/>
      <c r="AM89" s="258"/>
      <c r="AN89" s="258"/>
    </row>
    <row r="90" spans="1:40" x14ac:dyDescent="0.3">
      <c r="A90" s="259"/>
      <c r="B90" s="304" t="str">
        <f>B82</f>
        <v>Ribociclib + AI</v>
      </c>
      <c r="C90" s="137">
        <f>'Capacity inputs'!F16*'Capacity inputs'!G16</f>
        <v>0</v>
      </c>
      <c r="D90" s="116">
        <f t="shared" ref="D90:I92" si="47">D73*$C90/60</f>
        <v>0</v>
      </c>
      <c r="E90" s="116">
        <f t="shared" si="47"/>
        <v>0</v>
      </c>
      <c r="F90" s="116">
        <f t="shared" si="47"/>
        <v>0</v>
      </c>
      <c r="G90" s="116">
        <f t="shared" si="47"/>
        <v>0</v>
      </c>
      <c r="H90" s="116">
        <f t="shared" si="47"/>
        <v>0</v>
      </c>
      <c r="I90" s="116">
        <f t="shared" si="47"/>
        <v>0</v>
      </c>
      <c r="J90" s="259"/>
      <c r="K90" s="259"/>
      <c r="L90" s="259"/>
      <c r="M90" s="259"/>
      <c r="N90" s="259"/>
      <c r="O90" s="259"/>
      <c r="P90" s="259"/>
      <c r="Q90" s="194"/>
      <c r="R90" s="121"/>
      <c r="S90" s="121"/>
      <c r="T90" s="121"/>
      <c r="U90" s="121"/>
      <c r="V90" s="121"/>
      <c r="W90" s="121"/>
      <c r="X90" s="121"/>
      <c r="Y90" s="121"/>
      <c r="Z90" s="121"/>
      <c r="AJ90" s="258"/>
      <c r="AK90" s="258"/>
      <c r="AL90" s="258"/>
      <c r="AM90" s="258"/>
      <c r="AN90" s="258"/>
    </row>
    <row r="91" spans="1:40" x14ac:dyDescent="0.3">
      <c r="A91" s="259"/>
      <c r="B91" s="304" t="str">
        <f>B83</f>
        <v>Endocrine Therapy (ET)</v>
      </c>
      <c r="C91" s="137">
        <f>'Capacity inputs'!F16*'Capacity inputs'!H16</f>
        <v>0</v>
      </c>
      <c r="D91" s="116">
        <f t="shared" si="47"/>
        <v>0</v>
      </c>
      <c r="E91" s="116">
        <f t="shared" si="47"/>
        <v>0</v>
      </c>
      <c r="F91" s="116">
        <f t="shared" si="47"/>
        <v>0</v>
      </c>
      <c r="G91" s="116">
        <f t="shared" si="47"/>
        <v>0</v>
      </c>
      <c r="H91" s="116">
        <f t="shared" si="47"/>
        <v>0</v>
      </c>
      <c r="I91" s="116">
        <f t="shared" si="47"/>
        <v>0</v>
      </c>
      <c r="J91" s="259"/>
      <c r="K91" s="259"/>
      <c r="L91" s="259"/>
      <c r="M91" s="259"/>
      <c r="N91" s="259"/>
      <c r="O91" s="259"/>
      <c r="P91" s="259"/>
      <c r="Q91" s="194"/>
      <c r="R91" s="121"/>
      <c r="S91" s="121"/>
      <c r="T91" s="121"/>
      <c r="U91" s="121"/>
      <c r="V91" s="121"/>
      <c r="W91" s="121"/>
      <c r="X91" s="121"/>
      <c r="Y91" s="121"/>
      <c r="Z91" s="121"/>
      <c r="AJ91" s="258"/>
      <c r="AK91" s="258"/>
      <c r="AL91" s="258"/>
      <c r="AM91" s="258"/>
      <c r="AN91" s="258"/>
    </row>
    <row r="92" spans="1:40" x14ac:dyDescent="0.3">
      <c r="A92" s="259"/>
      <c r="B92" s="304" t="str">
        <f>B84</f>
        <v>Abemaciclib + ET</v>
      </c>
      <c r="C92" s="137">
        <f>'Capacity inputs'!F16*'Capacity inputs'!I16</f>
        <v>0</v>
      </c>
      <c r="D92" s="116">
        <f t="shared" si="47"/>
        <v>0</v>
      </c>
      <c r="E92" s="116">
        <f t="shared" si="47"/>
        <v>0</v>
      </c>
      <c r="F92" s="116">
        <f t="shared" si="47"/>
        <v>0</v>
      </c>
      <c r="G92" s="116">
        <f t="shared" si="47"/>
        <v>0</v>
      </c>
      <c r="H92" s="116">
        <f t="shared" si="47"/>
        <v>0</v>
      </c>
      <c r="I92" s="116">
        <f t="shared" si="47"/>
        <v>0</v>
      </c>
      <c r="J92" s="259"/>
      <c r="K92" s="259"/>
      <c r="L92" s="259"/>
      <c r="M92" s="259"/>
      <c r="N92" s="259"/>
      <c r="O92" s="259"/>
      <c r="P92" s="259"/>
      <c r="Q92" s="194"/>
      <c r="R92" s="121"/>
      <c r="S92" s="121"/>
      <c r="T92" s="121"/>
      <c r="U92" s="121"/>
      <c r="V92" s="121"/>
      <c r="W92" s="121"/>
      <c r="X92" s="121"/>
      <c r="Y92" s="121"/>
      <c r="Z92" s="121"/>
      <c r="AJ92" s="258"/>
      <c r="AK92" s="258"/>
      <c r="AL92" s="258"/>
      <c r="AM92" s="258"/>
      <c r="AN92" s="258"/>
    </row>
    <row r="93" spans="1:40" x14ac:dyDescent="0.3">
      <c r="A93" s="259"/>
      <c r="B93" s="252"/>
      <c r="C93" s="289"/>
      <c r="D93" s="168">
        <f t="shared" ref="D93:I93" si="48">SUM(D90:D92)</f>
        <v>0</v>
      </c>
      <c r="E93" s="168">
        <f t="shared" si="48"/>
        <v>0</v>
      </c>
      <c r="F93" s="168">
        <f t="shared" si="48"/>
        <v>0</v>
      </c>
      <c r="G93" s="168">
        <f t="shared" si="48"/>
        <v>0</v>
      </c>
      <c r="H93" s="168">
        <f t="shared" si="48"/>
        <v>0</v>
      </c>
      <c r="I93" s="168">
        <f t="shared" si="48"/>
        <v>0</v>
      </c>
      <c r="J93" s="259"/>
      <c r="K93" s="259"/>
      <c r="L93" s="259"/>
      <c r="M93" s="259"/>
      <c r="N93" s="259"/>
      <c r="O93" s="259"/>
      <c r="P93" s="259"/>
      <c r="Q93" s="194"/>
      <c r="R93" s="121"/>
      <c r="S93" s="121"/>
      <c r="T93" s="121"/>
      <c r="U93" s="121"/>
      <c r="V93" s="121"/>
      <c r="W93" s="121"/>
      <c r="X93" s="121"/>
      <c r="Y93" s="121"/>
      <c r="Z93" s="121"/>
      <c r="AJ93" s="258"/>
      <c r="AK93" s="258"/>
      <c r="AL93" s="258"/>
      <c r="AM93" s="258"/>
      <c r="AN93" s="258"/>
    </row>
    <row r="94" spans="1:40" x14ac:dyDescent="0.3">
      <c r="A94" s="259"/>
      <c r="B94" s="255"/>
      <c r="C94" s="255"/>
      <c r="D94" s="257" t="s">
        <v>2206</v>
      </c>
      <c r="E94" s="168">
        <f>E93-$D$93</f>
        <v>0</v>
      </c>
      <c r="F94" s="168">
        <f>F93-$D$93</f>
        <v>0</v>
      </c>
      <c r="G94" s="168">
        <f>G93-$D$93</f>
        <v>0</v>
      </c>
      <c r="H94" s="168">
        <f>H93-$D$93</f>
        <v>0</v>
      </c>
      <c r="I94" s="168">
        <f>I93-$D$93</f>
        <v>0</v>
      </c>
      <c r="J94" s="259"/>
      <c r="K94" s="259"/>
      <c r="L94" s="259"/>
      <c r="M94" s="259"/>
      <c r="N94" s="259"/>
      <c r="O94" s="259"/>
      <c r="P94" s="259"/>
      <c r="Q94" s="194"/>
      <c r="R94" s="121"/>
      <c r="S94" s="121"/>
      <c r="T94" s="121"/>
      <c r="U94" s="121"/>
      <c r="V94" s="121"/>
      <c r="W94" s="121"/>
      <c r="X94" s="121"/>
      <c r="Y94" s="121"/>
      <c r="Z94" s="121"/>
      <c r="AJ94" s="258"/>
      <c r="AK94" s="258"/>
      <c r="AL94" s="258"/>
      <c r="AM94" s="258"/>
      <c r="AN94" s="258"/>
    </row>
    <row r="95" spans="1:40" x14ac:dyDescent="0.3">
      <c r="A95" s="259"/>
      <c r="B95" s="291"/>
      <c r="C95" s="194"/>
      <c r="D95" s="194"/>
      <c r="E95" s="194"/>
      <c r="F95" s="194"/>
      <c r="G95" s="194"/>
      <c r="H95" s="194"/>
      <c r="I95" s="194"/>
      <c r="J95" s="194"/>
      <c r="K95" s="194"/>
      <c r="L95" s="259"/>
      <c r="M95" s="259"/>
      <c r="N95" s="259"/>
      <c r="O95" s="259"/>
      <c r="P95" s="259"/>
      <c r="Q95" s="194"/>
      <c r="R95" s="121"/>
      <c r="S95" s="121"/>
      <c r="T95" s="121"/>
      <c r="U95" s="121"/>
      <c r="V95" s="121"/>
      <c r="W95" s="121"/>
      <c r="X95" s="121"/>
      <c r="Y95" s="121"/>
      <c r="Z95" s="121"/>
      <c r="AJ95" s="258"/>
      <c r="AK95" s="258"/>
      <c r="AL95" s="258"/>
      <c r="AM95" s="258"/>
      <c r="AN95" s="258"/>
    </row>
    <row r="96" spans="1:40" x14ac:dyDescent="0.3">
      <c r="A96" s="259"/>
      <c r="B96" s="339" t="s">
        <v>2207</v>
      </c>
      <c r="C96" s="338"/>
      <c r="D96" s="338"/>
      <c r="E96" s="338"/>
      <c r="F96" s="338"/>
      <c r="G96" s="338"/>
      <c r="H96" s="338"/>
      <c r="I96" s="193"/>
      <c r="J96" s="363"/>
      <c r="K96" s="194"/>
      <c r="L96" s="259"/>
      <c r="M96" s="259"/>
      <c r="N96" s="259"/>
      <c r="O96" s="259"/>
      <c r="P96" s="259"/>
      <c r="Q96" s="194"/>
      <c r="R96" s="121"/>
      <c r="V96" s="121"/>
      <c r="AJ96" s="258"/>
      <c r="AK96" s="258"/>
      <c r="AL96" s="258"/>
      <c r="AM96" s="258"/>
      <c r="AN96" s="258"/>
    </row>
    <row r="97" spans="1:40" ht="43.2" x14ac:dyDescent="0.3">
      <c r="A97" s="259"/>
      <c r="B97" s="254" t="s">
        <v>2084</v>
      </c>
      <c r="C97" s="352" t="s">
        <v>2181</v>
      </c>
      <c r="D97" s="844" t="s">
        <v>2162</v>
      </c>
      <c r="E97" s="229" t="s">
        <v>1896</v>
      </c>
      <c r="F97" s="229" t="s">
        <v>1897</v>
      </c>
      <c r="G97" s="152" t="s">
        <v>2130</v>
      </c>
      <c r="H97" s="152" t="s">
        <v>2131</v>
      </c>
      <c r="I97" s="229" t="s">
        <v>2132</v>
      </c>
      <c r="J97" s="259"/>
      <c r="K97" s="259"/>
      <c r="L97" s="259"/>
      <c r="M97" s="259"/>
      <c r="N97" s="259"/>
      <c r="O97" s="259"/>
      <c r="P97" s="259"/>
      <c r="Q97" s="194"/>
      <c r="R97" s="121"/>
      <c r="V97" s="121"/>
      <c r="AJ97" s="258"/>
      <c r="AK97" s="258"/>
      <c r="AL97" s="258"/>
      <c r="AM97" s="258"/>
      <c r="AN97" s="258"/>
    </row>
    <row r="98" spans="1:40" x14ac:dyDescent="0.3">
      <c r="A98" s="259"/>
      <c r="B98" s="304" t="str">
        <f>B82</f>
        <v>Ribociclib + AI</v>
      </c>
      <c r="C98" s="137">
        <f>'Capacity inputs'!F17*'Capacity inputs'!G17</f>
        <v>0</v>
      </c>
      <c r="D98" s="116">
        <f t="shared" ref="D98:I100" si="49">D73*$C98/60</f>
        <v>0</v>
      </c>
      <c r="E98" s="116">
        <f t="shared" si="49"/>
        <v>0</v>
      </c>
      <c r="F98" s="116">
        <f t="shared" si="49"/>
        <v>0</v>
      </c>
      <c r="G98" s="116">
        <f t="shared" si="49"/>
        <v>0</v>
      </c>
      <c r="H98" s="116">
        <f t="shared" si="49"/>
        <v>0</v>
      </c>
      <c r="I98" s="116">
        <f t="shared" si="49"/>
        <v>0</v>
      </c>
      <c r="J98" s="259"/>
      <c r="K98" s="259"/>
      <c r="L98" s="259"/>
      <c r="M98" s="259"/>
      <c r="N98" s="259"/>
      <c r="O98" s="259"/>
      <c r="P98" s="259"/>
      <c r="Q98" s="194"/>
      <c r="R98" s="121"/>
      <c r="V98" s="121"/>
      <c r="AJ98" s="258"/>
      <c r="AK98" s="258"/>
      <c r="AL98" s="258"/>
      <c r="AM98" s="258"/>
      <c r="AN98" s="258"/>
    </row>
    <row r="99" spans="1:40" x14ac:dyDescent="0.3">
      <c r="A99" s="259"/>
      <c r="B99" s="304" t="str">
        <f>B83</f>
        <v>Endocrine Therapy (ET)</v>
      </c>
      <c r="C99" s="137">
        <f>'Capacity inputs'!F17*'Capacity inputs'!H17</f>
        <v>0</v>
      </c>
      <c r="D99" s="116">
        <f t="shared" si="49"/>
        <v>0</v>
      </c>
      <c r="E99" s="116">
        <f t="shared" si="49"/>
        <v>0</v>
      </c>
      <c r="F99" s="116">
        <f t="shared" si="49"/>
        <v>0</v>
      </c>
      <c r="G99" s="116">
        <f t="shared" si="49"/>
        <v>0</v>
      </c>
      <c r="H99" s="116">
        <f t="shared" si="49"/>
        <v>0</v>
      </c>
      <c r="I99" s="116">
        <f t="shared" si="49"/>
        <v>0</v>
      </c>
      <c r="J99" s="259"/>
      <c r="K99" s="259"/>
      <c r="L99" s="259"/>
      <c r="M99" s="259"/>
      <c r="N99" s="259"/>
      <c r="O99" s="259"/>
      <c r="P99" s="259"/>
      <c r="Q99" s="194"/>
      <c r="R99" s="121"/>
      <c r="V99" s="121"/>
      <c r="AJ99" s="258"/>
      <c r="AK99" s="258"/>
      <c r="AL99" s="258"/>
      <c r="AM99" s="258"/>
      <c r="AN99" s="258"/>
    </row>
    <row r="100" spans="1:40" x14ac:dyDescent="0.3">
      <c r="A100" s="259"/>
      <c r="B100" s="304" t="str">
        <f>B84</f>
        <v>Abemaciclib + ET</v>
      </c>
      <c r="C100" s="137">
        <f>'Capacity inputs'!F17*'Capacity inputs'!I17</f>
        <v>0</v>
      </c>
      <c r="D100" s="116">
        <f t="shared" si="49"/>
        <v>0</v>
      </c>
      <c r="E100" s="116">
        <f t="shared" si="49"/>
        <v>0</v>
      </c>
      <c r="F100" s="116">
        <f t="shared" si="49"/>
        <v>0</v>
      </c>
      <c r="G100" s="116">
        <f t="shared" si="49"/>
        <v>0</v>
      </c>
      <c r="H100" s="116">
        <f t="shared" si="49"/>
        <v>0</v>
      </c>
      <c r="I100" s="116">
        <f t="shared" si="49"/>
        <v>0</v>
      </c>
      <c r="J100" s="259"/>
      <c r="K100" s="259"/>
      <c r="L100" s="259"/>
      <c r="M100" s="259"/>
      <c r="N100" s="259"/>
      <c r="O100" s="259"/>
      <c r="P100" s="259"/>
      <c r="Q100" s="194"/>
      <c r="R100" s="121"/>
      <c r="V100" s="121"/>
      <c r="AJ100" s="258"/>
      <c r="AK100" s="258"/>
      <c r="AL100" s="258"/>
      <c r="AM100" s="258"/>
      <c r="AN100" s="258"/>
    </row>
    <row r="101" spans="1:40" x14ac:dyDescent="0.3">
      <c r="A101" s="259"/>
      <c r="B101" s="252"/>
      <c r="C101" s="289"/>
      <c r="D101" s="168">
        <f t="shared" ref="D101:I101" si="50">SUM(D98:D100)</f>
        <v>0</v>
      </c>
      <c r="E101" s="168">
        <f t="shared" si="50"/>
        <v>0</v>
      </c>
      <c r="F101" s="168">
        <f t="shared" si="50"/>
        <v>0</v>
      </c>
      <c r="G101" s="168">
        <f t="shared" si="50"/>
        <v>0</v>
      </c>
      <c r="H101" s="168">
        <f t="shared" si="50"/>
        <v>0</v>
      </c>
      <c r="I101" s="168">
        <f t="shared" si="50"/>
        <v>0</v>
      </c>
      <c r="J101" s="259"/>
      <c r="K101" s="259"/>
      <c r="L101" s="259"/>
      <c r="M101" s="259"/>
      <c r="N101" s="259"/>
      <c r="O101" s="259"/>
      <c r="P101" s="259"/>
      <c r="Q101" s="194"/>
      <c r="R101" s="121"/>
      <c r="S101" s="121"/>
      <c r="T101" s="121"/>
      <c r="U101" s="121"/>
      <c r="V101" s="121"/>
      <c r="W101" s="121"/>
      <c r="X101" s="121"/>
      <c r="Y101" s="121"/>
      <c r="Z101" s="121"/>
      <c r="AJ101" s="258"/>
      <c r="AK101" s="258"/>
      <c r="AL101" s="258"/>
      <c r="AM101" s="258"/>
      <c r="AN101" s="258"/>
    </row>
    <row r="102" spans="1:40" x14ac:dyDescent="0.3">
      <c r="A102" s="259"/>
      <c r="B102" s="279"/>
      <c r="C102" s="255"/>
      <c r="D102" s="257" t="s">
        <v>2208</v>
      </c>
      <c r="E102" s="168">
        <f>E101-$D$101</f>
        <v>0</v>
      </c>
      <c r="F102" s="168">
        <f>F101-$D$101</f>
        <v>0</v>
      </c>
      <c r="G102" s="168">
        <f>G101-$D$101</f>
        <v>0</v>
      </c>
      <c r="H102" s="168">
        <f>H101-$D$101</f>
        <v>0</v>
      </c>
      <c r="I102" s="168">
        <f>I101-$D$101</f>
        <v>0</v>
      </c>
      <c r="J102" s="259"/>
      <c r="K102" s="259"/>
      <c r="L102" s="259"/>
      <c r="M102" s="259"/>
      <c r="N102" s="259"/>
      <c r="O102" s="259"/>
      <c r="P102" s="259"/>
      <c r="Q102" s="194"/>
      <c r="R102" s="121"/>
      <c r="S102" s="121"/>
      <c r="T102" s="121"/>
      <c r="U102" s="121"/>
      <c r="V102" s="121"/>
      <c r="W102" s="121"/>
      <c r="X102" s="121"/>
      <c r="Y102" s="121"/>
      <c r="Z102" s="121"/>
      <c r="AJ102" s="258"/>
      <c r="AK102" s="258"/>
      <c r="AL102" s="258"/>
      <c r="AM102" s="258"/>
      <c r="AN102" s="258"/>
    </row>
    <row r="103" spans="1:40" x14ac:dyDescent="0.3">
      <c r="A103" s="259"/>
      <c r="B103" s="291"/>
      <c r="C103" s="194"/>
      <c r="D103" s="194"/>
      <c r="E103" s="194"/>
      <c r="F103" s="194"/>
      <c r="G103" s="194"/>
      <c r="H103" s="194"/>
      <c r="I103" s="194"/>
      <c r="J103" s="259"/>
      <c r="K103" s="259"/>
      <c r="L103" s="259"/>
      <c r="M103" s="259"/>
      <c r="N103" s="259"/>
      <c r="O103" s="259"/>
      <c r="P103" s="259"/>
      <c r="Q103" s="194"/>
      <c r="R103" s="121"/>
      <c r="S103" s="121"/>
      <c r="T103" s="121"/>
      <c r="U103" s="121"/>
      <c r="V103" s="121"/>
      <c r="W103" s="121"/>
      <c r="X103" s="121"/>
      <c r="Y103" s="121"/>
      <c r="Z103" s="121"/>
      <c r="AJ103" s="258"/>
      <c r="AK103" s="258"/>
      <c r="AL103" s="258"/>
      <c r="AM103" s="258"/>
      <c r="AN103" s="258"/>
    </row>
    <row r="104" spans="1:40" x14ac:dyDescent="0.3">
      <c r="A104" s="561"/>
      <c r="B104" s="567" t="s">
        <v>2209</v>
      </c>
      <c r="C104" s="562"/>
      <c r="D104" s="563"/>
      <c r="E104" s="562"/>
      <c r="F104" s="564"/>
      <c r="G104" s="565"/>
      <c r="H104" s="565"/>
      <c r="I104" s="566"/>
      <c r="J104" s="561"/>
      <c r="K104" s="561"/>
      <c r="L104" s="561"/>
      <c r="M104" s="561"/>
      <c r="N104" s="561"/>
      <c r="O104" s="561"/>
      <c r="P104" s="261"/>
      <c r="Q104" s="261"/>
      <c r="R104" s="121"/>
      <c r="S104" s="121"/>
      <c r="T104" s="121"/>
      <c r="U104" s="121"/>
      <c r="V104" s="121"/>
      <c r="W104" s="121"/>
      <c r="X104" s="121"/>
      <c r="Y104" s="121"/>
      <c r="Z104" s="121"/>
      <c r="AJ104" s="258"/>
      <c r="AK104" s="258"/>
      <c r="AL104" s="258"/>
      <c r="AM104" s="258"/>
      <c r="AN104" s="258"/>
    </row>
    <row r="105" spans="1:40" x14ac:dyDescent="0.3">
      <c r="A105" s="261"/>
      <c r="B105" s="340" t="s">
        <v>2210</v>
      </c>
      <c r="C105" s="341"/>
      <c r="D105" s="341"/>
      <c r="E105" s="341"/>
      <c r="F105" s="341"/>
      <c r="G105" s="341"/>
      <c r="H105" s="341"/>
      <c r="I105" s="197"/>
      <c r="J105" s="261"/>
      <c r="K105" s="261"/>
      <c r="L105" s="198"/>
      <c r="M105" s="198"/>
      <c r="N105" s="261"/>
      <c r="O105" s="198"/>
      <c r="P105" s="198"/>
      <c r="Q105" s="198"/>
      <c r="R105" s="121"/>
      <c r="V105" s="121"/>
    </row>
    <row r="106" spans="1:40" ht="43.2" x14ac:dyDescent="0.3">
      <c r="A106" s="261"/>
      <c r="B106" s="251" t="s">
        <v>2084</v>
      </c>
      <c r="C106" s="352" t="s">
        <v>2181</v>
      </c>
      <c r="D106" s="844" t="s">
        <v>2162</v>
      </c>
      <c r="E106" s="229" t="s">
        <v>1896</v>
      </c>
      <c r="F106" s="229" t="s">
        <v>1897</v>
      </c>
      <c r="G106" s="152" t="s">
        <v>2130</v>
      </c>
      <c r="H106" s="152" t="s">
        <v>2131</v>
      </c>
      <c r="I106" s="229" t="s">
        <v>2132</v>
      </c>
      <c r="J106" s="261"/>
      <c r="K106" s="261"/>
      <c r="L106" s="198"/>
      <c r="M106" s="198"/>
      <c r="N106" s="261"/>
      <c r="O106" s="198"/>
      <c r="P106" s="198"/>
      <c r="Q106" s="198"/>
      <c r="R106" s="121"/>
      <c r="V106" s="121"/>
    </row>
    <row r="107" spans="1:40" x14ac:dyDescent="0.3">
      <c r="A107" s="261"/>
      <c r="B107" s="304" t="str">
        <f>'Capacity inputs'!G12</f>
        <v>Ribociclib + AI</v>
      </c>
      <c r="C107" s="137">
        <f>'Capacity inputs'!F18</f>
        <v>2</v>
      </c>
      <c r="D107" s="116">
        <f>D73*'Capacity inputs'!$G18</f>
        <v>0</v>
      </c>
      <c r="E107" s="116">
        <f>E73*'Capacity inputs'!$G18</f>
        <v>0</v>
      </c>
      <c r="F107" s="116">
        <f>F73*'Capacity inputs'!$G18</f>
        <v>0</v>
      </c>
      <c r="G107" s="116">
        <f>G73*'Capacity inputs'!$G18</f>
        <v>0</v>
      </c>
      <c r="H107" s="116">
        <f>H73*'Capacity inputs'!$G18</f>
        <v>0</v>
      </c>
      <c r="I107" s="116">
        <f>I73*'Capacity inputs'!$G18</f>
        <v>0</v>
      </c>
      <c r="J107" s="261"/>
      <c r="K107" s="261"/>
      <c r="L107" s="198"/>
      <c r="M107" s="198"/>
      <c r="N107" s="261"/>
      <c r="O107" s="198"/>
      <c r="P107" s="198"/>
      <c r="Q107" s="198"/>
      <c r="R107" s="121"/>
      <c r="V107" s="121"/>
    </row>
    <row r="108" spans="1:40" x14ac:dyDescent="0.3">
      <c r="A108" s="261"/>
      <c r="B108" s="304" t="str">
        <f>'Capacity inputs'!H12</f>
        <v>ET</v>
      </c>
      <c r="C108" s="137">
        <f>'Capacity inputs'!F18</f>
        <v>2</v>
      </c>
      <c r="D108" s="116">
        <f>D74*'Capacity inputs'!$H18</f>
        <v>0</v>
      </c>
      <c r="E108" s="116">
        <f>E74*'Capacity inputs'!$H18</f>
        <v>0</v>
      </c>
      <c r="F108" s="116">
        <f>F74*'Capacity inputs'!$H18</f>
        <v>0</v>
      </c>
      <c r="G108" s="116">
        <f>G74*'Capacity inputs'!$H18</f>
        <v>0</v>
      </c>
      <c r="H108" s="116">
        <f>H74*'Capacity inputs'!$H18</f>
        <v>0</v>
      </c>
      <c r="I108" s="116">
        <f>I74*'Capacity inputs'!$H18</f>
        <v>0</v>
      </c>
      <c r="J108" s="261"/>
      <c r="K108" s="261"/>
      <c r="L108" s="198"/>
      <c r="M108" s="198"/>
      <c r="N108" s="261"/>
      <c r="O108" s="198"/>
      <c r="P108" s="198"/>
      <c r="Q108" s="198"/>
      <c r="R108" s="121"/>
      <c r="V108" s="121"/>
    </row>
    <row r="109" spans="1:40" x14ac:dyDescent="0.3">
      <c r="A109" s="261"/>
      <c r="B109" s="304" t="str">
        <f>'Capacity inputs'!I12</f>
        <v>Abemaciclib + ET</v>
      </c>
      <c r="C109" s="137">
        <f>'Capacity inputs'!F18</f>
        <v>2</v>
      </c>
      <c r="D109" s="116">
        <f>D75*'Capacity inputs'!$I18</f>
        <v>0</v>
      </c>
      <c r="E109" s="116">
        <f>E75*'Capacity inputs'!$I18</f>
        <v>0</v>
      </c>
      <c r="F109" s="116">
        <f>F75*'Capacity inputs'!$I18</f>
        <v>0</v>
      </c>
      <c r="G109" s="116">
        <f>G75*'Capacity inputs'!$I18</f>
        <v>0</v>
      </c>
      <c r="H109" s="116">
        <f>H75*'Capacity inputs'!$I18</f>
        <v>0</v>
      </c>
      <c r="I109" s="116">
        <f>I75*'Capacity inputs'!$I18</f>
        <v>0</v>
      </c>
      <c r="J109" s="261"/>
      <c r="K109" s="261"/>
      <c r="L109" s="198"/>
      <c r="M109" s="198"/>
      <c r="N109" s="261"/>
      <c r="O109" s="198"/>
      <c r="P109" s="198"/>
      <c r="Q109" s="198"/>
      <c r="R109" s="121"/>
      <c r="V109" s="121"/>
    </row>
    <row r="110" spans="1:40" x14ac:dyDescent="0.3">
      <c r="A110" s="261"/>
      <c r="B110" s="252"/>
      <c r="C110" s="187"/>
      <c r="D110" s="168">
        <f t="shared" ref="D110:I110" si="51">SUM(D107:D109)</f>
        <v>0</v>
      </c>
      <c r="E110" s="168">
        <f t="shared" si="51"/>
        <v>0</v>
      </c>
      <c r="F110" s="168">
        <f t="shared" si="51"/>
        <v>0</v>
      </c>
      <c r="G110" s="168">
        <f t="shared" si="51"/>
        <v>0</v>
      </c>
      <c r="H110" s="168">
        <f t="shared" si="51"/>
        <v>0</v>
      </c>
      <c r="I110" s="168">
        <f t="shared" si="51"/>
        <v>0</v>
      </c>
      <c r="J110" s="261"/>
      <c r="K110" s="261"/>
      <c r="L110" s="198"/>
      <c r="M110" s="198"/>
      <c r="N110" s="261"/>
      <c r="O110" s="198"/>
      <c r="P110" s="198"/>
      <c r="Q110" s="198"/>
      <c r="R110" s="121"/>
      <c r="V110" s="121"/>
    </row>
    <row r="111" spans="1:40" x14ac:dyDescent="0.3">
      <c r="A111" s="261"/>
      <c r="B111" s="279"/>
      <c r="C111" s="201"/>
      <c r="D111" s="257" t="s">
        <v>2211</v>
      </c>
      <c r="E111" s="168">
        <f>E110-$D$110</f>
        <v>0</v>
      </c>
      <c r="F111" s="168">
        <f>F110-$D$110</f>
        <v>0</v>
      </c>
      <c r="G111" s="168">
        <f>G110-$D$110</f>
        <v>0</v>
      </c>
      <c r="H111" s="168">
        <f>H110-$D$110</f>
        <v>0</v>
      </c>
      <c r="I111" s="168">
        <f>I110-$D$110</f>
        <v>0</v>
      </c>
      <c r="J111" s="261"/>
      <c r="K111" s="261"/>
      <c r="L111" s="198"/>
      <c r="M111" s="198"/>
      <c r="N111" s="261"/>
      <c r="O111" s="198"/>
      <c r="P111" s="198"/>
      <c r="Q111" s="198"/>
      <c r="R111" s="121"/>
      <c r="V111" s="121"/>
    </row>
    <row r="112" spans="1:40" x14ac:dyDescent="0.3">
      <c r="A112" s="261"/>
      <c r="B112" s="292"/>
      <c r="C112" s="875"/>
      <c r="D112" s="198"/>
      <c r="E112" s="198"/>
      <c r="F112" s="198"/>
      <c r="G112" s="198"/>
      <c r="H112" s="198"/>
      <c r="I112" s="198"/>
      <c r="J112" s="198"/>
      <c r="K112" s="198"/>
      <c r="L112" s="198"/>
      <c r="M112" s="198"/>
      <c r="N112" s="261"/>
      <c r="O112" s="198"/>
      <c r="P112" s="198"/>
      <c r="Q112" s="198"/>
      <c r="R112" s="121"/>
      <c r="S112" s="121"/>
      <c r="T112" s="121"/>
      <c r="U112" s="121"/>
      <c r="V112" s="121"/>
      <c r="W112" s="121"/>
      <c r="X112" s="121"/>
      <c r="Y112" s="121"/>
      <c r="Z112" s="121"/>
      <c r="AJ112" s="258"/>
      <c r="AK112" s="258"/>
      <c r="AL112" s="258"/>
      <c r="AM112" s="258"/>
      <c r="AN112" s="258"/>
    </row>
    <row r="113" spans="1:40" x14ac:dyDescent="0.3">
      <c r="A113" s="262"/>
      <c r="B113" s="293" t="s">
        <v>2212</v>
      </c>
      <c r="C113" s="281"/>
      <c r="D113" s="282"/>
      <c r="E113" s="283"/>
      <c r="F113" s="284"/>
      <c r="G113" s="284"/>
      <c r="H113" s="284"/>
      <c r="I113" s="368"/>
      <c r="J113" s="262"/>
      <c r="K113" s="262"/>
      <c r="L113" s="262"/>
      <c r="M113" s="262"/>
      <c r="N113" s="262"/>
      <c r="O113" s="262"/>
      <c r="P113" s="262"/>
      <c r="Q113" s="200"/>
      <c r="R113" s="121"/>
      <c r="S113" s="121"/>
      <c r="T113" s="121"/>
      <c r="U113" s="121"/>
      <c r="V113" s="121"/>
      <c r="W113" s="121"/>
      <c r="X113" s="121"/>
      <c r="Y113" s="121"/>
      <c r="Z113" s="121"/>
      <c r="AJ113" s="258"/>
      <c r="AK113" s="258"/>
      <c r="AL113" s="258"/>
      <c r="AM113" s="258"/>
      <c r="AN113" s="258"/>
    </row>
    <row r="114" spans="1:40" x14ac:dyDescent="0.3">
      <c r="A114" s="262"/>
      <c r="B114" s="344" t="s">
        <v>2213</v>
      </c>
      <c r="C114" s="345"/>
      <c r="D114" s="345"/>
      <c r="E114" s="345"/>
      <c r="F114" s="345"/>
      <c r="G114" s="345"/>
      <c r="H114" s="345"/>
      <c r="I114" s="199"/>
      <c r="J114" s="200"/>
      <c r="K114" s="200"/>
      <c r="L114" s="364"/>
      <c r="M114" s="364"/>
      <c r="N114" s="364"/>
      <c r="O114" s="364"/>
      <c r="P114" s="364"/>
      <c r="Q114" s="364"/>
      <c r="R114" s="121"/>
      <c r="S114" s="121"/>
      <c r="T114" s="121"/>
      <c r="U114" s="121"/>
      <c r="V114" s="121"/>
      <c r="W114" s="121"/>
      <c r="X114" s="121"/>
      <c r="Y114" s="121"/>
      <c r="Z114" s="121"/>
      <c r="AJ114" s="258"/>
      <c r="AK114" s="258"/>
      <c r="AL114" s="258"/>
      <c r="AM114" s="258"/>
      <c r="AN114" s="258"/>
    </row>
    <row r="115" spans="1:40" ht="43.2" x14ac:dyDescent="0.3">
      <c r="A115" s="262"/>
      <c r="B115" s="251" t="s">
        <v>2084</v>
      </c>
      <c r="C115" s="153" t="s">
        <v>2186</v>
      </c>
      <c r="D115" s="844" t="s">
        <v>2162</v>
      </c>
      <c r="E115" s="229" t="s">
        <v>1896</v>
      </c>
      <c r="F115" s="229" t="s">
        <v>1897</v>
      </c>
      <c r="G115" s="152" t="s">
        <v>2130</v>
      </c>
      <c r="H115" s="152" t="s">
        <v>2131</v>
      </c>
      <c r="I115" s="229" t="s">
        <v>2132</v>
      </c>
      <c r="J115" s="262"/>
      <c r="K115" s="447" t="s">
        <v>2221</v>
      </c>
      <c r="L115" s="844" t="s">
        <v>2162</v>
      </c>
      <c r="M115" s="229" t="s">
        <v>1896</v>
      </c>
      <c r="N115" s="229" t="s">
        <v>1897</v>
      </c>
      <c r="O115" s="152" t="s">
        <v>2130</v>
      </c>
      <c r="P115" s="152" t="s">
        <v>2131</v>
      </c>
      <c r="Q115" s="229" t="s">
        <v>2132</v>
      </c>
      <c r="R115" s="121"/>
      <c r="S115" s="121"/>
      <c r="T115" s="121"/>
      <c r="U115" s="121"/>
      <c r="V115" s="121"/>
      <c r="W115" s="121"/>
      <c r="X115" s="121"/>
      <c r="Y115" s="121"/>
      <c r="Z115" s="121"/>
      <c r="AJ115" s="258"/>
      <c r="AK115" s="258"/>
      <c r="AL115" s="258"/>
      <c r="AM115" s="258"/>
      <c r="AN115" s="258"/>
    </row>
    <row r="116" spans="1:40" x14ac:dyDescent="0.3">
      <c r="A116" s="262"/>
      <c r="B116" s="303" t="s">
        <v>2192</v>
      </c>
      <c r="C116" s="137">
        <f>'Capacity inputs'!$G$19</f>
        <v>2</v>
      </c>
      <c r="D116" s="116">
        <f>$C116*'Financial impact (cash)'!D13</f>
        <v>0</v>
      </c>
      <c r="E116" s="116">
        <f>$C116*'Financial impact (cash)'!E13</f>
        <v>6884.409021273018</v>
      </c>
      <c r="F116" s="116">
        <f>$C116*'Financial impact (cash)'!F13</f>
        <v>7937.0612779279681</v>
      </c>
      <c r="G116" s="116">
        <f>$C116*'Financial impact (cash)'!G13</f>
        <v>8674.0707633694346</v>
      </c>
      <c r="H116" s="116">
        <f>$C116*'Financial impact (cash)'!H13</f>
        <v>8750.3229535835999</v>
      </c>
      <c r="I116" s="116">
        <f>$C116*'Financial impact (cash)'!I13</f>
        <v>8827.2454630366865</v>
      </c>
      <c r="J116" s="262"/>
      <c r="K116" s="263">
        <f>'Unit costs'!$L$81</f>
        <v>93</v>
      </c>
      <c r="L116" s="263">
        <f>$K116*D116/1000</f>
        <v>0</v>
      </c>
      <c r="M116" s="263">
        <f t="shared" ref="M116:Q122" si="52">$K116*E116/1000</f>
        <v>640.25003897839065</v>
      </c>
      <c r="N116" s="263">
        <f t="shared" si="52"/>
        <v>738.14669884730108</v>
      </c>
      <c r="O116" s="263">
        <f t="shared" si="52"/>
        <v>806.6885809933575</v>
      </c>
      <c r="P116" s="263">
        <f t="shared" si="52"/>
        <v>813.78003468327483</v>
      </c>
      <c r="Q116" s="263">
        <f t="shared" si="52"/>
        <v>820.93382806241186</v>
      </c>
      <c r="R116" s="121"/>
      <c r="S116" s="121"/>
      <c r="T116" s="121"/>
      <c r="U116" s="121"/>
      <c r="V116" s="121"/>
      <c r="W116" s="121"/>
      <c r="X116" s="121"/>
      <c r="Y116" s="121"/>
      <c r="Z116" s="121"/>
      <c r="AJ116" s="258"/>
      <c r="AK116" s="258"/>
      <c r="AL116" s="258"/>
      <c r="AM116" s="258"/>
      <c r="AN116" s="258"/>
    </row>
    <row r="117" spans="1:40" x14ac:dyDescent="0.3">
      <c r="A117" s="262"/>
      <c r="B117" s="303" t="s">
        <v>2167</v>
      </c>
      <c r="C117" s="137">
        <f>'Capacity inputs'!$H$19</f>
        <v>0</v>
      </c>
      <c r="D117" s="116">
        <f>$C117*'Financial impact (cash)'!D16</f>
        <v>0</v>
      </c>
      <c r="E117" s="116">
        <f>$C117*'Financial impact (cash)'!E16</f>
        <v>0</v>
      </c>
      <c r="F117" s="116">
        <f>$C117*'Financial impact (cash)'!F16</f>
        <v>0</v>
      </c>
      <c r="G117" s="116">
        <f>$C117*'Financial impact (cash)'!G16</f>
        <v>0</v>
      </c>
      <c r="H117" s="116">
        <f>$C117*'Financial impact (cash)'!H16</f>
        <v>0</v>
      </c>
      <c r="I117" s="116">
        <f>$C117*'Financial impact (cash)'!I16</f>
        <v>0</v>
      </c>
      <c r="J117" s="262"/>
      <c r="K117" s="263">
        <f>'Unit costs'!$L$81</f>
        <v>93</v>
      </c>
      <c r="L117" s="263">
        <f t="shared" ref="L117:L122" si="53">$K117*D117/1000</f>
        <v>0</v>
      </c>
      <c r="M117" s="263">
        <f t="shared" si="52"/>
        <v>0</v>
      </c>
      <c r="N117" s="263">
        <f t="shared" si="52"/>
        <v>0</v>
      </c>
      <c r="O117" s="263">
        <f t="shared" si="52"/>
        <v>0</v>
      </c>
      <c r="P117" s="263">
        <f t="shared" si="52"/>
        <v>0</v>
      </c>
      <c r="Q117" s="263">
        <f t="shared" si="52"/>
        <v>0</v>
      </c>
      <c r="R117" s="121"/>
      <c r="S117" s="121"/>
      <c r="T117" s="121"/>
      <c r="U117" s="121"/>
      <c r="V117" s="121"/>
      <c r="W117" s="121"/>
      <c r="X117" s="121"/>
      <c r="Y117" s="121"/>
      <c r="Z117" s="121"/>
      <c r="AJ117" s="258"/>
      <c r="AK117" s="258"/>
      <c r="AL117" s="258"/>
      <c r="AM117" s="258"/>
      <c r="AN117" s="258"/>
    </row>
    <row r="118" spans="1:40" x14ac:dyDescent="0.3">
      <c r="A118" s="262"/>
      <c r="B118" s="303" t="s">
        <v>2168</v>
      </c>
      <c r="C118" s="137">
        <f>'Capacity inputs'!$H$19</f>
        <v>0</v>
      </c>
      <c r="D118" s="116">
        <f>$C118*'Financial impact (cash)'!D17</f>
        <v>0</v>
      </c>
      <c r="E118" s="116">
        <f>$C118*'Financial impact (cash)'!E17</f>
        <v>0</v>
      </c>
      <c r="F118" s="116">
        <f>$C118*'Financial impact (cash)'!F17</f>
        <v>0</v>
      </c>
      <c r="G118" s="116">
        <f>$C118*'Financial impact (cash)'!G17</f>
        <v>0</v>
      </c>
      <c r="H118" s="116">
        <f>$C118*'Financial impact (cash)'!H17</f>
        <v>0</v>
      </c>
      <c r="I118" s="116">
        <f>$C118*'Financial impact (cash)'!I17</f>
        <v>0</v>
      </c>
      <c r="J118" s="262"/>
      <c r="K118" s="263">
        <f>'Unit costs'!$L$81</f>
        <v>93</v>
      </c>
      <c r="L118" s="263">
        <f t="shared" si="53"/>
        <v>0</v>
      </c>
      <c r="M118" s="263">
        <f t="shared" si="52"/>
        <v>0</v>
      </c>
      <c r="N118" s="263">
        <f t="shared" si="52"/>
        <v>0</v>
      </c>
      <c r="O118" s="263">
        <f t="shared" si="52"/>
        <v>0</v>
      </c>
      <c r="P118" s="263">
        <f t="shared" si="52"/>
        <v>0</v>
      </c>
      <c r="Q118" s="263">
        <f t="shared" si="52"/>
        <v>0</v>
      </c>
      <c r="R118" s="121"/>
      <c r="S118" s="121"/>
      <c r="T118" s="121"/>
      <c r="U118" s="121"/>
      <c r="V118" s="121"/>
      <c r="W118" s="121"/>
      <c r="X118" s="121"/>
      <c r="Y118" s="121"/>
      <c r="Z118" s="121"/>
      <c r="AJ118" s="258"/>
      <c r="AK118" s="258"/>
      <c r="AL118" s="258"/>
      <c r="AM118" s="258"/>
      <c r="AN118" s="258"/>
    </row>
    <row r="119" spans="1:40" x14ac:dyDescent="0.3">
      <c r="A119" s="262"/>
      <c r="B119" s="303" t="s">
        <v>2169</v>
      </c>
      <c r="C119" s="137">
        <f>'Capacity inputs'!$H$19</f>
        <v>0</v>
      </c>
      <c r="D119" s="116">
        <f>$C119*'Financial impact (cash)'!D18</f>
        <v>0</v>
      </c>
      <c r="E119" s="116">
        <f>$C119*'Financial impact (cash)'!E18</f>
        <v>0</v>
      </c>
      <c r="F119" s="116">
        <f>$C119*'Financial impact (cash)'!F18</f>
        <v>0</v>
      </c>
      <c r="G119" s="116">
        <f>$C119*'Financial impact (cash)'!G18</f>
        <v>0</v>
      </c>
      <c r="H119" s="116">
        <f>$C119*'Financial impact (cash)'!H18</f>
        <v>0</v>
      </c>
      <c r="I119" s="116">
        <f>$C119*'Financial impact (cash)'!I18</f>
        <v>0</v>
      </c>
      <c r="J119" s="262"/>
      <c r="K119" s="263">
        <f>'Unit costs'!$L$81</f>
        <v>93</v>
      </c>
      <c r="L119" s="263">
        <f t="shared" si="53"/>
        <v>0</v>
      </c>
      <c r="M119" s="263">
        <f t="shared" si="52"/>
        <v>0</v>
      </c>
      <c r="N119" s="263">
        <f t="shared" si="52"/>
        <v>0</v>
      </c>
      <c r="O119" s="263">
        <f t="shared" si="52"/>
        <v>0</v>
      </c>
      <c r="P119" s="263">
        <f t="shared" si="52"/>
        <v>0</v>
      </c>
      <c r="Q119" s="263">
        <f t="shared" si="52"/>
        <v>0</v>
      </c>
      <c r="R119" s="121"/>
      <c r="S119" s="121"/>
      <c r="T119" s="121"/>
      <c r="U119" s="121"/>
      <c r="V119" s="121"/>
      <c r="W119" s="121"/>
      <c r="X119" s="121"/>
      <c r="Y119" s="121"/>
      <c r="Z119" s="121"/>
      <c r="AJ119" s="258"/>
      <c r="AK119" s="258"/>
      <c r="AL119" s="258"/>
      <c r="AM119" s="258"/>
      <c r="AN119" s="258"/>
    </row>
    <row r="120" spans="1:40" x14ac:dyDescent="0.3">
      <c r="A120" s="262"/>
      <c r="B120" s="303" t="s">
        <v>2170</v>
      </c>
      <c r="C120" s="137">
        <f>'Capacity inputs'!$H$19</f>
        <v>0</v>
      </c>
      <c r="D120" s="116">
        <f>$C120*'Financial impact (cash)'!D19</f>
        <v>0</v>
      </c>
      <c r="E120" s="116">
        <f>$C120*'Financial impact (cash)'!E19</f>
        <v>0</v>
      </c>
      <c r="F120" s="116">
        <f>$C120*'Financial impact (cash)'!F19</f>
        <v>0</v>
      </c>
      <c r="G120" s="116">
        <f>$C120*'Financial impact (cash)'!G19</f>
        <v>0</v>
      </c>
      <c r="H120" s="116">
        <f>$C120*'Financial impact (cash)'!H19</f>
        <v>0</v>
      </c>
      <c r="I120" s="116">
        <f>$C120*'Financial impact (cash)'!I19</f>
        <v>0</v>
      </c>
      <c r="J120" s="262"/>
      <c r="K120" s="263">
        <f>'Unit costs'!$L$81</f>
        <v>93</v>
      </c>
      <c r="L120" s="263">
        <f t="shared" si="53"/>
        <v>0</v>
      </c>
      <c r="M120" s="263">
        <f t="shared" si="52"/>
        <v>0</v>
      </c>
      <c r="N120" s="263">
        <f t="shared" si="52"/>
        <v>0</v>
      </c>
      <c r="O120" s="263">
        <f t="shared" si="52"/>
        <v>0</v>
      </c>
      <c r="P120" s="263">
        <f t="shared" si="52"/>
        <v>0</v>
      </c>
      <c r="Q120" s="263">
        <f t="shared" si="52"/>
        <v>0</v>
      </c>
      <c r="R120" s="121"/>
      <c r="S120" s="121"/>
      <c r="T120" s="121"/>
      <c r="U120" s="121"/>
      <c r="V120" s="121"/>
      <c r="W120" s="121"/>
      <c r="X120" s="121"/>
      <c r="Y120" s="121"/>
      <c r="Z120" s="121"/>
      <c r="AJ120" s="258"/>
      <c r="AK120" s="258"/>
      <c r="AL120" s="258"/>
      <c r="AM120" s="258"/>
      <c r="AN120" s="258"/>
    </row>
    <row r="121" spans="1:40" x14ac:dyDescent="0.3">
      <c r="A121" s="262"/>
      <c r="B121" s="303" t="s">
        <v>2171</v>
      </c>
      <c r="C121" s="137">
        <f>'Capacity inputs'!$H$19</f>
        <v>0</v>
      </c>
      <c r="D121" s="116">
        <f>$C121*'Financial impact (cash)'!D20</f>
        <v>0</v>
      </c>
      <c r="E121" s="116">
        <f>$C121*'Financial impact (cash)'!E20</f>
        <v>0</v>
      </c>
      <c r="F121" s="116">
        <f>$C121*'Financial impact (cash)'!F20</f>
        <v>0</v>
      </c>
      <c r="G121" s="116">
        <f>$C121*'Financial impact (cash)'!G20</f>
        <v>0</v>
      </c>
      <c r="H121" s="116">
        <f>$C121*'Financial impact (cash)'!H20</f>
        <v>0</v>
      </c>
      <c r="I121" s="116">
        <f>$C121*'Financial impact (cash)'!I20</f>
        <v>0</v>
      </c>
      <c r="J121" s="262"/>
      <c r="K121" s="263">
        <f>'Unit costs'!$L$81</f>
        <v>93</v>
      </c>
      <c r="L121" s="263">
        <f t="shared" si="53"/>
        <v>0</v>
      </c>
      <c r="M121" s="263">
        <f t="shared" si="52"/>
        <v>0</v>
      </c>
      <c r="N121" s="263">
        <f t="shared" si="52"/>
        <v>0</v>
      </c>
      <c r="O121" s="263">
        <f t="shared" si="52"/>
        <v>0</v>
      </c>
      <c r="P121" s="263">
        <f t="shared" si="52"/>
        <v>0</v>
      </c>
      <c r="Q121" s="263">
        <f t="shared" si="52"/>
        <v>0</v>
      </c>
      <c r="R121" s="121"/>
      <c r="S121" s="121"/>
      <c r="T121" s="121"/>
      <c r="U121" s="121"/>
      <c r="V121" s="121"/>
      <c r="W121" s="121"/>
      <c r="X121" s="121"/>
      <c r="Y121" s="121"/>
      <c r="Z121" s="121"/>
      <c r="AJ121" s="258"/>
      <c r="AK121" s="258"/>
      <c r="AL121" s="258"/>
      <c r="AM121" s="258"/>
      <c r="AN121" s="258"/>
    </row>
    <row r="122" spans="1:40" x14ac:dyDescent="0.3">
      <c r="A122" s="262"/>
      <c r="B122" s="303" t="s">
        <v>2172</v>
      </c>
      <c r="C122" s="137">
        <f>'Capacity inputs'!$I$19</f>
        <v>0</v>
      </c>
      <c r="D122" s="116">
        <f>$C122*'Financial impact (cash)'!D21</f>
        <v>0</v>
      </c>
      <c r="E122" s="116">
        <f>$C122*'Financial impact (cash)'!E21</f>
        <v>0</v>
      </c>
      <c r="F122" s="116">
        <f>$C122*'Financial impact (cash)'!F21</f>
        <v>0</v>
      </c>
      <c r="G122" s="116">
        <f>$C122*'Financial impact (cash)'!G21</f>
        <v>0</v>
      </c>
      <c r="H122" s="116">
        <f>$C122*'Financial impact (cash)'!H21</f>
        <v>0</v>
      </c>
      <c r="I122" s="116">
        <f>$C122*'Financial impact (cash)'!I21</f>
        <v>0</v>
      </c>
      <c r="J122" s="262"/>
      <c r="K122" s="263">
        <f>'Unit costs'!$L$81</f>
        <v>93</v>
      </c>
      <c r="L122" s="263">
        <f t="shared" si="53"/>
        <v>0</v>
      </c>
      <c r="M122" s="263">
        <f t="shared" si="52"/>
        <v>0</v>
      </c>
      <c r="N122" s="263">
        <f t="shared" si="52"/>
        <v>0</v>
      </c>
      <c r="O122" s="263">
        <f t="shared" si="52"/>
        <v>0</v>
      </c>
      <c r="P122" s="263">
        <f t="shared" si="52"/>
        <v>0</v>
      </c>
      <c r="Q122" s="263">
        <f t="shared" si="52"/>
        <v>0</v>
      </c>
      <c r="R122" s="121"/>
      <c r="S122" s="121"/>
      <c r="T122" s="121"/>
      <c r="U122" s="121"/>
      <c r="V122" s="121"/>
      <c r="W122" s="121"/>
      <c r="X122" s="121"/>
      <c r="Y122" s="121"/>
      <c r="Z122" s="121"/>
      <c r="AJ122" s="258"/>
      <c r="AK122" s="258"/>
      <c r="AL122" s="258"/>
      <c r="AM122" s="258"/>
      <c r="AN122" s="258"/>
    </row>
    <row r="123" spans="1:40" x14ac:dyDescent="0.3">
      <c r="A123" s="262"/>
      <c r="B123" s="252"/>
      <c r="C123" s="187"/>
      <c r="D123" s="168">
        <f t="shared" ref="D123:I123" si="54">SUM(D116:D122)</f>
        <v>0</v>
      </c>
      <c r="E123" s="168">
        <f t="shared" si="54"/>
        <v>6884.409021273018</v>
      </c>
      <c r="F123" s="168">
        <f t="shared" si="54"/>
        <v>7937.0612779279681</v>
      </c>
      <c r="G123" s="168">
        <f t="shared" si="54"/>
        <v>8674.0707633694346</v>
      </c>
      <c r="H123" s="168">
        <f t="shared" si="54"/>
        <v>8750.3229535835999</v>
      </c>
      <c r="I123" s="168">
        <f t="shared" si="54"/>
        <v>8827.2454630366865</v>
      </c>
      <c r="J123" s="262"/>
      <c r="K123" s="850"/>
      <c r="L123" s="264">
        <f t="shared" ref="L123:Q123" si="55">SUM(L116:L122)</f>
        <v>0</v>
      </c>
      <c r="M123" s="264">
        <f t="shared" si="55"/>
        <v>640.25003897839065</v>
      </c>
      <c r="N123" s="264">
        <f t="shared" si="55"/>
        <v>738.14669884730108</v>
      </c>
      <c r="O123" s="264">
        <f t="shared" si="55"/>
        <v>806.6885809933575</v>
      </c>
      <c r="P123" s="264">
        <f t="shared" si="55"/>
        <v>813.78003468327483</v>
      </c>
      <c r="Q123" s="264">
        <f t="shared" si="55"/>
        <v>820.93382806241186</v>
      </c>
      <c r="R123" s="121"/>
      <c r="S123" s="121"/>
      <c r="T123" s="121"/>
      <c r="U123" s="121"/>
      <c r="V123" s="121"/>
      <c r="W123" s="121"/>
      <c r="X123" s="121"/>
      <c r="Y123" s="121"/>
      <c r="Z123" s="121"/>
      <c r="AJ123" s="258"/>
      <c r="AK123" s="258"/>
      <c r="AL123" s="258"/>
      <c r="AM123" s="258"/>
      <c r="AN123" s="258"/>
    </row>
    <row r="124" spans="1:40" x14ac:dyDescent="0.3">
      <c r="A124" s="262"/>
      <c r="B124" s="279"/>
      <c r="C124" s="230"/>
      <c r="D124" s="257" t="s">
        <v>2214</v>
      </c>
      <c r="E124" s="168">
        <f>E123-$D$123</f>
        <v>6884.409021273018</v>
      </c>
      <c r="F124" s="168">
        <f>F123-$D$123</f>
        <v>7937.0612779279681</v>
      </c>
      <c r="G124" s="168">
        <f>G123-$D$123</f>
        <v>8674.0707633694346</v>
      </c>
      <c r="H124" s="168">
        <f>H123-$D$123</f>
        <v>8750.3229535835999</v>
      </c>
      <c r="I124" s="168">
        <f>I123-$D$123</f>
        <v>8827.2454630366865</v>
      </c>
      <c r="J124" s="262"/>
      <c r="K124" s="262"/>
      <c r="L124" s="851"/>
      <c r="M124" s="264">
        <f>M123-$L$123</f>
        <v>640.25003897839065</v>
      </c>
      <c r="N124" s="264">
        <f t="shared" ref="N124:Q124" si="56">N123-$L$123</f>
        <v>738.14669884730108</v>
      </c>
      <c r="O124" s="264">
        <f t="shared" si="56"/>
        <v>806.6885809933575</v>
      </c>
      <c r="P124" s="264">
        <f t="shared" si="56"/>
        <v>813.78003468327483</v>
      </c>
      <c r="Q124" s="264">
        <f t="shared" si="56"/>
        <v>820.93382806241186</v>
      </c>
      <c r="R124" s="121"/>
      <c r="V124" s="121"/>
    </row>
    <row r="125" spans="1:40" x14ac:dyDescent="0.3">
      <c r="A125" s="262"/>
      <c r="B125" s="294"/>
      <c r="C125" s="200"/>
      <c r="D125" s="200"/>
      <c r="E125" s="200"/>
      <c r="F125" s="200"/>
      <c r="G125" s="200"/>
      <c r="H125" s="200"/>
      <c r="I125" s="200"/>
      <c r="J125" s="262"/>
      <c r="K125" s="262"/>
      <c r="L125" s="200"/>
      <c r="M125" s="200"/>
      <c r="N125" s="200"/>
      <c r="O125" s="200"/>
      <c r="P125" s="200"/>
      <c r="Q125" s="200"/>
      <c r="R125" s="121"/>
      <c r="V125" s="121"/>
    </row>
    <row r="126" spans="1:40" x14ac:dyDescent="0.3">
      <c r="A126" s="262"/>
      <c r="B126" s="344" t="s">
        <v>2215</v>
      </c>
      <c r="C126" s="345"/>
      <c r="D126" s="345"/>
      <c r="E126" s="345"/>
      <c r="F126" s="345"/>
      <c r="G126" s="345"/>
      <c r="H126" s="345"/>
      <c r="I126" s="199"/>
      <c r="J126" s="262"/>
      <c r="K126" s="262"/>
      <c r="L126" s="200"/>
      <c r="M126" s="200"/>
      <c r="N126" s="200"/>
      <c r="O126" s="200"/>
      <c r="P126" s="200"/>
      <c r="Q126" s="200"/>
      <c r="R126" s="121"/>
      <c r="S126" s="121"/>
      <c r="T126" s="121"/>
      <c r="U126" s="121"/>
      <c r="V126" s="121"/>
      <c r="W126" s="121"/>
      <c r="X126" s="121"/>
      <c r="Y126" s="121"/>
      <c r="Z126" s="121"/>
      <c r="AJ126" s="258"/>
      <c r="AK126" s="258"/>
      <c r="AL126" s="258"/>
      <c r="AM126" s="258"/>
      <c r="AN126" s="258"/>
    </row>
    <row r="127" spans="1:40" ht="43.2" x14ac:dyDescent="0.3">
      <c r="A127" s="262"/>
      <c r="B127" s="251" t="s">
        <v>2084</v>
      </c>
      <c r="C127" s="153" t="s">
        <v>2186</v>
      </c>
      <c r="D127" s="844" t="s">
        <v>2162</v>
      </c>
      <c r="E127" s="229" t="s">
        <v>1896</v>
      </c>
      <c r="F127" s="229" t="s">
        <v>1897</v>
      </c>
      <c r="G127" s="152" t="s">
        <v>2130</v>
      </c>
      <c r="H127" s="152" t="s">
        <v>2131</v>
      </c>
      <c r="I127" s="229" t="s">
        <v>2132</v>
      </c>
      <c r="J127" s="262"/>
      <c r="K127" s="262"/>
      <c r="L127" s="200"/>
      <c r="M127" s="200"/>
      <c r="N127" s="200"/>
      <c r="O127" s="200"/>
      <c r="P127" s="200"/>
      <c r="Q127" s="200"/>
      <c r="R127" s="121"/>
      <c r="S127" s="121"/>
      <c r="T127" s="121"/>
      <c r="U127" s="121"/>
      <c r="V127" s="121"/>
      <c r="W127" s="121"/>
      <c r="X127" s="121"/>
      <c r="Y127" s="121"/>
      <c r="Z127" s="121"/>
      <c r="AJ127" s="258"/>
      <c r="AK127" s="258"/>
      <c r="AL127" s="258"/>
      <c r="AM127" s="258"/>
      <c r="AN127" s="258"/>
    </row>
    <row r="128" spans="1:40" x14ac:dyDescent="0.3">
      <c r="A128" s="262"/>
      <c r="B128" s="303" t="s">
        <v>2192</v>
      </c>
      <c r="C128" s="137">
        <f>'Capacity inputs'!$G$20</f>
        <v>9</v>
      </c>
      <c r="D128" s="116">
        <f>'Financial impact (cash)'!D13*$C128</f>
        <v>0</v>
      </c>
      <c r="E128" s="116">
        <f>'Financial impact (cash)'!E13*$C128</f>
        <v>30979.84059572858</v>
      </c>
      <c r="F128" s="116">
        <f>'Financial impact (cash)'!F13*$C128</f>
        <v>35716.775750675857</v>
      </c>
      <c r="G128" s="116">
        <f>'Financial impact (cash)'!G13*$C128</f>
        <v>39033.318435162459</v>
      </c>
      <c r="H128" s="116">
        <f>'Financial impact (cash)'!H13*$C128</f>
        <v>39376.453291126199</v>
      </c>
      <c r="I128" s="116">
        <f>'Financial impact (cash)'!I13*$C128</f>
        <v>39722.604583665088</v>
      </c>
      <c r="J128" s="262"/>
      <c r="K128" s="262"/>
      <c r="L128" s="200"/>
      <c r="M128" s="200"/>
      <c r="N128" s="200"/>
      <c r="O128" s="200"/>
      <c r="P128" s="200"/>
      <c r="Q128" s="200"/>
      <c r="R128" s="121"/>
      <c r="S128" s="121"/>
      <c r="T128" s="121"/>
      <c r="U128" s="121"/>
      <c r="V128" s="121"/>
      <c r="W128" s="121"/>
      <c r="X128" s="121"/>
      <c r="Y128" s="121"/>
      <c r="Z128" s="121"/>
      <c r="AJ128" s="258"/>
      <c r="AK128" s="258"/>
      <c r="AL128" s="258"/>
      <c r="AM128" s="258"/>
      <c r="AN128" s="258"/>
    </row>
    <row r="129" spans="1:40" x14ac:dyDescent="0.3">
      <c r="A129" s="262"/>
      <c r="B129" s="303" t="s">
        <v>2167</v>
      </c>
      <c r="C129" s="137">
        <f>'Capacity inputs'!$H$20</f>
        <v>0</v>
      </c>
      <c r="D129" s="116">
        <f>'Financial impact (cash)'!D16*$C129</f>
        <v>0</v>
      </c>
      <c r="E129" s="116">
        <f>'Financial impact (cash)'!E16*$C129</f>
        <v>0</v>
      </c>
      <c r="F129" s="116">
        <f>'Financial impact (cash)'!F16*$C129</f>
        <v>0</v>
      </c>
      <c r="G129" s="116">
        <f>'Financial impact (cash)'!G16*$C129</f>
        <v>0</v>
      </c>
      <c r="H129" s="116">
        <f>'Financial impact (cash)'!H16*$C129</f>
        <v>0</v>
      </c>
      <c r="I129" s="116">
        <f>'Financial impact (cash)'!I16*$C129</f>
        <v>0</v>
      </c>
      <c r="J129" s="262"/>
      <c r="K129" s="262"/>
      <c r="L129" s="200"/>
      <c r="M129" s="200"/>
      <c r="N129" s="200"/>
      <c r="O129" s="200"/>
      <c r="P129" s="200"/>
      <c r="Q129" s="200"/>
      <c r="R129" s="121"/>
      <c r="S129" s="121"/>
      <c r="T129" s="121"/>
      <c r="U129" s="121"/>
      <c r="V129" s="121"/>
      <c r="W129" s="121"/>
      <c r="X129" s="121"/>
      <c r="Y129" s="121"/>
      <c r="Z129" s="121"/>
      <c r="AJ129" s="258"/>
      <c r="AK129" s="258"/>
      <c r="AL129" s="258"/>
      <c r="AM129" s="258"/>
      <c r="AN129" s="258"/>
    </row>
    <row r="130" spans="1:40" x14ac:dyDescent="0.3">
      <c r="A130" s="262"/>
      <c r="B130" s="303" t="s">
        <v>2168</v>
      </c>
      <c r="C130" s="137">
        <f>'Capacity inputs'!$H$20</f>
        <v>0</v>
      </c>
      <c r="D130" s="116">
        <f>'Financial impact (cash)'!D17*$C130</f>
        <v>0</v>
      </c>
      <c r="E130" s="116">
        <f>'Financial impact (cash)'!E17*$C130</f>
        <v>0</v>
      </c>
      <c r="F130" s="116">
        <f>'Financial impact (cash)'!F17*$C130</f>
        <v>0</v>
      </c>
      <c r="G130" s="116">
        <f>'Financial impact (cash)'!G17*$C130</f>
        <v>0</v>
      </c>
      <c r="H130" s="116">
        <f>'Financial impact (cash)'!H17*$C130</f>
        <v>0</v>
      </c>
      <c r="I130" s="116">
        <f>'Financial impact (cash)'!I17*$C130</f>
        <v>0</v>
      </c>
      <c r="J130" s="262"/>
      <c r="K130" s="262"/>
      <c r="L130" s="200"/>
      <c r="M130" s="200"/>
      <c r="N130" s="200"/>
      <c r="O130" s="200"/>
      <c r="P130" s="200"/>
      <c r="Q130" s="200"/>
      <c r="R130" s="121"/>
      <c r="S130" s="121"/>
      <c r="T130" s="121"/>
      <c r="U130" s="121"/>
      <c r="V130" s="121"/>
      <c r="W130" s="121"/>
      <c r="X130" s="121"/>
      <c r="Y130" s="121"/>
      <c r="Z130" s="121"/>
      <c r="AJ130" s="258"/>
      <c r="AK130" s="258"/>
      <c r="AL130" s="258"/>
      <c r="AM130" s="258"/>
      <c r="AN130" s="258"/>
    </row>
    <row r="131" spans="1:40" x14ac:dyDescent="0.3">
      <c r="A131" s="262"/>
      <c r="B131" s="303" t="s">
        <v>2169</v>
      </c>
      <c r="C131" s="137">
        <f>'Capacity inputs'!$H$20</f>
        <v>0</v>
      </c>
      <c r="D131" s="116">
        <f>'Financial impact (cash)'!D18*$C131</f>
        <v>0</v>
      </c>
      <c r="E131" s="116">
        <f>'Financial impact (cash)'!E18*$C131</f>
        <v>0</v>
      </c>
      <c r="F131" s="116">
        <f>'Financial impact (cash)'!F18*$C131</f>
        <v>0</v>
      </c>
      <c r="G131" s="116">
        <f>'Financial impact (cash)'!G18*$C131</f>
        <v>0</v>
      </c>
      <c r="H131" s="116">
        <f>'Financial impact (cash)'!H18*$C131</f>
        <v>0</v>
      </c>
      <c r="I131" s="116">
        <f>'Financial impact (cash)'!I18*$C131</f>
        <v>0</v>
      </c>
      <c r="J131" s="262"/>
      <c r="K131" s="262"/>
      <c r="L131" s="200"/>
      <c r="M131" s="200"/>
      <c r="N131" s="200"/>
      <c r="O131" s="200"/>
      <c r="P131" s="200"/>
      <c r="Q131" s="200"/>
      <c r="R131" s="121"/>
      <c r="S131" s="121"/>
      <c r="T131" s="121"/>
      <c r="U131" s="121"/>
      <c r="V131" s="121"/>
      <c r="W131" s="121"/>
      <c r="X131" s="121"/>
      <c r="Y131" s="121"/>
      <c r="Z131" s="121"/>
      <c r="AJ131" s="258"/>
      <c r="AK131" s="258"/>
      <c r="AL131" s="258"/>
      <c r="AM131" s="258"/>
      <c r="AN131" s="258"/>
    </row>
    <row r="132" spans="1:40" x14ac:dyDescent="0.3">
      <c r="A132" s="262"/>
      <c r="B132" s="303" t="s">
        <v>2170</v>
      </c>
      <c r="C132" s="137">
        <f>'Capacity inputs'!$H$20</f>
        <v>0</v>
      </c>
      <c r="D132" s="116">
        <f>'Financial impact (cash)'!D19*$C132</f>
        <v>0</v>
      </c>
      <c r="E132" s="116">
        <f>'Financial impact (cash)'!E19*$C132</f>
        <v>0</v>
      </c>
      <c r="F132" s="116">
        <f>'Financial impact (cash)'!F19*$C132</f>
        <v>0</v>
      </c>
      <c r="G132" s="116">
        <f>'Financial impact (cash)'!G19*$C132</f>
        <v>0</v>
      </c>
      <c r="H132" s="116">
        <f>'Financial impact (cash)'!H19*$C132</f>
        <v>0</v>
      </c>
      <c r="I132" s="116">
        <f>'Financial impact (cash)'!I19*$C132</f>
        <v>0</v>
      </c>
      <c r="J132" s="262"/>
      <c r="K132" s="262"/>
      <c r="L132" s="200"/>
      <c r="M132" s="200"/>
      <c r="N132" s="200"/>
      <c r="O132" s="200"/>
      <c r="P132" s="200"/>
      <c r="Q132" s="200"/>
      <c r="R132" s="121"/>
      <c r="S132" s="121"/>
      <c r="T132" s="121"/>
      <c r="U132" s="121"/>
      <c r="V132" s="121"/>
      <c r="W132" s="121"/>
      <c r="X132" s="121"/>
      <c r="Y132" s="121"/>
      <c r="Z132" s="121"/>
      <c r="AJ132" s="258"/>
      <c r="AK132" s="258"/>
      <c r="AL132" s="258"/>
      <c r="AM132" s="258"/>
      <c r="AN132" s="258"/>
    </row>
    <row r="133" spans="1:40" x14ac:dyDescent="0.3">
      <c r="A133" s="262"/>
      <c r="B133" s="303" t="s">
        <v>2171</v>
      </c>
      <c r="C133" s="137">
        <f>'Capacity inputs'!$H$20</f>
        <v>0</v>
      </c>
      <c r="D133" s="116">
        <f>'Financial impact (cash)'!D20*$C133</f>
        <v>0</v>
      </c>
      <c r="E133" s="116">
        <f>'Financial impact (cash)'!E20*$C133</f>
        <v>0</v>
      </c>
      <c r="F133" s="116">
        <f>'Financial impact (cash)'!F20*$C133</f>
        <v>0</v>
      </c>
      <c r="G133" s="116">
        <f>'Financial impact (cash)'!G20*$C133</f>
        <v>0</v>
      </c>
      <c r="H133" s="116">
        <f>'Financial impact (cash)'!H20*$C133</f>
        <v>0</v>
      </c>
      <c r="I133" s="116">
        <f>'Financial impact (cash)'!I20*$C133</f>
        <v>0</v>
      </c>
      <c r="J133" s="262"/>
      <c r="K133" s="262"/>
      <c r="L133" s="200"/>
      <c r="M133" s="200"/>
      <c r="N133" s="200"/>
      <c r="O133" s="200"/>
      <c r="P133" s="200"/>
      <c r="Q133" s="200"/>
      <c r="R133" s="121"/>
      <c r="S133" s="121"/>
      <c r="T133" s="121"/>
      <c r="U133" s="121"/>
      <c r="V133" s="121"/>
      <c r="W133" s="121"/>
      <c r="X133" s="121"/>
      <c r="Y133" s="121"/>
      <c r="Z133" s="121"/>
      <c r="AJ133" s="258"/>
      <c r="AK133" s="258"/>
      <c r="AL133" s="258"/>
      <c r="AM133" s="258"/>
      <c r="AN133" s="258"/>
    </row>
    <row r="134" spans="1:40" x14ac:dyDescent="0.3">
      <c r="A134" s="262"/>
      <c r="B134" s="303" t="s">
        <v>2172</v>
      </c>
      <c r="C134" s="137">
        <f>'Capacity inputs'!$I$20</f>
        <v>7</v>
      </c>
      <c r="D134" s="116">
        <f>'Financial impact (cash)'!D21*$C134</f>
        <v>30141.17422253151</v>
      </c>
      <c r="E134" s="116">
        <f>'Financial impact (cash)'!E21*$C134</f>
        <v>28685.037588637577</v>
      </c>
      <c r="F134" s="116">
        <f>'Financial impact (cash)'!F21*$C134</f>
        <v>26043.482318201146</v>
      </c>
      <c r="G134" s="116">
        <f>'Financial impact (cash)'!G21*$C134</f>
        <v>24520.930811832823</v>
      </c>
      <c r="H134" s="116">
        <f>'Financial impact (cash)'!H21*$C134</f>
        <v>24736.489888015174</v>
      </c>
      <c r="I134" s="116">
        <f>'Financial impact (cash)'!I21*$C134</f>
        <v>24953.943905122938</v>
      </c>
      <c r="J134" s="262"/>
      <c r="K134" s="262"/>
      <c r="L134" s="200"/>
      <c r="M134" s="200"/>
      <c r="N134" s="200"/>
      <c r="O134" s="200"/>
      <c r="P134" s="200"/>
      <c r="Q134" s="200"/>
      <c r="R134" s="121"/>
      <c r="S134" s="121"/>
      <c r="T134" s="121"/>
      <c r="U134" s="121"/>
      <c r="V134" s="121"/>
      <c r="W134" s="121"/>
      <c r="X134" s="121"/>
      <c r="Y134" s="121"/>
      <c r="Z134" s="121"/>
      <c r="AJ134" s="258"/>
      <c r="AK134" s="258"/>
      <c r="AL134" s="258"/>
      <c r="AM134" s="258"/>
      <c r="AN134" s="258"/>
    </row>
    <row r="135" spans="1:40" x14ac:dyDescent="0.3">
      <c r="A135" s="262"/>
      <c r="B135" s="252"/>
      <c r="C135" s="187"/>
      <c r="D135" s="168">
        <f t="shared" ref="D135:I135" si="57">SUM(D128:D134)</f>
        <v>30141.17422253151</v>
      </c>
      <c r="E135" s="168">
        <f t="shared" si="57"/>
        <v>59664.878184366156</v>
      </c>
      <c r="F135" s="168">
        <f t="shared" si="57"/>
        <v>61760.258068877003</v>
      </c>
      <c r="G135" s="168">
        <f t="shared" si="57"/>
        <v>63554.249246995285</v>
      </c>
      <c r="H135" s="168">
        <f t="shared" si="57"/>
        <v>64112.943179141374</v>
      </c>
      <c r="I135" s="168">
        <f t="shared" si="57"/>
        <v>64676.54848878803</v>
      </c>
      <c r="J135" s="262"/>
      <c r="K135" s="262"/>
      <c r="L135" s="200"/>
      <c r="M135" s="200"/>
      <c r="N135" s="200"/>
      <c r="O135" s="200"/>
      <c r="P135" s="200"/>
      <c r="Q135" s="200"/>
      <c r="R135" s="121"/>
      <c r="S135" s="121"/>
      <c r="T135" s="121"/>
      <c r="U135" s="121"/>
      <c r="V135" s="121"/>
      <c r="W135" s="121"/>
      <c r="X135" s="121"/>
      <c r="Y135" s="121"/>
      <c r="Z135" s="121"/>
      <c r="AJ135" s="258"/>
      <c r="AK135" s="258"/>
      <c r="AL135" s="258"/>
      <c r="AM135" s="258"/>
      <c r="AN135" s="258"/>
    </row>
    <row r="136" spans="1:40" x14ac:dyDescent="0.3">
      <c r="A136" s="262"/>
      <c r="B136" s="279"/>
      <c r="C136" s="230"/>
      <c r="D136" s="257" t="s">
        <v>2216</v>
      </c>
      <c r="E136" s="168">
        <f>E135-$D$135</f>
        <v>29523.703961834646</v>
      </c>
      <c r="F136" s="168">
        <f>F135-$D$135</f>
        <v>31619.083846345493</v>
      </c>
      <c r="G136" s="168">
        <f>G135-$D$135</f>
        <v>33413.075024463775</v>
      </c>
      <c r="H136" s="168">
        <f>H135-$D$135</f>
        <v>33971.768956609863</v>
      </c>
      <c r="I136" s="168">
        <f>I135-$D$135</f>
        <v>34535.37426625652</v>
      </c>
      <c r="J136" s="262"/>
      <c r="K136" s="262"/>
      <c r="L136" s="200"/>
      <c r="M136" s="200"/>
      <c r="N136" s="200"/>
      <c r="O136" s="200"/>
      <c r="P136" s="200"/>
      <c r="Q136" s="200"/>
      <c r="R136" s="121"/>
      <c r="V136" s="121"/>
    </row>
    <row r="137" spans="1:40" x14ac:dyDescent="0.3">
      <c r="A137" s="262"/>
      <c r="B137" s="294"/>
      <c r="C137" s="200"/>
      <c r="D137" s="200"/>
      <c r="E137" s="200"/>
      <c r="F137" s="200"/>
      <c r="G137" s="200"/>
      <c r="H137" s="200"/>
      <c r="I137" s="200"/>
      <c r="J137" s="200"/>
      <c r="K137" s="200"/>
      <c r="L137" s="200"/>
      <c r="M137" s="200"/>
      <c r="N137" s="200"/>
      <c r="O137" s="200"/>
      <c r="P137" s="200"/>
      <c r="Q137" s="200"/>
      <c r="R137" s="121"/>
      <c r="V137" s="121"/>
    </row>
    <row r="138" spans="1:40" x14ac:dyDescent="0.3">
      <c r="A138" s="262"/>
      <c r="B138" s="344" t="s">
        <v>2217</v>
      </c>
      <c r="C138" s="345"/>
      <c r="D138" s="345"/>
      <c r="E138" s="345"/>
      <c r="F138" s="345"/>
      <c r="G138" s="345"/>
      <c r="H138" s="345"/>
      <c r="I138" s="199"/>
      <c r="J138" s="200"/>
      <c r="K138" s="200"/>
      <c r="L138" s="200"/>
      <c r="M138" s="200"/>
      <c r="N138" s="200"/>
      <c r="O138" s="200"/>
      <c r="P138" s="200"/>
      <c r="Q138" s="200"/>
      <c r="R138" s="121"/>
      <c r="S138" s="121"/>
      <c r="T138" s="121"/>
      <c r="U138" s="121"/>
      <c r="V138" s="121"/>
      <c r="W138" s="121"/>
      <c r="X138" s="121"/>
      <c r="Y138" s="121"/>
      <c r="Z138" s="121"/>
      <c r="AJ138" s="258"/>
      <c r="AK138" s="258"/>
      <c r="AL138" s="258"/>
      <c r="AM138" s="258"/>
      <c r="AN138" s="258"/>
    </row>
    <row r="139" spans="1:40" ht="43.2" x14ac:dyDescent="0.3">
      <c r="A139" s="262"/>
      <c r="B139" s="251" t="s">
        <v>2084</v>
      </c>
      <c r="C139" s="153" t="s">
        <v>2186</v>
      </c>
      <c r="D139" s="844" t="s">
        <v>2162</v>
      </c>
      <c r="E139" s="229" t="s">
        <v>1896</v>
      </c>
      <c r="F139" s="229" t="s">
        <v>1897</v>
      </c>
      <c r="G139" s="152" t="s">
        <v>2130</v>
      </c>
      <c r="H139" s="152" t="s">
        <v>2131</v>
      </c>
      <c r="I139" s="229" t="s">
        <v>2132</v>
      </c>
      <c r="J139" s="262"/>
      <c r="K139" s="262"/>
      <c r="L139" s="200"/>
      <c r="M139" s="200"/>
      <c r="N139" s="200"/>
      <c r="O139" s="200"/>
      <c r="P139" s="200"/>
      <c r="Q139" s="200"/>
      <c r="R139" s="121"/>
      <c r="S139" s="121"/>
      <c r="T139" s="121"/>
      <c r="U139" s="121"/>
      <c r="V139" s="121"/>
      <c r="W139" s="121"/>
      <c r="X139" s="121"/>
      <c r="Y139" s="121"/>
      <c r="Z139" s="121"/>
      <c r="AJ139" s="258"/>
      <c r="AK139" s="258"/>
      <c r="AL139" s="258"/>
      <c r="AM139" s="258"/>
      <c r="AN139" s="258"/>
    </row>
    <row r="140" spans="1:40" x14ac:dyDescent="0.3">
      <c r="A140" s="262"/>
      <c r="B140" s="303" t="s">
        <v>2192</v>
      </c>
      <c r="C140" s="137">
        <f>'Capacity inputs'!$G$21</f>
        <v>9</v>
      </c>
      <c r="D140" s="116">
        <f>'Financial impact (cash)'!D13*'Capacity (national prices)'!$C140</f>
        <v>0</v>
      </c>
      <c r="E140" s="116">
        <f>'Financial impact (cash)'!E13*'Capacity (national prices)'!$C140</f>
        <v>30979.84059572858</v>
      </c>
      <c r="F140" s="116">
        <f>'Financial impact (cash)'!F13*'Capacity (national prices)'!$C140</f>
        <v>35716.775750675857</v>
      </c>
      <c r="G140" s="116">
        <f>'Financial impact (cash)'!G13*'Capacity (national prices)'!$C140</f>
        <v>39033.318435162459</v>
      </c>
      <c r="H140" s="116">
        <f>'Financial impact (cash)'!H13*'Capacity (national prices)'!$C140</f>
        <v>39376.453291126199</v>
      </c>
      <c r="I140" s="116">
        <f>'Financial impact (cash)'!I13*'Capacity (national prices)'!$C140</f>
        <v>39722.604583665088</v>
      </c>
      <c r="J140" s="262"/>
      <c r="K140" s="262"/>
      <c r="L140" s="200"/>
      <c r="M140" s="200"/>
      <c r="N140" s="200"/>
      <c r="O140" s="200"/>
      <c r="P140" s="200"/>
      <c r="Q140" s="200"/>
      <c r="R140" s="121"/>
      <c r="S140" s="121"/>
      <c r="T140" s="121"/>
      <c r="U140" s="121"/>
      <c r="V140" s="121"/>
      <c r="W140" s="121"/>
      <c r="X140" s="121"/>
      <c r="Y140" s="121"/>
      <c r="Z140" s="121"/>
      <c r="AJ140" s="258"/>
      <c r="AK140" s="258"/>
      <c r="AL140" s="258"/>
      <c r="AM140" s="258"/>
      <c r="AN140" s="258"/>
    </row>
    <row r="141" spans="1:40" x14ac:dyDescent="0.3">
      <c r="A141" s="262"/>
      <c r="B141" s="303" t="s">
        <v>2167</v>
      </c>
      <c r="C141" s="137">
        <f>'Capacity inputs'!$H$21</f>
        <v>0</v>
      </c>
      <c r="D141" s="116">
        <f>'Financial impact (cash)'!D16*'Capacity (national prices)'!$C141</f>
        <v>0</v>
      </c>
      <c r="E141" s="116">
        <f>'Financial impact (cash)'!E16*'Capacity (national prices)'!$C141</f>
        <v>0</v>
      </c>
      <c r="F141" s="116">
        <f>'Financial impact (cash)'!F16*'Capacity (national prices)'!$C141</f>
        <v>0</v>
      </c>
      <c r="G141" s="116">
        <f>'Financial impact (cash)'!G16*'Capacity (national prices)'!$C141</f>
        <v>0</v>
      </c>
      <c r="H141" s="116">
        <f>'Financial impact (cash)'!H16*'Capacity (national prices)'!$C141</f>
        <v>0</v>
      </c>
      <c r="I141" s="116">
        <f>'Financial impact (cash)'!I16*'Capacity (national prices)'!$C141</f>
        <v>0</v>
      </c>
      <c r="J141" s="262"/>
      <c r="K141" s="262"/>
      <c r="L141" s="200"/>
      <c r="M141" s="200"/>
      <c r="N141" s="200"/>
      <c r="O141" s="200"/>
      <c r="P141" s="200"/>
      <c r="Q141" s="200"/>
      <c r="R141" s="121"/>
      <c r="S141" s="121"/>
      <c r="T141" s="121"/>
      <c r="U141" s="121"/>
      <c r="V141" s="121"/>
      <c r="W141" s="121"/>
      <c r="X141" s="121"/>
      <c r="Y141" s="121"/>
      <c r="Z141" s="121"/>
      <c r="AJ141" s="258"/>
      <c r="AK141" s="258"/>
      <c r="AL141" s="258"/>
      <c r="AM141" s="258"/>
      <c r="AN141" s="258"/>
    </row>
    <row r="142" spans="1:40" x14ac:dyDescent="0.3">
      <c r="A142" s="262"/>
      <c r="B142" s="303" t="s">
        <v>2168</v>
      </c>
      <c r="C142" s="137">
        <f>'Capacity inputs'!$H$21</f>
        <v>0</v>
      </c>
      <c r="D142" s="116">
        <f>'Financial impact (cash)'!D17*'Capacity (national prices)'!$C142</f>
        <v>0</v>
      </c>
      <c r="E142" s="116">
        <f>'Financial impact (cash)'!E17*'Capacity (national prices)'!$C142</f>
        <v>0</v>
      </c>
      <c r="F142" s="116">
        <f>'Financial impact (cash)'!F17*'Capacity (national prices)'!$C142</f>
        <v>0</v>
      </c>
      <c r="G142" s="116">
        <f>'Financial impact (cash)'!G17*'Capacity (national prices)'!$C142</f>
        <v>0</v>
      </c>
      <c r="H142" s="116">
        <f>'Financial impact (cash)'!H17*'Capacity (national prices)'!$C142</f>
        <v>0</v>
      </c>
      <c r="I142" s="116">
        <f>'Financial impact (cash)'!I17*'Capacity (national prices)'!$C142</f>
        <v>0</v>
      </c>
      <c r="J142" s="262"/>
      <c r="K142" s="262"/>
      <c r="L142" s="200"/>
      <c r="M142" s="200"/>
      <c r="N142" s="200"/>
      <c r="O142" s="200"/>
      <c r="P142" s="200"/>
      <c r="Q142" s="200"/>
      <c r="R142" s="121"/>
      <c r="S142" s="121"/>
      <c r="T142" s="121"/>
      <c r="U142" s="121"/>
      <c r="V142" s="121"/>
      <c r="W142" s="121"/>
      <c r="X142" s="121"/>
      <c r="Y142" s="121"/>
      <c r="Z142" s="121"/>
      <c r="AJ142" s="258"/>
      <c r="AK142" s="258"/>
      <c r="AL142" s="258"/>
      <c r="AM142" s="258"/>
      <c r="AN142" s="258"/>
    </row>
    <row r="143" spans="1:40" x14ac:dyDescent="0.3">
      <c r="A143" s="262"/>
      <c r="B143" s="303" t="s">
        <v>2169</v>
      </c>
      <c r="C143" s="137">
        <f>'Capacity inputs'!$H$21</f>
        <v>0</v>
      </c>
      <c r="D143" s="116">
        <f>'Financial impact (cash)'!D18*'Capacity (national prices)'!$C143</f>
        <v>0</v>
      </c>
      <c r="E143" s="116">
        <f>'Financial impact (cash)'!E18*'Capacity (national prices)'!$C143</f>
        <v>0</v>
      </c>
      <c r="F143" s="116">
        <f>'Financial impact (cash)'!F18*'Capacity (national prices)'!$C143</f>
        <v>0</v>
      </c>
      <c r="G143" s="116">
        <f>'Financial impact (cash)'!G18*'Capacity (national prices)'!$C143</f>
        <v>0</v>
      </c>
      <c r="H143" s="116">
        <f>'Financial impact (cash)'!H18*'Capacity (national prices)'!$C143</f>
        <v>0</v>
      </c>
      <c r="I143" s="116">
        <f>'Financial impact (cash)'!I18*'Capacity (national prices)'!$C143</f>
        <v>0</v>
      </c>
      <c r="J143" s="262"/>
      <c r="K143" s="262"/>
      <c r="L143" s="200"/>
      <c r="M143" s="200"/>
      <c r="N143" s="200"/>
      <c r="O143" s="200"/>
      <c r="P143" s="200"/>
      <c r="Q143" s="200"/>
      <c r="R143" s="121"/>
      <c r="S143" s="121"/>
      <c r="T143" s="121"/>
      <c r="U143" s="121"/>
      <c r="V143" s="121"/>
      <c r="W143" s="121"/>
      <c r="X143" s="121"/>
      <c r="Y143" s="121"/>
      <c r="Z143" s="121"/>
      <c r="AJ143" s="258"/>
      <c r="AK143" s="258"/>
      <c r="AL143" s="258"/>
      <c r="AM143" s="258"/>
      <c r="AN143" s="258"/>
    </row>
    <row r="144" spans="1:40" x14ac:dyDescent="0.3">
      <c r="A144" s="262"/>
      <c r="B144" s="303" t="s">
        <v>2170</v>
      </c>
      <c r="C144" s="137">
        <f>'Capacity inputs'!$H$21</f>
        <v>0</v>
      </c>
      <c r="D144" s="116">
        <f>'Financial impact (cash)'!D19*'Capacity (national prices)'!$C144</f>
        <v>0</v>
      </c>
      <c r="E144" s="116">
        <f>'Financial impact (cash)'!E19*'Capacity (national prices)'!$C144</f>
        <v>0</v>
      </c>
      <c r="F144" s="116">
        <f>'Financial impact (cash)'!F19*'Capacity (national prices)'!$C144</f>
        <v>0</v>
      </c>
      <c r="G144" s="116">
        <f>'Financial impact (cash)'!G19*'Capacity (national prices)'!$C144</f>
        <v>0</v>
      </c>
      <c r="H144" s="116">
        <f>'Financial impact (cash)'!H19*'Capacity (national prices)'!$C144</f>
        <v>0</v>
      </c>
      <c r="I144" s="116">
        <f>'Financial impact (cash)'!I19*'Capacity (national prices)'!$C144</f>
        <v>0</v>
      </c>
      <c r="J144" s="262"/>
      <c r="K144" s="262"/>
      <c r="L144" s="200"/>
      <c r="M144" s="200"/>
      <c r="N144" s="200"/>
      <c r="O144" s="200"/>
      <c r="P144" s="200"/>
      <c r="Q144" s="200"/>
      <c r="R144" s="121"/>
      <c r="S144" s="121"/>
      <c r="T144" s="121"/>
      <c r="U144" s="121"/>
      <c r="V144" s="121"/>
      <c r="W144" s="121"/>
      <c r="X144" s="121"/>
      <c r="Y144" s="121"/>
      <c r="Z144" s="121"/>
      <c r="AJ144" s="258"/>
      <c r="AK144" s="258"/>
      <c r="AL144" s="258"/>
      <c r="AM144" s="258"/>
      <c r="AN144" s="258"/>
    </row>
    <row r="145" spans="1:40" x14ac:dyDescent="0.3">
      <c r="A145" s="262"/>
      <c r="B145" s="303" t="s">
        <v>2171</v>
      </c>
      <c r="C145" s="137">
        <f>'Capacity inputs'!$H$21</f>
        <v>0</v>
      </c>
      <c r="D145" s="116">
        <f>'Financial impact (cash)'!D20*'Capacity (national prices)'!$C145</f>
        <v>0</v>
      </c>
      <c r="E145" s="116">
        <f>'Financial impact (cash)'!E20*'Capacity (national prices)'!$C145</f>
        <v>0</v>
      </c>
      <c r="F145" s="116">
        <f>'Financial impact (cash)'!F20*'Capacity (national prices)'!$C145</f>
        <v>0</v>
      </c>
      <c r="G145" s="116">
        <f>'Financial impact (cash)'!G20*'Capacity (national prices)'!$C145</f>
        <v>0</v>
      </c>
      <c r="H145" s="116">
        <f>'Financial impact (cash)'!H20*'Capacity (national prices)'!$C145</f>
        <v>0</v>
      </c>
      <c r="I145" s="116">
        <f>'Financial impact (cash)'!I20*'Capacity (national prices)'!$C145</f>
        <v>0</v>
      </c>
      <c r="J145" s="262"/>
      <c r="K145" s="262"/>
      <c r="L145" s="200"/>
      <c r="M145" s="200"/>
      <c r="N145" s="200"/>
      <c r="O145" s="200"/>
      <c r="P145" s="200"/>
      <c r="Q145" s="200"/>
      <c r="R145" s="121"/>
      <c r="S145" s="121"/>
      <c r="T145" s="121"/>
      <c r="U145" s="121"/>
      <c r="V145" s="121"/>
      <c r="W145" s="121"/>
      <c r="X145" s="121"/>
      <c r="Y145" s="121"/>
      <c r="Z145" s="121"/>
      <c r="AJ145" s="258"/>
      <c r="AK145" s="258"/>
      <c r="AL145" s="258"/>
      <c r="AM145" s="258"/>
      <c r="AN145" s="258"/>
    </row>
    <row r="146" spans="1:40" x14ac:dyDescent="0.3">
      <c r="A146" s="262"/>
      <c r="B146" s="303" t="s">
        <v>2172</v>
      </c>
      <c r="C146" s="137">
        <f>'Capacity inputs'!$I$21</f>
        <v>7</v>
      </c>
      <c r="D146" s="116">
        <f>'Financial impact (cash)'!D21*'Capacity (national prices)'!$C146</f>
        <v>30141.17422253151</v>
      </c>
      <c r="E146" s="116">
        <f>'Financial impact (cash)'!E21*'Capacity (national prices)'!$C146</f>
        <v>28685.037588637577</v>
      </c>
      <c r="F146" s="116">
        <f>'Financial impact (cash)'!F21*'Capacity (national prices)'!$C146</f>
        <v>26043.482318201146</v>
      </c>
      <c r="G146" s="116">
        <f>'Financial impact (cash)'!G21*'Capacity (national prices)'!$C146</f>
        <v>24520.930811832823</v>
      </c>
      <c r="H146" s="116">
        <f>'Financial impact (cash)'!H21*'Capacity (national prices)'!$C146</f>
        <v>24736.489888015174</v>
      </c>
      <c r="I146" s="116">
        <f>'Financial impact (cash)'!I21*'Capacity (national prices)'!$C146</f>
        <v>24953.943905122938</v>
      </c>
      <c r="J146" s="262"/>
      <c r="K146" s="262"/>
      <c r="L146" s="200"/>
      <c r="M146" s="200"/>
      <c r="N146" s="200"/>
      <c r="O146" s="200"/>
      <c r="P146" s="200"/>
      <c r="Q146" s="200"/>
      <c r="R146" s="121"/>
      <c r="S146" s="121"/>
      <c r="T146" s="121"/>
      <c r="U146" s="121"/>
      <c r="V146" s="121"/>
      <c r="W146" s="121"/>
      <c r="X146" s="121"/>
      <c r="Y146" s="121"/>
      <c r="Z146" s="121"/>
      <c r="AJ146" s="258"/>
      <c r="AK146" s="258"/>
      <c r="AL146" s="258"/>
      <c r="AM146" s="258"/>
      <c r="AN146" s="258"/>
    </row>
    <row r="147" spans="1:40" x14ac:dyDescent="0.3">
      <c r="A147" s="262"/>
      <c r="B147" s="252"/>
      <c r="C147" s="187"/>
      <c r="D147" s="168">
        <f t="shared" ref="D147:I147" si="58">SUM(D140:D146)</f>
        <v>30141.17422253151</v>
      </c>
      <c r="E147" s="168">
        <f t="shared" si="58"/>
        <v>59664.878184366156</v>
      </c>
      <c r="F147" s="168">
        <f t="shared" si="58"/>
        <v>61760.258068877003</v>
      </c>
      <c r="G147" s="168">
        <f t="shared" si="58"/>
        <v>63554.249246995285</v>
      </c>
      <c r="H147" s="168">
        <f t="shared" si="58"/>
        <v>64112.943179141374</v>
      </c>
      <c r="I147" s="168">
        <f t="shared" si="58"/>
        <v>64676.54848878803</v>
      </c>
      <c r="J147" s="262"/>
      <c r="K147" s="262"/>
      <c r="L147" s="200"/>
      <c r="M147" s="200"/>
      <c r="N147" s="200"/>
      <c r="O147" s="200"/>
      <c r="P147" s="200"/>
      <c r="Q147" s="200"/>
      <c r="R147" s="121"/>
      <c r="S147" s="121"/>
      <c r="T147" s="121"/>
      <c r="U147" s="121"/>
      <c r="V147" s="121"/>
      <c r="W147" s="121"/>
      <c r="X147" s="121"/>
      <c r="Y147" s="121"/>
      <c r="Z147" s="121"/>
      <c r="AJ147" s="258"/>
      <c r="AK147" s="258"/>
      <c r="AL147" s="258"/>
      <c r="AM147" s="258"/>
      <c r="AN147" s="258"/>
    </row>
    <row r="148" spans="1:40" x14ac:dyDescent="0.3">
      <c r="A148" s="262"/>
      <c r="B148" s="279"/>
      <c r="C148" s="230"/>
      <c r="D148" s="257" t="s">
        <v>2216</v>
      </c>
      <c r="E148" s="168">
        <f>E147-$D$147</f>
        <v>29523.703961834646</v>
      </c>
      <c r="F148" s="168">
        <f>F147-$D$147</f>
        <v>31619.083846345493</v>
      </c>
      <c r="G148" s="168">
        <f>G147-$D$147</f>
        <v>33413.075024463775</v>
      </c>
      <c r="H148" s="168">
        <f>H147-$D$147</f>
        <v>33971.768956609863</v>
      </c>
      <c r="I148" s="168">
        <f>I147-$D$147</f>
        <v>34535.37426625652</v>
      </c>
      <c r="J148" s="262"/>
      <c r="K148" s="262"/>
      <c r="L148" s="200"/>
      <c r="M148" s="200"/>
      <c r="N148" s="200"/>
      <c r="O148" s="200"/>
      <c r="P148" s="200"/>
      <c r="Q148" s="200"/>
      <c r="R148" s="121"/>
      <c r="V148" s="121"/>
    </row>
    <row r="149" spans="1:40" x14ac:dyDescent="0.3">
      <c r="A149" s="262"/>
      <c r="B149" s="262"/>
      <c r="C149" s="200"/>
      <c r="D149" s="262"/>
      <c r="E149" s="262"/>
      <c r="F149" s="262"/>
      <c r="G149" s="262"/>
      <c r="H149" s="262"/>
      <c r="I149" s="200"/>
      <c r="J149" s="200"/>
      <c r="K149" s="200"/>
      <c r="L149" s="200"/>
      <c r="M149" s="200"/>
      <c r="N149" s="200"/>
      <c r="O149" s="200"/>
      <c r="P149" s="200"/>
      <c r="Q149" s="200"/>
      <c r="R149" s="121"/>
      <c r="V149" s="121"/>
    </row>
    <row r="150" spans="1:40" x14ac:dyDescent="0.3">
      <c r="A150" s="262"/>
      <c r="B150" s="344" t="s">
        <v>2218</v>
      </c>
      <c r="C150" s="345"/>
      <c r="D150" s="345"/>
      <c r="E150" s="345"/>
      <c r="F150" s="345"/>
      <c r="G150" s="345"/>
      <c r="H150" s="345"/>
      <c r="I150" s="199"/>
      <c r="J150" s="200"/>
      <c r="K150" s="200"/>
      <c r="L150" s="200"/>
      <c r="M150" s="200"/>
      <c r="N150" s="200"/>
      <c r="O150" s="200"/>
      <c r="P150" s="200"/>
      <c r="Q150" s="200"/>
      <c r="R150" s="121"/>
    </row>
    <row r="151" spans="1:40" ht="43.2" x14ac:dyDescent="0.3">
      <c r="A151" s="262"/>
      <c r="B151" s="251" t="s">
        <v>2084</v>
      </c>
      <c r="C151" s="153" t="s">
        <v>2186</v>
      </c>
      <c r="D151" s="844" t="s">
        <v>2162</v>
      </c>
      <c r="E151" s="229" t="s">
        <v>1896</v>
      </c>
      <c r="F151" s="229" t="s">
        <v>1897</v>
      </c>
      <c r="G151" s="152" t="s">
        <v>2130</v>
      </c>
      <c r="H151" s="152" t="s">
        <v>2131</v>
      </c>
      <c r="I151" s="229" t="s">
        <v>2132</v>
      </c>
      <c r="J151" s="262"/>
      <c r="K151" s="262"/>
      <c r="L151" s="200"/>
      <c r="M151" s="200"/>
      <c r="N151" s="200"/>
      <c r="O151" s="200"/>
      <c r="P151" s="200"/>
      <c r="Q151" s="200"/>
      <c r="R151" s="121"/>
    </row>
    <row r="152" spans="1:40" x14ac:dyDescent="0.3">
      <c r="A152" s="262"/>
      <c r="B152" s="303" t="s">
        <v>2192</v>
      </c>
      <c r="C152" s="137">
        <f>'Capacity inputs'!$G$22</f>
        <v>7</v>
      </c>
      <c r="D152" s="116">
        <f>'Financial impact (cash)'!D13*'Capacity (local prices)'!$C152</f>
        <v>0</v>
      </c>
      <c r="E152" s="116">
        <f>'Financial impact (cash)'!E13*'Capacity (local prices)'!$C152</f>
        <v>24095.431574455564</v>
      </c>
      <c r="F152" s="116">
        <f>'Financial impact (cash)'!F13*'Capacity (local prices)'!$C152</f>
        <v>27779.714472747888</v>
      </c>
      <c r="G152" s="116">
        <f>'Financial impact (cash)'!G13*'Capacity (local prices)'!$C152</f>
        <v>30359.247671793022</v>
      </c>
      <c r="H152" s="116">
        <f>'Financial impact (cash)'!H13*'Capacity (local prices)'!$C152</f>
        <v>30626.1303375426</v>
      </c>
      <c r="I152" s="116">
        <f>'Financial impact (cash)'!I13*'Capacity (local prices)'!$C152</f>
        <v>30895.359120628404</v>
      </c>
      <c r="J152" s="262"/>
      <c r="K152" s="262"/>
      <c r="L152" s="200"/>
      <c r="M152" s="200"/>
      <c r="N152" s="200"/>
      <c r="O152" s="200"/>
      <c r="P152" s="200"/>
      <c r="Q152" s="200"/>
      <c r="R152" s="121"/>
    </row>
    <row r="153" spans="1:40" x14ac:dyDescent="0.3">
      <c r="A153" s="262"/>
      <c r="B153" s="303" t="s">
        <v>2167</v>
      </c>
      <c r="C153" s="137">
        <f>'Capacity inputs'!$H$22</f>
        <v>0</v>
      </c>
      <c r="D153" s="116">
        <f>'Financial impact (cash)'!D16*'Capacity (local prices)'!$C153</f>
        <v>0</v>
      </c>
      <c r="E153" s="116">
        <f>'Financial impact (cash)'!E16*'Capacity (local prices)'!$C153</f>
        <v>0</v>
      </c>
      <c r="F153" s="116">
        <f>'Financial impact (cash)'!F16*'Capacity (local prices)'!$C153</f>
        <v>0</v>
      </c>
      <c r="G153" s="116">
        <f>'Financial impact (cash)'!G16*'Capacity (local prices)'!$C153</f>
        <v>0</v>
      </c>
      <c r="H153" s="116">
        <f>'Financial impact (cash)'!H16*'Capacity (local prices)'!$C153</f>
        <v>0</v>
      </c>
      <c r="I153" s="116">
        <f>'Financial impact (cash)'!I16*'Capacity (local prices)'!$C153</f>
        <v>0</v>
      </c>
      <c r="J153" s="262"/>
      <c r="K153" s="262"/>
      <c r="L153" s="200"/>
      <c r="M153" s="200"/>
      <c r="N153" s="200"/>
      <c r="O153" s="200"/>
      <c r="P153" s="200"/>
      <c r="Q153" s="200"/>
      <c r="R153" s="121"/>
    </row>
    <row r="154" spans="1:40" x14ac:dyDescent="0.3">
      <c r="A154" s="262"/>
      <c r="B154" s="303" t="s">
        <v>2168</v>
      </c>
      <c r="C154" s="137">
        <f>'Capacity inputs'!$H$22</f>
        <v>0</v>
      </c>
      <c r="D154" s="116">
        <f>'Financial impact (cash)'!D17*'Capacity (local prices)'!$C154</f>
        <v>0</v>
      </c>
      <c r="E154" s="116">
        <f>'Financial impact (cash)'!E17*'Capacity (local prices)'!$C154</f>
        <v>0</v>
      </c>
      <c r="F154" s="116">
        <f>'Financial impact (cash)'!F17*'Capacity (local prices)'!$C154</f>
        <v>0</v>
      </c>
      <c r="G154" s="116">
        <f>'Financial impact (cash)'!G17*'Capacity (local prices)'!$C154</f>
        <v>0</v>
      </c>
      <c r="H154" s="116">
        <f>'Financial impact (cash)'!H17*'Capacity (local prices)'!$C154</f>
        <v>0</v>
      </c>
      <c r="I154" s="116">
        <f>'Financial impact (cash)'!I17*'Capacity (local prices)'!$C154</f>
        <v>0</v>
      </c>
      <c r="J154" s="262"/>
      <c r="K154" s="262"/>
      <c r="L154" s="200"/>
      <c r="M154" s="200"/>
      <c r="N154" s="200"/>
      <c r="O154" s="200"/>
      <c r="P154" s="200"/>
      <c r="Q154" s="200"/>
      <c r="R154" s="121"/>
    </row>
    <row r="155" spans="1:40" x14ac:dyDescent="0.3">
      <c r="A155" s="262"/>
      <c r="B155" s="303" t="s">
        <v>2169</v>
      </c>
      <c r="C155" s="137">
        <f>'Capacity inputs'!$H$22</f>
        <v>0</v>
      </c>
      <c r="D155" s="116">
        <f>'Financial impact (cash)'!D18*'Capacity (local prices)'!$C155</f>
        <v>0</v>
      </c>
      <c r="E155" s="116">
        <f>'Financial impact (cash)'!E18*'Capacity (local prices)'!$C155</f>
        <v>0</v>
      </c>
      <c r="F155" s="116">
        <f>'Financial impact (cash)'!F18*'Capacity (local prices)'!$C155</f>
        <v>0</v>
      </c>
      <c r="G155" s="116">
        <f>'Financial impact (cash)'!G18*'Capacity (local prices)'!$C155</f>
        <v>0</v>
      </c>
      <c r="H155" s="116">
        <f>'Financial impact (cash)'!H18*'Capacity (local prices)'!$C155</f>
        <v>0</v>
      </c>
      <c r="I155" s="116">
        <f>'Financial impact (cash)'!I18*'Capacity (local prices)'!$C155</f>
        <v>0</v>
      </c>
      <c r="J155" s="262"/>
      <c r="K155" s="262"/>
      <c r="L155" s="200"/>
      <c r="M155" s="200"/>
      <c r="N155" s="200"/>
      <c r="O155" s="200"/>
      <c r="P155" s="200"/>
      <c r="Q155" s="200"/>
      <c r="R155" s="121"/>
    </row>
    <row r="156" spans="1:40" x14ac:dyDescent="0.3">
      <c r="A156" s="262"/>
      <c r="B156" s="303" t="s">
        <v>2170</v>
      </c>
      <c r="C156" s="137">
        <f>'Capacity inputs'!$H$22</f>
        <v>0</v>
      </c>
      <c r="D156" s="116">
        <f>'Financial impact (cash)'!D19*'Capacity (local prices)'!$C156</f>
        <v>0</v>
      </c>
      <c r="E156" s="116">
        <f>'Financial impact (cash)'!E19*'Capacity (local prices)'!$C156</f>
        <v>0</v>
      </c>
      <c r="F156" s="116">
        <f>'Financial impact (cash)'!F19*'Capacity (local prices)'!$C156</f>
        <v>0</v>
      </c>
      <c r="G156" s="116">
        <f>'Financial impact (cash)'!G19*'Capacity (local prices)'!$C156</f>
        <v>0</v>
      </c>
      <c r="H156" s="116">
        <f>'Financial impact (cash)'!H19*'Capacity (local prices)'!$C156</f>
        <v>0</v>
      </c>
      <c r="I156" s="116">
        <f>'Financial impact (cash)'!I19*'Capacity (local prices)'!$C156</f>
        <v>0</v>
      </c>
      <c r="J156" s="262"/>
      <c r="K156" s="262"/>
      <c r="L156" s="200"/>
      <c r="M156" s="200"/>
      <c r="N156" s="200"/>
      <c r="O156" s="200"/>
      <c r="P156" s="200"/>
      <c r="Q156" s="200"/>
      <c r="R156" s="121"/>
    </row>
    <row r="157" spans="1:40" x14ac:dyDescent="0.3">
      <c r="A157" s="262"/>
      <c r="B157" s="303" t="s">
        <v>2171</v>
      </c>
      <c r="C157" s="137">
        <f>'Capacity inputs'!$H$22</f>
        <v>0</v>
      </c>
      <c r="D157" s="116">
        <f>'Financial impact (cash)'!D20*'Capacity (local prices)'!$C157</f>
        <v>0</v>
      </c>
      <c r="E157" s="116">
        <f>'Financial impact (cash)'!E20*'Capacity (local prices)'!$C157</f>
        <v>0</v>
      </c>
      <c r="F157" s="116">
        <f>'Financial impact (cash)'!F20*'Capacity (local prices)'!$C157</f>
        <v>0</v>
      </c>
      <c r="G157" s="116">
        <f>'Financial impact (cash)'!G20*'Capacity (local prices)'!$C157</f>
        <v>0</v>
      </c>
      <c r="H157" s="116">
        <f>'Financial impact (cash)'!H20*'Capacity (local prices)'!$C157</f>
        <v>0</v>
      </c>
      <c r="I157" s="116">
        <f>'Financial impact (cash)'!I20*'Capacity (local prices)'!$C157</f>
        <v>0</v>
      </c>
      <c r="J157" s="262"/>
      <c r="K157" s="262"/>
      <c r="L157" s="200"/>
      <c r="M157" s="200"/>
      <c r="N157" s="200"/>
      <c r="O157" s="200"/>
      <c r="P157" s="200"/>
      <c r="Q157" s="200"/>
      <c r="R157" s="121"/>
    </row>
    <row r="158" spans="1:40" x14ac:dyDescent="0.3">
      <c r="A158" s="262"/>
      <c r="B158" s="303" t="s">
        <v>2172</v>
      </c>
      <c r="C158" s="137">
        <f>'Capacity inputs'!$I$22</f>
        <v>0</v>
      </c>
      <c r="D158" s="116">
        <f>'Financial impact (cash)'!D21*'Capacity (local prices)'!$C158</f>
        <v>0</v>
      </c>
      <c r="E158" s="116">
        <f>'Financial impact (cash)'!E21*'Capacity (local prices)'!$C158</f>
        <v>0</v>
      </c>
      <c r="F158" s="116">
        <f>'Financial impact (cash)'!F21*'Capacity (local prices)'!$C158</f>
        <v>0</v>
      </c>
      <c r="G158" s="116">
        <f>'Financial impact (cash)'!G21*'Capacity (local prices)'!$C158</f>
        <v>0</v>
      </c>
      <c r="H158" s="116">
        <f>'Financial impact (cash)'!H21*'Capacity (local prices)'!$C158</f>
        <v>0</v>
      </c>
      <c r="I158" s="116">
        <f>'Financial impact (cash)'!I21*'Capacity (local prices)'!$C158</f>
        <v>0</v>
      </c>
      <c r="J158" s="262"/>
      <c r="K158" s="262"/>
      <c r="L158" s="200"/>
      <c r="M158" s="200"/>
      <c r="N158" s="200"/>
      <c r="O158" s="200"/>
      <c r="P158" s="200"/>
      <c r="Q158" s="200"/>
      <c r="R158" s="121"/>
    </row>
    <row r="159" spans="1:40" x14ac:dyDescent="0.3">
      <c r="A159" s="262"/>
      <c r="B159" s="252"/>
      <c r="C159" s="187"/>
      <c r="D159" s="168">
        <f t="shared" ref="D159:I159" si="59">SUM(D152:D158)</f>
        <v>0</v>
      </c>
      <c r="E159" s="168">
        <f t="shared" si="59"/>
        <v>24095.431574455564</v>
      </c>
      <c r="F159" s="168">
        <f t="shared" si="59"/>
        <v>27779.714472747888</v>
      </c>
      <c r="G159" s="168">
        <f t="shared" si="59"/>
        <v>30359.247671793022</v>
      </c>
      <c r="H159" s="168">
        <f t="shared" si="59"/>
        <v>30626.1303375426</v>
      </c>
      <c r="I159" s="168">
        <f t="shared" si="59"/>
        <v>30895.359120628404</v>
      </c>
      <c r="J159" s="262"/>
      <c r="K159" s="262"/>
      <c r="L159" s="200"/>
      <c r="M159" s="200"/>
      <c r="N159" s="200"/>
      <c r="O159" s="200"/>
      <c r="P159" s="200"/>
      <c r="Q159" s="200"/>
      <c r="R159" s="121"/>
    </row>
    <row r="160" spans="1:40" x14ac:dyDescent="0.3">
      <c r="A160" s="262"/>
      <c r="B160" s="279"/>
      <c r="C160" s="230"/>
      <c r="D160" s="257" t="s">
        <v>2216</v>
      </c>
      <c r="E160" s="168">
        <f>E159-$D$159</f>
        <v>24095.431574455564</v>
      </c>
      <c r="F160" s="168">
        <f t="shared" ref="F160:I160" si="60">F159-$D$159</f>
        <v>27779.714472747888</v>
      </c>
      <c r="G160" s="168">
        <f t="shared" si="60"/>
        <v>30359.247671793022</v>
      </c>
      <c r="H160" s="168">
        <f t="shared" si="60"/>
        <v>30626.1303375426</v>
      </c>
      <c r="I160" s="168">
        <f t="shared" si="60"/>
        <v>30895.359120628404</v>
      </c>
      <c r="J160" s="262"/>
      <c r="K160" s="262"/>
      <c r="L160" s="200"/>
      <c r="M160" s="200"/>
      <c r="N160" s="200"/>
      <c r="O160" s="200"/>
      <c r="P160" s="200"/>
      <c r="Q160" s="200"/>
      <c r="R160" s="121"/>
    </row>
    <row r="161" spans="1:18" x14ac:dyDescent="0.3">
      <c r="A161" s="262"/>
      <c r="B161" s="262"/>
      <c r="C161" s="200"/>
      <c r="D161" s="262"/>
      <c r="E161" s="262"/>
      <c r="F161" s="262"/>
      <c r="G161" s="262"/>
      <c r="H161" s="262"/>
      <c r="I161" s="200"/>
      <c r="J161" s="200"/>
      <c r="K161" s="200"/>
      <c r="L161" s="200"/>
      <c r="M161" s="200"/>
      <c r="N161" s="200"/>
      <c r="O161" s="200"/>
      <c r="P161" s="200"/>
      <c r="Q161" s="200"/>
      <c r="R161" s="121"/>
    </row>
  </sheetData>
  <sheetProtection algorithmName="SHA-512" hashValue="6pF1RpB/fBD6RIXJy+CGTb1XDR/JwnP15Yno6ZglKLwxhKd1+sCI53HQzxYYFshRVAW3/qnZXR8YfHqflH3OQQ==" saltValue="CxsvsKuq5DxlpNZFe+c4gQ==" spinCount="100000" sheet="1" objects="1" scenarios="1"/>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ignoredErrors>
    <ignoredError sqref="D24:I24"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X102"/>
  <sheetViews>
    <sheetView showGridLines="0" zoomScale="55" zoomScaleNormal="55" workbookViewId="0"/>
  </sheetViews>
  <sheetFormatPr defaultColWidth="8.5546875" defaultRowHeight="14.4" x14ac:dyDescent="0.3"/>
  <cols>
    <col min="1" max="1" width="13.5546875" customWidth="1"/>
    <col min="2" max="2" width="32.5546875" customWidth="1"/>
    <col min="3" max="4" width="12.77734375" customWidth="1"/>
    <col min="5" max="6" width="11.77734375" customWidth="1"/>
    <col min="7" max="7" width="10.44140625" style="403" customWidth="1"/>
    <col min="8" max="8" width="11.77734375" customWidth="1"/>
    <col min="9" max="9" width="12.5546875" customWidth="1"/>
    <col min="10" max="10" width="10.21875" customWidth="1"/>
    <col min="11" max="13" width="9" customWidth="1"/>
    <col min="14" max="14" width="8.44140625" customWidth="1"/>
    <col min="15" max="15" width="15.44140625" hidden="1" customWidth="1"/>
    <col min="16" max="16" width="13.44140625" hidden="1" customWidth="1"/>
    <col min="17" max="17" width="14.44140625" hidden="1" customWidth="1"/>
    <col min="18" max="18" width="10.44140625" hidden="1" customWidth="1"/>
    <col min="19" max="21" width="8.5546875" hidden="1" customWidth="1"/>
    <col min="22" max="22" width="47.21875" bestFit="1" customWidth="1"/>
    <col min="23" max="23" width="10" customWidth="1"/>
  </cols>
  <sheetData>
    <row r="1" spans="1:24" ht="21" customHeight="1" x14ac:dyDescent="0.3">
      <c r="A1" s="560" t="s">
        <v>2225</v>
      </c>
      <c r="B1" s="560"/>
      <c r="C1" s="560"/>
      <c r="D1" s="560"/>
      <c r="E1" s="560"/>
      <c r="F1" s="560"/>
      <c r="G1" s="560"/>
      <c r="H1" s="560"/>
      <c r="I1" s="560"/>
      <c r="J1" s="560"/>
      <c r="K1" s="560"/>
      <c r="L1" s="560"/>
      <c r="M1" s="560"/>
    </row>
    <row r="2" spans="1:24" ht="14.55" customHeight="1" thickBot="1" x14ac:dyDescent="0.35">
      <c r="A2" s="117"/>
      <c r="B2" s="117"/>
      <c r="C2" s="117"/>
      <c r="D2" s="117"/>
      <c r="E2" s="117"/>
      <c r="F2" s="117"/>
      <c r="G2" s="117"/>
      <c r="H2" s="117"/>
      <c r="I2" s="117"/>
      <c r="J2" s="117"/>
      <c r="K2" s="117"/>
      <c r="L2" s="117"/>
      <c r="M2" s="117"/>
    </row>
    <row r="3" spans="1:24" ht="14.55" customHeight="1" x14ac:dyDescent="0.3">
      <c r="A3" s="117"/>
      <c r="B3" s="568" t="s">
        <v>6</v>
      </c>
      <c r="C3" s="569"/>
      <c r="D3" s="117"/>
      <c r="E3" s="117"/>
      <c r="F3" s="117"/>
      <c r="G3" s="117"/>
      <c r="H3" s="117"/>
      <c r="I3" s="117"/>
      <c r="J3" s="117"/>
      <c r="K3" s="117"/>
      <c r="L3" s="117"/>
      <c r="M3" s="117"/>
    </row>
    <row r="4" spans="1:24" ht="14.55" customHeight="1" x14ac:dyDescent="0.3">
      <c r="A4" s="117"/>
      <c r="B4" s="570" t="s">
        <v>2226</v>
      </c>
      <c r="C4" s="595" t="s">
        <v>2227</v>
      </c>
      <c r="D4" s="571" t="s">
        <v>2228</v>
      </c>
      <c r="E4" s="117"/>
      <c r="F4" s="117"/>
      <c r="G4" s="117"/>
      <c r="H4" s="117"/>
      <c r="I4" s="117"/>
      <c r="J4" s="117"/>
      <c r="K4" s="117"/>
      <c r="L4" s="117"/>
      <c r="M4" s="117"/>
    </row>
    <row r="5" spans="1:24" ht="14.55" customHeight="1" x14ac:dyDescent="0.3">
      <c r="A5" s="117"/>
      <c r="B5" s="570" t="s">
        <v>2229</v>
      </c>
      <c r="C5" s="596">
        <v>5000</v>
      </c>
      <c r="D5" s="117"/>
      <c r="E5" s="117"/>
      <c r="F5" s="117"/>
      <c r="G5" s="117"/>
      <c r="H5" s="117"/>
      <c r="I5" s="117"/>
      <c r="J5" s="117"/>
      <c r="K5" s="117"/>
      <c r="L5" s="117"/>
      <c r="M5" s="117"/>
    </row>
    <row r="6" spans="1:24" ht="14.55" customHeight="1" x14ac:dyDescent="0.3">
      <c r="A6" s="117"/>
      <c r="B6" s="570" t="s">
        <v>2230</v>
      </c>
      <c r="C6" s="597">
        <v>0.15</v>
      </c>
      <c r="D6" s="117"/>
      <c r="E6" s="117"/>
      <c r="F6" s="117"/>
      <c r="G6" s="117"/>
      <c r="H6" s="117"/>
      <c r="I6" s="117"/>
      <c r="J6" s="117"/>
      <c r="K6" s="117"/>
      <c r="L6" s="117"/>
      <c r="M6" s="117"/>
    </row>
    <row r="7" spans="1:24" ht="14.55" customHeight="1" x14ac:dyDescent="0.3">
      <c r="A7" s="117"/>
      <c r="B7" s="570" t="s">
        <v>2231</v>
      </c>
      <c r="C7" s="597">
        <v>0.23780000000000001</v>
      </c>
      <c r="D7" s="117"/>
      <c r="E7" s="117"/>
      <c r="F7" s="117"/>
      <c r="G7" s="117"/>
      <c r="H7" s="117"/>
      <c r="I7" s="117"/>
      <c r="J7" s="117"/>
      <c r="K7" s="117"/>
      <c r="L7" s="117"/>
      <c r="M7" s="117"/>
    </row>
    <row r="8" spans="1:24" ht="14.55" customHeight="1" x14ac:dyDescent="0.3">
      <c r="A8" s="117"/>
      <c r="B8" s="570" t="s">
        <v>2232</v>
      </c>
      <c r="C8" s="597">
        <v>5.0000000000000001E-3</v>
      </c>
      <c r="D8" s="117"/>
      <c r="E8" s="117"/>
      <c r="F8" s="117"/>
      <c r="G8" s="117"/>
      <c r="H8" s="117"/>
      <c r="I8" s="117"/>
      <c r="J8" s="117"/>
      <c r="K8" s="117"/>
      <c r="L8" s="117"/>
      <c r="M8" s="117"/>
    </row>
    <row r="9" spans="1:24" ht="14.55" customHeight="1" thickBot="1" x14ac:dyDescent="0.35">
      <c r="A9" s="117"/>
      <c r="B9" s="572" t="s">
        <v>2233</v>
      </c>
      <c r="C9" s="598">
        <v>0</v>
      </c>
      <c r="D9" s="117"/>
      <c r="E9" s="117"/>
      <c r="F9" s="117"/>
      <c r="G9" s="117"/>
      <c r="H9" s="117"/>
      <c r="I9" s="117"/>
      <c r="J9" s="117"/>
      <c r="K9" s="117"/>
      <c r="L9" s="117"/>
      <c r="M9" s="117"/>
      <c r="R9" s="573"/>
    </row>
    <row r="10" spans="1:24" ht="15" thickBot="1" x14ac:dyDescent="0.35">
      <c r="P10" s="574"/>
      <c r="R10" s="574"/>
    </row>
    <row r="11" spans="1:24" ht="109.5" customHeight="1" thickBot="1" x14ac:dyDescent="0.35">
      <c r="A11" s="575" t="s">
        <v>2234</v>
      </c>
      <c r="B11" s="576" t="s">
        <v>2235</v>
      </c>
      <c r="C11" s="577" t="s">
        <v>2236</v>
      </c>
      <c r="D11" s="577" t="s">
        <v>2237</v>
      </c>
      <c r="E11" s="577" t="s">
        <v>2238</v>
      </c>
      <c r="F11" s="577" t="s">
        <v>2239</v>
      </c>
      <c r="G11" s="578" t="s">
        <v>2240</v>
      </c>
      <c r="H11" s="577" t="s">
        <v>2241</v>
      </c>
      <c r="I11" s="579" t="s">
        <v>2242</v>
      </c>
      <c r="J11" s="580" t="s">
        <v>2243</v>
      </c>
      <c r="K11" s="581" t="s">
        <v>2182</v>
      </c>
      <c r="L11" s="582" t="s">
        <v>2244</v>
      </c>
      <c r="M11" s="583" t="s">
        <v>2245</v>
      </c>
      <c r="O11" t="s">
        <v>2227</v>
      </c>
      <c r="P11" t="s">
        <v>2246</v>
      </c>
      <c r="Q11" t="s">
        <v>2247</v>
      </c>
      <c r="R11" t="s">
        <v>2248</v>
      </c>
    </row>
    <row r="12" spans="1:24" x14ac:dyDescent="0.3">
      <c r="A12" s="584">
        <v>2</v>
      </c>
      <c r="B12" s="585" t="s">
        <v>2249</v>
      </c>
      <c r="C12" s="586">
        <v>24465</v>
      </c>
      <c r="D12" s="586">
        <f>C12*$C$9</f>
        <v>0</v>
      </c>
      <c r="E12" s="586">
        <f>C12*(100%+$C$9)</f>
        <v>24465</v>
      </c>
      <c r="F12" s="586">
        <f>(E12-$C$5)*$C$6</f>
        <v>2919.75</v>
      </c>
      <c r="G12" s="587">
        <f>E12*$C$8</f>
        <v>122.325</v>
      </c>
      <c r="H12" s="586">
        <f>E12*$C$7</f>
        <v>5817.777</v>
      </c>
      <c r="I12" s="588">
        <f>SUM(E12:H12)</f>
        <v>33324.851999999999</v>
      </c>
      <c r="J12" s="599">
        <v>1560</v>
      </c>
      <c r="K12" s="589">
        <f>ROUND(I12/J12,2)</f>
        <v>21.36</v>
      </c>
      <c r="L12" s="590">
        <v>0.41</v>
      </c>
      <c r="M12" s="591">
        <v>0.83</v>
      </c>
      <c r="O12" s="573">
        <v>23615</v>
      </c>
      <c r="P12" s="258">
        <v>29029</v>
      </c>
      <c r="Q12" s="258">
        <v>28166</v>
      </c>
      <c r="R12" s="258">
        <v>24873</v>
      </c>
      <c r="V12" s="158"/>
      <c r="W12" s="755"/>
      <c r="X12" s="720"/>
    </row>
    <row r="13" spans="1:24" x14ac:dyDescent="0.3">
      <c r="A13" s="416">
        <v>2</v>
      </c>
      <c r="B13" s="407" t="s">
        <v>2250</v>
      </c>
      <c r="C13" s="404">
        <v>24465</v>
      </c>
      <c r="D13" s="404">
        <f t="shared" ref="D13:D47" si="0">C13*$C$9</f>
        <v>0</v>
      </c>
      <c r="E13" s="404">
        <f t="shared" ref="E13:E47" si="1">C13*(100%+$C$9)</f>
        <v>24465</v>
      </c>
      <c r="F13" s="404">
        <f t="shared" ref="F13:F47" si="2">(E13-$C$5)*$C$6</f>
        <v>2919.75</v>
      </c>
      <c r="G13" s="408">
        <f t="shared" ref="G13:G47" si="3">E13*$C$8</f>
        <v>122.325</v>
      </c>
      <c r="H13" s="404">
        <f t="shared" ref="H13:H47" si="4">E13*$C$7</f>
        <v>5817.777</v>
      </c>
      <c r="I13" s="588">
        <f t="shared" ref="I13:I47" si="5">SUM(E13:H13)</f>
        <v>33324.851999999999</v>
      </c>
      <c r="J13" s="116">
        <v>1560</v>
      </c>
      <c r="K13" s="589">
        <f t="shared" ref="K13:K47" si="6">ROUND(I13/J13,2)</f>
        <v>21.36</v>
      </c>
      <c r="L13" s="405">
        <v>0.41</v>
      </c>
      <c r="M13" s="555">
        <v>0.83</v>
      </c>
      <c r="O13" s="573">
        <v>23615</v>
      </c>
      <c r="P13" s="258">
        <v>29029</v>
      </c>
      <c r="Q13" s="258">
        <v>28166</v>
      </c>
      <c r="R13" s="258">
        <v>24873</v>
      </c>
      <c r="V13" s="440" t="s">
        <v>2251</v>
      </c>
      <c r="X13" s="146"/>
    </row>
    <row r="14" spans="1:24" x14ac:dyDescent="0.3">
      <c r="A14" s="416">
        <v>3</v>
      </c>
      <c r="B14" s="407" t="s">
        <v>2252</v>
      </c>
      <c r="C14" s="404">
        <v>24937</v>
      </c>
      <c r="D14" s="404">
        <f t="shared" si="0"/>
        <v>0</v>
      </c>
      <c r="E14" s="404">
        <f t="shared" si="1"/>
        <v>24937</v>
      </c>
      <c r="F14" s="404">
        <f t="shared" si="2"/>
        <v>2990.5499999999997</v>
      </c>
      <c r="G14" s="408">
        <f t="shared" si="3"/>
        <v>124.685</v>
      </c>
      <c r="H14" s="404">
        <f t="shared" si="4"/>
        <v>5930.0186000000003</v>
      </c>
      <c r="I14" s="588">
        <f t="shared" si="5"/>
        <v>33982.253600000004</v>
      </c>
      <c r="J14" s="116">
        <v>1560</v>
      </c>
      <c r="K14" s="589">
        <f t="shared" si="6"/>
        <v>21.78</v>
      </c>
      <c r="L14" s="405">
        <v>0.35</v>
      </c>
      <c r="M14" s="555">
        <v>0.69</v>
      </c>
      <c r="O14" s="573">
        <v>24071</v>
      </c>
      <c r="P14" s="258">
        <v>29485</v>
      </c>
      <c r="Q14" s="258">
        <v>28622</v>
      </c>
      <c r="R14" s="258">
        <v>25329</v>
      </c>
      <c r="S14" t="s">
        <v>2227</v>
      </c>
      <c r="V14" s="441" t="s">
        <v>2253</v>
      </c>
      <c r="W14">
        <v>260</v>
      </c>
      <c r="X14" s="146"/>
    </row>
    <row r="15" spans="1:24" x14ac:dyDescent="0.3">
      <c r="A15" s="416">
        <v>3</v>
      </c>
      <c r="B15" s="407" t="s">
        <v>2254</v>
      </c>
      <c r="C15" s="404">
        <v>26598</v>
      </c>
      <c r="D15" s="404">
        <f t="shared" si="0"/>
        <v>0</v>
      </c>
      <c r="E15" s="404">
        <f t="shared" si="1"/>
        <v>26598</v>
      </c>
      <c r="F15" s="404">
        <f t="shared" si="2"/>
        <v>3239.7</v>
      </c>
      <c r="G15" s="408">
        <f t="shared" si="3"/>
        <v>132.99</v>
      </c>
      <c r="H15" s="404">
        <f t="shared" si="4"/>
        <v>6325.0044000000007</v>
      </c>
      <c r="I15" s="588">
        <f t="shared" si="5"/>
        <v>36295.6944</v>
      </c>
      <c r="J15" s="116">
        <v>1560</v>
      </c>
      <c r="K15" s="589">
        <f t="shared" si="6"/>
        <v>23.27</v>
      </c>
      <c r="L15" s="405">
        <v>0.35</v>
      </c>
      <c r="M15" s="555">
        <v>0.69</v>
      </c>
      <c r="O15" s="573">
        <v>25674</v>
      </c>
      <c r="P15" s="258">
        <v>31088</v>
      </c>
      <c r="Q15" s="258">
        <v>30225</v>
      </c>
      <c r="R15" s="258">
        <v>26958</v>
      </c>
      <c r="S15" t="s">
        <v>2255</v>
      </c>
      <c r="V15" s="441" t="s">
        <v>2256</v>
      </c>
      <c r="W15">
        <v>-40</v>
      </c>
      <c r="X15" s="146"/>
    </row>
    <row r="16" spans="1:24" x14ac:dyDescent="0.3">
      <c r="A16" s="416">
        <v>4</v>
      </c>
      <c r="B16" s="407" t="s">
        <v>2257</v>
      </c>
      <c r="C16" s="404">
        <v>27485</v>
      </c>
      <c r="D16" s="404">
        <f t="shared" si="0"/>
        <v>0</v>
      </c>
      <c r="E16" s="404">
        <f t="shared" si="1"/>
        <v>27485</v>
      </c>
      <c r="F16" s="404">
        <f t="shared" si="2"/>
        <v>3372.75</v>
      </c>
      <c r="G16" s="408">
        <f t="shared" si="3"/>
        <v>137.42500000000001</v>
      </c>
      <c r="H16" s="404">
        <f t="shared" si="4"/>
        <v>6535.933</v>
      </c>
      <c r="I16" s="588">
        <f t="shared" si="5"/>
        <v>37531.108</v>
      </c>
      <c r="J16" s="116">
        <v>1560</v>
      </c>
      <c r="K16" s="589">
        <f t="shared" si="6"/>
        <v>24.06</v>
      </c>
      <c r="L16" s="405">
        <v>0.3</v>
      </c>
      <c r="M16" s="555">
        <v>0.6</v>
      </c>
      <c r="O16" s="573">
        <v>26530</v>
      </c>
      <c r="P16" s="258">
        <v>31944</v>
      </c>
      <c r="Q16" s="258">
        <v>31081</v>
      </c>
      <c r="R16" s="258">
        <v>27857</v>
      </c>
      <c r="S16" t="s">
        <v>2258</v>
      </c>
      <c r="V16" s="441" t="s">
        <v>2259</v>
      </c>
      <c r="W16">
        <v>-2</v>
      </c>
      <c r="X16" s="146"/>
    </row>
    <row r="17" spans="1:24" x14ac:dyDescent="0.3">
      <c r="A17" s="416">
        <v>4</v>
      </c>
      <c r="B17" s="407" t="s">
        <v>2260</v>
      </c>
      <c r="C17" s="404">
        <v>30162</v>
      </c>
      <c r="D17" s="404">
        <f t="shared" si="0"/>
        <v>0</v>
      </c>
      <c r="E17" s="404">
        <f t="shared" si="1"/>
        <v>30162</v>
      </c>
      <c r="F17" s="404">
        <f t="shared" si="2"/>
        <v>3774.2999999999997</v>
      </c>
      <c r="G17" s="408">
        <f t="shared" si="3"/>
        <v>150.81</v>
      </c>
      <c r="H17" s="404">
        <f t="shared" si="4"/>
        <v>7172.5236000000004</v>
      </c>
      <c r="I17" s="588">
        <f t="shared" si="5"/>
        <v>41259.633600000001</v>
      </c>
      <c r="J17" s="116">
        <v>1560</v>
      </c>
      <c r="K17" s="589">
        <f t="shared" si="6"/>
        <v>26.45</v>
      </c>
      <c r="L17" s="405">
        <v>0.3</v>
      </c>
      <c r="M17" s="555">
        <v>0.6</v>
      </c>
      <c r="O17" s="573">
        <v>29114</v>
      </c>
      <c r="P17" s="258">
        <v>34937</v>
      </c>
      <c r="Q17" s="258">
        <v>33665</v>
      </c>
      <c r="R17" s="258">
        <v>30570</v>
      </c>
      <c r="S17" t="s">
        <v>2261</v>
      </c>
      <c r="V17" s="441" t="s">
        <v>2262</v>
      </c>
      <c r="W17">
        <v>-10</v>
      </c>
      <c r="X17" s="146"/>
    </row>
    <row r="18" spans="1:24" x14ac:dyDescent="0.3">
      <c r="A18" s="416">
        <v>5</v>
      </c>
      <c r="B18" s="407" t="s">
        <v>2263</v>
      </c>
      <c r="C18" s="404">
        <v>31049</v>
      </c>
      <c r="D18" s="404">
        <f t="shared" si="0"/>
        <v>0</v>
      </c>
      <c r="E18" s="404">
        <f t="shared" si="1"/>
        <v>31049</v>
      </c>
      <c r="F18" s="404">
        <f t="shared" si="2"/>
        <v>3907.35</v>
      </c>
      <c r="G18" s="408">
        <f t="shared" si="3"/>
        <v>155.245</v>
      </c>
      <c r="H18" s="404">
        <f t="shared" si="4"/>
        <v>7383.4522000000006</v>
      </c>
      <c r="I18" s="588">
        <f t="shared" si="5"/>
        <v>42495.047200000001</v>
      </c>
      <c r="J18" s="116">
        <v>1560</v>
      </c>
      <c r="K18" s="589">
        <f t="shared" si="6"/>
        <v>27.24</v>
      </c>
      <c r="L18" s="405">
        <v>0.3</v>
      </c>
      <c r="M18" s="555">
        <v>0.6</v>
      </c>
      <c r="O18" s="573">
        <v>29970</v>
      </c>
      <c r="P18" s="258">
        <v>35964</v>
      </c>
      <c r="Q18" s="258">
        <v>34521</v>
      </c>
      <c r="R18" s="258">
        <v>31469</v>
      </c>
      <c r="V18" s="441"/>
      <c r="W18" s="755">
        <v>208</v>
      </c>
      <c r="X18" s="146"/>
    </row>
    <row r="19" spans="1:24" x14ac:dyDescent="0.3">
      <c r="A19" s="416">
        <v>5</v>
      </c>
      <c r="B19" s="407" t="s">
        <v>2264</v>
      </c>
      <c r="C19" s="404">
        <v>33487</v>
      </c>
      <c r="D19" s="404">
        <f t="shared" si="0"/>
        <v>0</v>
      </c>
      <c r="E19" s="404">
        <f t="shared" si="1"/>
        <v>33487</v>
      </c>
      <c r="F19" s="404">
        <f t="shared" si="2"/>
        <v>4273.05</v>
      </c>
      <c r="G19" s="408">
        <f t="shared" si="3"/>
        <v>167.435</v>
      </c>
      <c r="H19" s="404">
        <f t="shared" si="4"/>
        <v>7963.2085999999999</v>
      </c>
      <c r="I19" s="588">
        <f t="shared" si="5"/>
        <v>45890.693599999999</v>
      </c>
      <c r="J19" s="116">
        <v>1560</v>
      </c>
      <c r="K19" s="589">
        <f t="shared" si="6"/>
        <v>29.42</v>
      </c>
      <c r="L19" s="405">
        <v>0.3</v>
      </c>
      <c r="M19" s="555">
        <v>0.6</v>
      </c>
      <c r="O19" s="573">
        <v>32324</v>
      </c>
      <c r="P19" s="258">
        <v>38789</v>
      </c>
      <c r="Q19" s="258">
        <v>37173</v>
      </c>
      <c r="R19" s="258">
        <v>33941</v>
      </c>
      <c r="V19" s="441" t="s">
        <v>2265</v>
      </c>
      <c r="W19" s="314">
        <f>7.5*W18</f>
        <v>1560</v>
      </c>
      <c r="X19" s="146"/>
    </row>
    <row r="20" spans="1:24" x14ac:dyDescent="0.3">
      <c r="A20" s="416">
        <v>5</v>
      </c>
      <c r="B20" s="407" t="s">
        <v>2266</v>
      </c>
      <c r="C20" s="404">
        <v>37796</v>
      </c>
      <c r="D20" s="404">
        <f t="shared" si="0"/>
        <v>0</v>
      </c>
      <c r="E20" s="404">
        <f t="shared" si="1"/>
        <v>37796</v>
      </c>
      <c r="F20" s="404">
        <f t="shared" si="2"/>
        <v>4919.3999999999996</v>
      </c>
      <c r="G20" s="408">
        <f t="shared" si="3"/>
        <v>188.98</v>
      </c>
      <c r="H20" s="404">
        <f t="shared" si="4"/>
        <v>8987.8888000000006</v>
      </c>
      <c r="I20" s="588">
        <f t="shared" si="5"/>
        <v>51892.268800000005</v>
      </c>
      <c r="J20" s="116">
        <v>1560</v>
      </c>
      <c r="K20" s="589">
        <f t="shared" si="6"/>
        <v>33.26</v>
      </c>
      <c r="L20" s="405">
        <v>0.3</v>
      </c>
      <c r="M20" s="555">
        <v>0.6</v>
      </c>
      <c r="O20" s="573">
        <v>36483</v>
      </c>
      <c r="P20" s="258">
        <v>43780</v>
      </c>
      <c r="Q20" s="258">
        <v>41956</v>
      </c>
      <c r="R20" s="258">
        <v>38308</v>
      </c>
      <c r="V20" s="147"/>
      <c r="X20" s="146"/>
    </row>
    <row r="21" spans="1:24" x14ac:dyDescent="0.3">
      <c r="A21" s="416">
        <v>6</v>
      </c>
      <c r="B21" s="407" t="s">
        <v>2267</v>
      </c>
      <c r="C21" s="404">
        <v>38682</v>
      </c>
      <c r="D21" s="404">
        <f t="shared" si="0"/>
        <v>0</v>
      </c>
      <c r="E21" s="404">
        <f t="shared" si="1"/>
        <v>38682</v>
      </c>
      <c r="F21" s="404">
        <f t="shared" si="2"/>
        <v>5052.3</v>
      </c>
      <c r="G21" s="408">
        <f t="shared" si="3"/>
        <v>193.41</v>
      </c>
      <c r="H21" s="404">
        <f t="shared" si="4"/>
        <v>9198.5796000000009</v>
      </c>
      <c r="I21" s="588">
        <f t="shared" si="5"/>
        <v>53126.289600000004</v>
      </c>
      <c r="J21" s="116">
        <v>1560</v>
      </c>
      <c r="K21" s="589">
        <f t="shared" si="6"/>
        <v>34.06</v>
      </c>
      <c r="L21" s="405">
        <v>0.3</v>
      </c>
      <c r="M21" s="555">
        <v>0.6</v>
      </c>
      <c r="O21" s="573">
        <v>37338</v>
      </c>
      <c r="P21" s="258">
        <v>44806</v>
      </c>
      <c r="Q21" s="258">
        <v>42939</v>
      </c>
      <c r="R21" s="258">
        <v>39205</v>
      </c>
      <c r="V21" s="441"/>
      <c r="X21" s="146"/>
    </row>
    <row r="22" spans="1:24" x14ac:dyDescent="0.3">
      <c r="A22" s="416">
        <v>6</v>
      </c>
      <c r="B22" s="407" t="s">
        <v>2024</v>
      </c>
      <c r="C22" s="404">
        <v>40823</v>
      </c>
      <c r="D22" s="404">
        <f t="shared" si="0"/>
        <v>0</v>
      </c>
      <c r="E22" s="404">
        <f t="shared" si="1"/>
        <v>40823</v>
      </c>
      <c r="F22" s="404">
        <f t="shared" si="2"/>
        <v>5373.45</v>
      </c>
      <c r="G22" s="408">
        <f t="shared" si="3"/>
        <v>204.11500000000001</v>
      </c>
      <c r="H22" s="404">
        <f t="shared" si="4"/>
        <v>9707.7093999999997</v>
      </c>
      <c r="I22" s="588">
        <f t="shared" si="5"/>
        <v>56108.274399999995</v>
      </c>
      <c r="J22" s="116">
        <v>1560</v>
      </c>
      <c r="K22" s="589">
        <f t="shared" si="6"/>
        <v>35.97</v>
      </c>
      <c r="L22" s="405">
        <v>0.3</v>
      </c>
      <c r="M22" s="555">
        <v>0.6</v>
      </c>
      <c r="O22" s="573">
        <v>39405</v>
      </c>
      <c r="P22" s="258">
        <v>47286</v>
      </c>
      <c r="Q22" s="258">
        <v>45140</v>
      </c>
      <c r="R22" s="258">
        <v>41376</v>
      </c>
      <c r="V22" s="440" t="s">
        <v>2268</v>
      </c>
      <c r="X22" s="146"/>
    </row>
    <row r="23" spans="1:24" x14ac:dyDescent="0.3">
      <c r="A23" s="416">
        <v>6</v>
      </c>
      <c r="B23" s="407" t="s">
        <v>2269</v>
      </c>
      <c r="C23" s="404">
        <v>46580</v>
      </c>
      <c r="D23" s="404">
        <f t="shared" si="0"/>
        <v>0</v>
      </c>
      <c r="E23" s="404">
        <f t="shared" si="1"/>
        <v>46580</v>
      </c>
      <c r="F23" s="404">
        <f t="shared" si="2"/>
        <v>6237</v>
      </c>
      <c r="G23" s="408">
        <f t="shared" si="3"/>
        <v>232.9</v>
      </c>
      <c r="H23" s="404">
        <f t="shared" si="4"/>
        <v>11076.724</v>
      </c>
      <c r="I23" s="588">
        <f t="shared" si="5"/>
        <v>64126.624000000003</v>
      </c>
      <c r="J23" s="116">
        <v>1560</v>
      </c>
      <c r="K23" s="589">
        <f t="shared" si="6"/>
        <v>41.11</v>
      </c>
      <c r="L23" s="405">
        <v>0.3</v>
      </c>
      <c r="M23" s="555">
        <v>0.6</v>
      </c>
      <c r="O23" s="573">
        <v>44962</v>
      </c>
      <c r="P23" s="258">
        <v>53134</v>
      </c>
      <c r="Q23" s="258">
        <v>50697</v>
      </c>
      <c r="R23" s="258">
        <v>47084</v>
      </c>
      <c r="V23" s="441" t="s">
        <v>2270</v>
      </c>
      <c r="W23">
        <v>43</v>
      </c>
      <c r="X23" s="146"/>
    </row>
    <row r="24" spans="1:24" x14ac:dyDescent="0.3">
      <c r="A24" s="416">
        <v>7</v>
      </c>
      <c r="B24" s="407" t="s">
        <v>2271</v>
      </c>
      <c r="C24" s="404">
        <v>47810</v>
      </c>
      <c r="D24" s="404">
        <f t="shared" si="0"/>
        <v>0</v>
      </c>
      <c r="E24" s="404">
        <f t="shared" si="1"/>
        <v>47810</v>
      </c>
      <c r="F24" s="404">
        <f t="shared" si="2"/>
        <v>6421.5</v>
      </c>
      <c r="G24" s="408">
        <f t="shared" si="3"/>
        <v>239.05</v>
      </c>
      <c r="H24" s="404">
        <f t="shared" si="4"/>
        <v>11369.218000000001</v>
      </c>
      <c r="I24" s="588">
        <f t="shared" si="5"/>
        <v>65839.768000000011</v>
      </c>
      <c r="J24" s="116">
        <v>1560</v>
      </c>
      <c r="K24" s="589">
        <f t="shared" si="6"/>
        <v>42.2</v>
      </c>
      <c r="L24" s="405">
        <v>0.3</v>
      </c>
      <c r="M24" s="555">
        <v>0.6</v>
      </c>
      <c r="O24" s="573">
        <v>46148</v>
      </c>
      <c r="P24" s="258">
        <v>54320</v>
      </c>
      <c r="Q24" s="258">
        <v>51883</v>
      </c>
      <c r="R24" s="258">
        <v>48270</v>
      </c>
      <c r="V24" s="441"/>
      <c r="X24" s="146"/>
    </row>
    <row r="25" spans="1:24" x14ac:dyDescent="0.3">
      <c r="A25" s="416">
        <v>7</v>
      </c>
      <c r="B25" s="407" t="s">
        <v>2012</v>
      </c>
      <c r="C25" s="404">
        <v>50273</v>
      </c>
      <c r="D25" s="404">
        <f t="shared" si="0"/>
        <v>0</v>
      </c>
      <c r="E25" s="404">
        <f t="shared" si="1"/>
        <v>50273</v>
      </c>
      <c r="F25" s="404">
        <f t="shared" si="2"/>
        <v>6790.95</v>
      </c>
      <c r="G25" s="408">
        <f t="shared" si="3"/>
        <v>251.36500000000001</v>
      </c>
      <c r="H25" s="404">
        <f t="shared" si="4"/>
        <v>11954.919400000001</v>
      </c>
      <c r="I25" s="588">
        <f t="shared" si="5"/>
        <v>69270.234400000001</v>
      </c>
      <c r="J25" s="116">
        <v>1560</v>
      </c>
      <c r="K25" s="589">
        <f t="shared" si="6"/>
        <v>44.4</v>
      </c>
      <c r="L25" s="405">
        <v>0.3</v>
      </c>
      <c r="M25" s="555">
        <v>0.6</v>
      </c>
      <c r="O25" s="573">
        <v>48526</v>
      </c>
      <c r="P25" s="258">
        <v>56698</v>
      </c>
      <c r="Q25" s="258">
        <v>54261</v>
      </c>
      <c r="R25" s="258">
        <v>50648</v>
      </c>
      <c r="V25" s="441" t="s">
        <v>2272</v>
      </c>
      <c r="W25">
        <v>10</v>
      </c>
      <c r="X25" s="146"/>
    </row>
    <row r="26" spans="1:24" x14ac:dyDescent="0.3">
      <c r="A26" s="416">
        <v>7</v>
      </c>
      <c r="B26" s="407" t="s">
        <v>2273</v>
      </c>
      <c r="C26" s="404">
        <v>54710</v>
      </c>
      <c r="D26" s="404">
        <f t="shared" si="0"/>
        <v>0</v>
      </c>
      <c r="E26" s="404">
        <f t="shared" si="1"/>
        <v>54710</v>
      </c>
      <c r="F26" s="404">
        <f t="shared" si="2"/>
        <v>7456.5</v>
      </c>
      <c r="G26" s="408">
        <f t="shared" si="3"/>
        <v>273.55</v>
      </c>
      <c r="H26" s="404">
        <f t="shared" si="4"/>
        <v>13010.038</v>
      </c>
      <c r="I26" s="588">
        <f t="shared" si="5"/>
        <v>75450.088000000003</v>
      </c>
      <c r="J26" s="116">
        <v>1560</v>
      </c>
      <c r="K26" s="589">
        <f t="shared" si="6"/>
        <v>48.37</v>
      </c>
      <c r="L26" s="405">
        <v>0.3</v>
      </c>
      <c r="M26" s="555">
        <v>0.6</v>
      </c>
      <c r="O26" s="573">
        <v>52809</v>
      </c>
      <c r="P26" s="258">
        <v>60981</v>
      </c>
      <c r="Q26" s="258">
        <v>58544</v>
      </c>
      <c r="R26" s="258">
        <v>54931</v>
      </c>
      <c r="V26" s="441" t="s">
        <v>2274</v>
      </c>
      <c r="W26">
        <v>-2</v>
      </c>
      <c r="X26" s="146"/>
    </row>
    <row r="27" spans="1:24" x14ac:dyDescent="0.3">
      <c r="A27" s="416" t="s">
        <v>2275</v>
      </c>
      <c r="B27" s="407" t="s">
        <v>2018</v>
      </c>
      <c r="C27" s="404">
        <v>55690</v>
      </c>
      <c r="D27" s="404">
        <f t="shared" si="0"/>
        <v>0</v>
      </c>
      <c r="E27" s="404">
        <f t="shared" si="1"/>
        <v>55690</v>
      </c>
      <c r="F27" s="404">
        <f t="shared" si="2"/>
        <v>7603.5</v>
      </c>
      <c r="G27" s="408">
        <f t="shared" si="3"/>
        <v>278.45</v>
      </c>
      <c r="H27" s="404">
        <f t="shared" si="4"/>
        <v>13243.082</v>
      </c>
      <c r="I27" s="588">
        <f t="shared" si="5"/>
        <v>76815.031999999992</v>
      </c>
      <c r="J27" s="116">
        <v>1560</v>
      </c>
      <c r="K27" s="589">
        <f t="shared" si="6"/>
        <v>49.24</v>
      </c>
      <c r="L27" s="405">
        <v>0.3</v>
      </c>
      <c r="M27" s="555">
        <v>0.6</v>
      </c>
      <c r="O27" s="573">
        <v>53754.676500000001</v>
      </c>
      <c r="P27" s="258">
        <v>61927</v>
      </c>
      <c r="Q27" s="258">
        <v>59490</v>
      </c>
      <c r="R27" s="258">
        <v>55877</v>
      </c>
      <c r="V27" s="441"/>
      <c r="W27" s="755">
        <v>8</v>
      </c>
      <c r="X27" s="146"/>
    </row>
    <row r="28" spans="1:24" x14ac:dyDescent="0.3">
      <c r="A28" s="416" t="s">
        <v>2275</v>
      </c>
      <c r="B28" s="407" t="s">
        <v>2276</v>
      </c>
      <c r="C28" s="404">
        <v>58487</v>
      </c>
      <c r="D28" s="404">
        <f t="shared" si="0"/>
        <v>0</v>
      </c>
      <c r="E28" s="404">
        <f t="shared" si="1"/>
        <v>58487</v>
      </c>
      <c r="F28" s="404">
        <f t="shared" si="2"/>
        <v>8023.0499999999993</v>
      </c>
      <c r="G28" s="408">
        <f t="shared" si="3"/>
        <v>292.435</v>
      </c>
      <c r="H28" s="404">
        <f t="shared" si="4"/>
        <v>13908.2086</v>
      </c>
      <c r="I28" s="588">
        <f t="shared" si="5"/>
        <v>80710.693599999999</v>
      </c>
      <c r="J28" s="116">
        <v>1560</v>
      </c>
      <c r="K28" s="589">
        <f t="shared" si="6"/>
        <v>51.74</v>
      </c>
      <c r="L28" s="405">
        <v>0.3</v>
      </c>
      <c r="M28" s="555">
        <v>0.6</v>
      </c>
      <c r="O28" s="573">
        <v>56454</v>
      </c>
      <c r="P28" s="258">
        <v>64626</v>
      </c>
      <c r="Q28" s="258">
        <v>62189</v>
      </c>
      <c r="R28" s="258">
        <v>58576</v>
      </c>
      <c r="V28" s="441" t="s">
        <v>2277</v>
      </c>
      <c r="W28" s="314">
        <f>W27*4*W23</f>
        <v>1376</v>
      </c>
      <c r="X28" s="146"/>
    </row>
    <row r="29" spans="1:24" x14ac:dyDescent="0.3">
      <c r="A29" s="416" t="s">
        <v>2275</v>
      </c>
      <c r="B29" s="407" t="s">
        <v>2278</v>
      </c>
      <c r="C29" s="404">
        <v>62682</v>
      </c>
      <c r="D29" s="404">
        <f t="shared" si="0"/>
        <v>0</v>
      </c>
      <c r="E29" s="404">
        <f t="shared" si="1"/>
        <v>62682</v>
      </c>
      <c r="F29" s="404">
        <f t="shared" si="2"/>
        <v>8652.2999999999993</v>
      </c>
      <c r="G29" s="408">
        <f t="shared" si="3"/>
        <v>313.41000000000003</v>
      </c>
      <c r="H29" s="404">
        <f t="shared" si="4"/>
        <v>14905.7796</v>
      </c>
      <c r="I29" s="588">
        <f t="shared" si="5"/>
        <v>86553.489600000001</v>
      </c>
      <c r="J29" s="116">
        <v>1560</v>
      </c>
      <c r="K29" s="589">
        <f t="shared" si="6"/>
        <v>55.48</v>
      </c>
      <c r="L29" s="405">
        <v>0.3</v>
      </c>
      <c r="M29" s="555">
        <v>0.6</v>
      </c>
      <c r="O29" s="573">
        <v>60504</v>
      </c>
      <c r="P29" s="258">
        <v>68676</v>
      </c>
      <c r="Q29" s="258">
        <v>66239</v>
      </c>
      <c r="R29" s="258">
        <v>62626</v>
      </c>
      <c r="V29" s="147"/>
      <c r="X29" s="146"/>
    </row>
    <row r="30" spans="1:24" x14ac:dyDescent="0.3">
      <c r="A30" s="416" t="s">
        <v>2279</v>
      </c>
      <c r="B30" s="407" t="s">
        <v>2280</v>
      </c>
      <c r="C30" s="404">
        <v>64455</v>
      </c>
      <c r="D30" s="404">
        <f t="shared" si="0"/>
        <v>0</v>
      </c>
      <c r="E30" s="404">
        <f t="shared" si="1"/>
        <v>64455</v>
      </c>
      <c r="F30" s="404">
        <f t="shared" si="2"/>
        <v>8918.25</v>
      </c>
      <c r="G30" s="408">
        <f t="shared" si="3"/>
        <v>322.27500000000003</v>
      </c>
      <c r="H30" s="404">
        <f t="shared" si="4"/>
        <v>15327.399000000001</v>
      </c>
      <c r="I30" s="588">
        <f t="shared" si="5"/>
        <v>89022.923999999999</v>
      </c>
      <c r="J30" s="116">
        <v>1560</v>
      </c>
      <c r="K30" s="589">
        <f t="shared" si="6"/>
        <v>57.07</v>
      </c>
      <c r="L30" s="405">
        <v>0.3</v>
      </c>
      <c r="M30" s="555">
        <v>0.6</v>
      </c>
      <c r="O30" s="573">
        <v>62215</v>
      </c>
      <c r="P30" s="258">
        <v>70387</v>
      </c>
      <c r="Q30" s="258">
        <v>67950</v>
      </c>
      <c r="R30" s="258">
        <v>64337</v>
      </c>
      <c r="V30" s="441"/>
      <c r="X30" s="146"/>
    </row>
    <row r="31" spans="1:24" x14ac:dyDescent="0.3">
      <c r="A31" s="416" t="s">
        <v>2279</v>
      </c>
      <c r="B31" s="407" t="s">
        <v>2281</v>
      </c>
      <c r="C31" s="404">
        <v>68631</v>
      </c>
      <c r="D31" s="404">
        <f t="shared" si="0"/>
        <v>0</v>
      </c>
      <c r="E31" s="404">
        <f t="shared" si="1"/>
        <v>68631</v>
      </c>
      <c r="F31" s="404">
        <f t="shared" si="2"/>
        <v>9544.65</v>
      </c>
      <c r="G31" s="408">
        <f t="shared" si="3"/>
        <v>343.15500000000003</v>
      </c>
      <c r="H31" s="404">
        <f t="shared" si="4"/>
        <v>16320.451800000001</v>
      </c>
      <c r="I31" s="588">
        <f t="shared" si="5"/>
        <v>94839.256799999988</v>
      </c>
      <c r="J31" s="116">
        <v>1560</v>
      </c>
      <c r="K31" s="589">
        <f t="shared" si="6"/>
        <v>60.79</v>
      </c>
      <c r="L31" s="405">
        <v>0.3</v>
      </c>
      <c r="M31" s="555">
        <v>0.6</v>
      </c>
      <c r="O31" s="573">
        <v>66246</v>
      </c>
      <c r="P31" s="258">
        <v>74418</v>
      </c>
      <c r="Q31" s="258">
        <v>71981</v>
      </c>
      <c r="R31" s="258">
        <v>68368</v>
      </c>
      <c r="V31" s="440" t="s">
        <v>2282</v>
      </c>
      <c r="X31" s="146"/>
    </row>
    <row r="32" spans="1:24" x14ac:dyDescent="0.3">
      <c r="A32" s="416" t="s">
        <v>2279</v>
      </c>
      <c r="B32" s="407" t="s">
        <v>2283</v>
      </c>
      <c r="C32" s="404">
        <v>74896</v>
      </c>
      <c r="D32" s="404">
        <f t="shared" si="0"/>
        <v>0</v>
      </c>
      <c r="E32" s="404">
        <f t="shared" si="1"/>
        <v>74896</v>
      </c>
      <c r="F32" s="404">
        <f t="shared" si="2"/>
        <v>10484.4</v>
      </c>
      <c r="G32" s="408">
        <f t="shared" si="3"/>
        <v>374.48</v>
      </c>
      <c r="H32" s="404">
        <f t="shared" si="4"/>
        <v>17810.268800000002</v>
      </c>
      <c r="I32" s="588">
        <f t="shared" si="5"/>
        <v>103565.1488</v>
      </c>
      <c r="J32" s="116">
        <v>1560</v>
      </c>
      <c r="K32" s="589">
        <f t="shared" si="6"/>
        <v>66.39</v>
      </c>
      <c r="L32" s="405">
        <v>0.3</v>
      </c>
      <c r="M32" s="555">
        <v>0.6</v>
      </c>
      <c r="O32" s="573">
        <v>72293</v>
      </c>
      <c r="P32" s="258">
        <v>80465</v>
      </c>
      <c r="Q32" s="258">
        <v>78028</v>
      </c>
      <c r="R32" s="258">
        <v>74415</v>
      </c>
      <c r="V32" s="441" t="s">
        <v>2284</v>
      </c>
      <c r="W32">
        <v>44.7</v>
      </c>
      <c r="X32" s="146"/>
    </row>
    <row r="33" spans="1:24" x14ac:dyDescent="0.3">
      <c r="A33" s="416" t="s">
        <v>2285</v>
      </c>
      <c r="B33" s="407" t="s">
        <v>2286</v>
      </c>
      <c r="C33" s="404">
        <v>76965</v>
      </c>
      <c r="D33" s="404">
        <f t="shared" si="0"/>
        <v>0</v>
      </c>
      <c r="E33" s="404">
        <f t="shared" si="1"/>
        <v>76965</v>
      </c>
      <c r="F33" s="404">
        <f t="shared" si="2"/>
        <v>10794.75</v>
      </c>
      <c r="G33" s="408">
        <f t="shared" si="3"/>
        <v>384.82499999999999</v>
      </c>
      <c r="H33" s="404">
        <f t="shared" si="4"/>
        <v>18302.277000000002</v>
      </c>
      <c r="I33" s="588">
        <f t="shared" si="5"/>
        <v>106446.852</v>
      </c>
      <c r="J33" s="116">
        <v>1560</v>
      </c>
      <c r="K33" s="589">
        <f t="shared" si="6"/>
        <v>68.239999999999995</v>
      </c>
      <c r="L33" s="405">
        <v>0.3</v>
      </c>
      <c r="M33" s="555">
        <v>0.6</v>
      </c>
      <c r="O33" s="573">
        <v>74290</v>
      </c>
      <c r="P33" s="258">
        <v>82462</v>
      </c>
      <c r="Q33" s="258">
        <v>80025</v>
      </c>
      <c r="R33" s="258">
        <v>76412</v>
      </c>
      <c r="V33" s="441" t="s">
        <v>2287</v>
      </c>
      <c r="W33">
        <v>48</v>
      </c>
      <c r="X33" s="146"/>
    </row>
    <row r="34" spans="1:24" x14ac:dyDescent="0.3">
      <c r="A34" s="416" t="s">
        <v>2285</v>
      </c>
      <c r="B34" s="407" t="s">
        <v>2288</v>
      </c>
      <c r="C34" s="404">
        <v>81652</v>
      </c>
      <c r="D34" s="404">
        <f t="shared" si="0"/>
        <v>0</v>
      </c>
      <c r="E34" s="404">
        <f t="shared" si="1"/>
        <v>81652</v>
      </c>
      <c r="F34" s="404">
        <f t="shared" si="2"/>
        <v>11497.8</v>
      </c>
      <c r="G34" s="408">
        <f t="shared" si="3"/>
        <v>408.26</v>
      </c>
      <c r="H34" s="404">
        <f t="shared" si="4"/>
        <v>19416.845600000001</v>
      </c>
      <c r="I34" s="588">
        <f t="shared" si="5"/>
        <v>112974.9056</v>
      </c>
      <c r="J34" s="116">
        <v>1560</v>
      </c>
      <c r="K34" s="589">
        <f t="shared" si="6"/>
        <v>72.42</v>
      </c>
      <c r="L34" s="405">
        <v>0.3</v>
      </c>
      <c r="M34" s="555">
        <v>0.6</v>
      </c>
      <c r="O34" s="573">
        <v>78814</v>
      </c>
      <c r="P34" s="258">
        <v>86986</v>
      </c>
      <c r="Q34" s="258">
        <v>84549</v>
      </c>
      <c r="R34" s="258">
        <v>80936</v>
      </c>
      <c r="V34" s="441" t="s">
        <v>2289</v>
      </c>
      <c r="W34">
        <v>2145.6</v>
      </c>
      <c r="X34" s="146"/>
    </row>
    <row r="35" spans="1:24" x14ac:dyDescent="0.3">
      <c r="A35" s="416" t="s">
        <v>2285</v>
      </c>
      <c r="B35" s="407" t="s">
        <v>2290</v>
      </c>
      <c r="C35" s="404">
        <v>88682</v>
      </c>
      <c r="D35" s="404">
        <f t="shared" si="0"/>
        <v>0</v>
      </c>
      <c r="E35" s="404">
        <f t="shared" si="1"/>
        <v>88682</v>
      </c>
      <c r="F35" s="404">
        <f t="shared" si="2"/>
        <v>12552.3</v>
      </c>
      <c r="G35" s="408">
        <f t="shared" si="3"/>
        <v>443.41</v>
      </c>
      <c r="H35" s="404">
        <f t="shared" si="4"/>
        <v>21088.579600000001</v>
      </c>
      <c r="I35" s="588">
        <f t="shared" si="5"/>
        <v>122766.2896</v>
      </c>
      <c r="J35" s="116">
        <v>1560</v>
      </c>
      <c r="K35" s="589">
        <f t="shared" si="6"/>
        <v>78.7</v>
      </c>
      <c r="L35" s="405">
        <v>0.3</v>
      </c>
      <c r="M35" s="555">
        <v>0.6</v>
      </c>
      <c r="O35" s="573">
        <v>85601</v>
      </c>
      <c r="P35" s="258">
        <v>93773</v>
      </c>
      <c r="Q35" s="258">
        <v>91336</v>
      </c>
      <c r="R35" s="258">
        <v>87723</v>
      </c>
      <c r="V35" s="441" t="s">
        <v>2291</v>
      </c>
      <c r="W35" s="442">
        <v>0.6</v>
      </c>
      <c r="X35" s="146"/>
    </row>
    <row r="36" spans="1:24" x14ac:dyDescent="0.3">
      <c r="A36" s="416" t="s">
        <v>2292</v>
      </c>
      <c r="B36" s="407" t="s">
        <v>2293</v>
      </c>
      <c r="C36" s="404">
        <v>91342</v>
      </c>
      <c r="D36" s="404">
        <f t="shared" si="0"/>
        <v>0</v>
      </c>
      <c r="E36" s="404">
        <f t="shared" si="1"/>
        <v>91342</v>
      </c>
      <c r="F36" s="404">
        <f t="shared" si="2"/>
        <v>12951.3</v>
      </c>
      <c r="G36" s="408">
        <f t="shared" si="3"/>
        <v>456.71000000000004</v>
      </c>
      <c r="H36" s="404">
        <f t="shared" si="4"/>
        <v>21721.1276</v>
      </c>
      <c r="I36" s="588">
        <f t="shared" si="5"/>
        <v>126471.13760000002</v>
      </c>
      <c r="J36" s="116">
        <v>1560</v>
      </c>
      <c r="K36" s="589">
        <f t="shared" si="6"/>
        <v>81.069999999999993</v>
      </c>
      <c r="L36" s="405">
        <v>0.3</v>
      </c>
      <c r="M36" s="555">
        <v>0.6</v>
      </c>
      <c r="O36" s="573">
        <v>88168</v>
      </c>
      <c r="P36" s="258">
        <v>96340</v>
      </c>
      <c r="Q36" s="258">
        <v>93903</v>
      </c>
      <c r="R36" s="258">
        <v>90290</v>
      </c>
      <c r="V36" s="441" t="s">
        <v>2294</v>
      </c>
      <c r="W36" s="852">
        <f>ROUND(W35*W34,0)</f>
        <v>1287</v>
      </c>
      <c r="X36" s="146"/>
    </row>
    <row r="37" spans="1:24" x14ac:dyDescent="0.3">
      <c r="A37" s="416" t="s">
        <v>2292</v>
      </c>
      <c r="B37" s="407" t="s">
        <v>2295</v>
      </c>
      <c r="C37" s="404">
        <v>96941</v>
      </c>
      <c r="D37" s="404">
        <f t="shared" si="0"/>
        <v>0</v>
      </c>
      <c r="E37" s="404">
        <f t="shared" si="1"/>
        <v>96941</v>
      </c>
      <c r="F37" s="404">
        <f t="shared" si="2"/>
        <v>13791.15</v>
      </c>
      <c r="G37" s="408">
        <f t="shared" si="3"/>
        <v>484.70499999999998</v>
      </c>
      <c r="H37" s="404">
        <f t="shared" si="4"/>
        <v>23052.569800000001</v>
      </c>
      <c r="I37" s="588">
        <f t="shared" si="5"/>
        <v>134269.42480000001</v>
      </c>
      <c r="J37" s="116">
        <v>1560</v>
      </c>
      <c r="K37" s="589">
        <f t="shared" si="6"/>
        <v>86.07</v>
      </c>
      <c r="L37" s="405">
        <v>0.3</v>
      </c>
      <c r="M37" s="555">
        <v>0.6</v>
      </c>
      <c r="O37" s="573">
        <v>93572</v>
      </c>
      <c r="P37" s="258">
        <v>101744</v>
      </c>
      <c r="Q37" s="258">
        <v>99307</v>
      </c>
      <c r="R37" s="258">
        <v>95694</v>
      </c>
      <c r="V37" s="148"/>
      <c r="W37" s="149"/>
      <c r="X37" s="150"/>
    </row>
    <row r="38" spans="1:24" x14ac:dyDescent="0.3">
      <c r="A38" s="416" t="s">
        <v>2292</v>
      </c>
      <c r="B38" s="407" t="s">
        <v>2296</v>
      </c>
      <c r="C38" s="404">
        <v>105337</v>
      </c>
      <c r="D38" s="404">
        <f t="shared" si="0"/>
        <v>0</v>
      </c>
      <c r="E38" s="404">
        <f t="shared" si="1"/>
        <v>105337</v>
      </c>
      <c r="F38" s="404">
        <f t="shared" si="2"/>
        <v>15050.55</v>
      </c>
      <c r="G38" s="408">
        <f t="shared" si="3"/>
        <v>526.68500000000006</v>
      </c>
      <c r="H38" s="404">
        <f t="shared" si="4"/>
        <v>25049.138600000002</v>
      </c>
      <c r="I38" s="588">
        <f t="shared" si="5"/>
        <v>145963.37359999999</v>
      </c>
      <c r="J38" s="116">
        <v>1560</v>
      </c>
      <c r="K38" s="589">
        <f t="shared" si="6"/>
        <v>93.57</v>
      </c>
      <c r="L38" s="405">
        <v>0.3</v>
      </c>
      <c r="M38" s="555">
        <v>0.6</v>
      </c>
      <c r="O38" s="573">
        <v>101677</v>
      </c>
      <c r="P38" s="258">
        <v>109849</v>
      </c>
      <c r="Q38" s="258">
        <v>107412</v>
      </c>
      <c r="R38" s="258">
        <v>103799</v>
      </c>
    </row>
    <row r="39" spans="1:24" x14ac:dyDescent="0.3">
      <c r="A39" s="416">
        <v>9</v>
      </c>
      <c r="B39" s="407" t="s">
        <v>2297</v>
      </c>
      <c r="C39" s="404">
        <v>109179</v>
      </c>
      <c r="D39" s="404">
        <f t="shared" si="0"/>
        <v>0</v>
      </c>
      <c r="E39" s="404">
        <f t="shared" si="1"/>
        <v>109179</v>
      </c>
      <c r="F39" s="404">
        <f t="shared" si="2"/>
        <v>15626.849999999999</v>
      </c>
      <c r="G39" s="408">
        <f t="shared" si="3"/>
        <v>545.89499999999998</v>
      </c>
      <c r="H39" s="404">
        <f t="shared" si="4"/>
        <v>25962.766200000002</v>
      </c>
      <c r="I39" s="588">
        <f t="shared" si="5"/>
        <v>151314.51120000001</v>
      </c>
      <c r="J39" s="116">
        <v>1560</v>
      </c>
      <c r="K39" s="589">
        <f t="shared" si="6"/>
        <v>97</v>
      </c>
      <c r="L39" s="405">
        <v>0.3</v>
      </c>
      <c r="M39" s="555">
        <v>0.6</v>
      </c>
      <c r="O39" s="573">
        <v>105385</v>
      </c>
      <c r="P39" s="258">
        <v>113557</v>
      </c>
      <c r="Q39" s="258">
        <v>111120</v>
      </c>
      <c r="R39" s="258">
        <v>107507</v>
      </c>
    </row>
    <row r="40" spans="1:24" x14ac:dyDescent="0.3">
      <c r="A40" s="416">
        <v>9</v>
      </c>
      <c r="B40" s="407" t="s">
        <v>2298</v>
      </c>
      <c r="C40" s="404">
        <v>115763</v>
      </c>
      <c r="D40" s="404">
        <f t="shared" si="0"/>
        <v>0</v>
      </c>
      <c r="E40" s="404">
        <f t="shared" si="1"/>
        <v>115763</v>
      </c>
      <c r="F40" s="404">
        <f t="shared" si="2"/>
        <v>16614.45</v>
      </c>
      <c r="G40" s="408">
        <f t="shared" si="3"/>
        <v>578.81500000000005</v>
      </c>
      <c r="H40" s="404">
        <f t="shared" si="4"/>
        <v>27528.4414</v>
      </c>
      <c r="I40" s="588">
        <f t="shared" si="5"/>
        <v>160484.70640000002</v>
      </c>
      <c r="J40" s="116">
        <v>1560</v>
      </c>
      <c r="K40" s="589">
        <f t="shared" si="6"/>
        <v>102.87</v>
      </c>
      <c r="L40" s="405">
        <v>0.3</v>
      </c>
      <c r="M40" s="555">
        <v>0.6</v>
      </c>
      <c r="O40" s="573">
        <v>111740</v>
      </c>
      <c r="P40" s="258">
        <v>119912</v>
      </c>
      <c r="Q40" s="258">
        <v>117475</v>
      </c>
      <c r="R40" s="258">
        <v>113862</v>
      </c>
    </row>
    <row r="41" spans="1:24" x14ac:dyDescent="0.3">
      <c r="A41" s="416">
        <v>9</v>
      </c>
      <c r="B41" s="407" t="s">
        <v>2299</v>
      </c>
      <c r="C41" s="404">
        <v>125637</v>
      </c>
      <c r="D41" s="404">
        <f t="shared" si="0"/>
        <v>0</v>
      </c>
      <c r="E41" s="404">
        <f t="shared" si="1"/>
        <v>125637</v>
      </c>
      <c r="F41" s="404">
        <f t="shared" si="2"/>
        <v>18095.55</v>
      </c>
      <c r="G41" s="408">
        <f t="shared" si="3"/>
        <v>628.18500000000006</v>
      </c>
      <c r="H41" s="404">
        <f t="shared" si="4"/>
        <v>29876.478600000002</v>
      </c>
      <c r="I41" s="588">
        <f t="shared" si="5"/>
        <v>174237.21359999999</v>
      </c>
      <c r="J41" s="116">
        <v>1560</v>
      </c>
      <c r="K41" s="589">
        <f t="shared" si="6"/>
        <v>111.69</v>
      </c>
      <c r="L41" s="405">
        <v>0.3</v>
      </c>
      <c r="M41" s="555">
        <v>0.6</v>
      </c>
      <c r="O41" s="573">
        <v>121271</v>
      </c>
      <c r="P41" s="258">
        <v>129443</v>
      </c>
      <c r="Q41" s="258">
        <v>127006</v>
      </c>
      <c r="R41" s="258">
        <v>123393</v>
      </c>
    </row>
    <row r="42" spans="1:24" x14ac:dyDescent="0.3">
      <c r="A42" s="416" t="s">
        <v>2282</v>
      </c>
      <c r="B42" s="137" t="s">
        <v>2300</v>
      </c>
      <c r="C42" s="404">
        <v>76037.52</v>
      </c>
      <c r="D42" s="404">
        <f t="shared" si="0"/>
        <v>0</v>
      </c>
      <c r="E42" s="404">
        <f t="shared" si="1"/>
        <v>76037.52</v>
      </c>
      <c r="F42" s="404">
        <f t="shared" si="2"/>
        <v>10655.628000000001</v>
      </c>
      <c r="G42" s="408">
        <f t="shared" si="3"/>
        <v>380.18760000000003</v>
      </c>
      <c r="H42" s="404">
        <f>C42*0.2068</f>
        <v>15724.559136000002</v>
      </c>
      <c r="I42" s="588">
        <f t="shared" si="5"/>
        <v>102797.894736</v>
      </c>
      <c r="J42" s="116">
        <f>W36</f>
        <v>1287</v>
      </c>
      <c r="K42" s="589">
        <f t="shared" si="6"/>
        <v>79.87</v>
      </c>
      <c r="L42" s="406">
        <v>0</v>
      </c>
      <c r="M42" s="556">
        <v>0</v>
      </c>
    </row>
    <row r="43" spans="1:24" x14ac:dyDescent="0.3">
      <c r="A43" s="416" t="s">
        <v>2282</v>
      </c>
      <c r="B43" s="137" t="s">
        <v>2301</v>
      </c>
      <c r="C43" s="404">
        <v>95390.36</v>
      </c>
      <c r="D43" s="404">
        <f t="shared" si="0"/>
        <v>0</v>
      </c>
      <c r="E43" s="404">
        <f t="shared" si="1"/>
        <v>95390.36</v>
      </c>
      <c r="F43" s="404">
        <f t="shared" si="2"/>
        <v>13558.554</v>
      </c>
      <c r="G43" s="408">
        <f t="shared" si="3"/>
        <v>476.95179999999999</v>
      </c>
      <c r="H43" s="404">
        <f>C43*0.2068</f>
        <v>19726.726448000001</v>
      </c>
      <c r="I43" s="588">
        <f t="shared" si="5"/>
        <v>129152.592248</v>
      </c>
      <c r="J43" s="116">
        <f>W36</f>
        <v>1287</v>
      </c>
      <c r="K43" s="589">
        <f t="shared" si="6"/>
        <v>100.35</v>
      </c>
      <c r="L43" s="406">
        <v>0</v>
      </c>
      <c r="M43" s="556">
        <v>0</v>
      </c>
    </row>
    <row r="44" spans="1:24" x14ac:dyDescent="0.3">
      <c r="A44" s="592" t="s">
        <v>2282</v>
      </c>
      <c r="B44" s="593" t="s">
        <v>2301</v>
      </c>
      <c r="C44" s="446">
        <v>114743.2</v>
      </c>
      <c r="D44" s="446">
        <f t="shared" si="0"/>
        <v>0</v>
      </c>
      <c r="E44" s="404">
        <f t="shared" si="1"/>
        <v>114743.2</v>
      </c>
      <c r="F44" s="404">
        <f t="shared" si="2"/>
        <v>16461.48</v>
      </c>
      <c r="G44" s="408">
        <f t="shared" si="3"/>
        <v>573.71600000000001</v>
      </c>
      <c r="H44" s="446">
        <f>C44*0.2068</f>
        <v>23728.893759999999</v>
      </c>
      <c r="I44" s="588">
        <f t="shared" si="5"/>
        <v>155507.28975999999</v>
      </c>
      <c r="J44" s="116">
        <f>W36</f>
        <v>1287</v>
      </c>
      <c r="K44" s="589">
        <f t="shared" si="6"/>
        <v>120.83</v>
      </c>
      <c r="L44" s="406">
        <v>0</v>
      </c>
      <c r="M44" s="556">
        <v>0</v>
      </c>
    </row>
    <row r="45" spans="1:24" x14ac:dyDescent="0.3">
      <c r="A45" s="416" t="s">
        <v>2268</v>
      </c>
      <c r="B45" s="137" t="s">
        <v>2302</v>
      </c>
      <c r="C45" s="404">
        <v>109724.16</v>
      </c>
      <c r="D45" s="404">
        <f t="shared" si="0"/>
        <v>0</v>
      </c>
      <c r="E45" s="404">
        <f t="shared" si="1"/>
        <v>109724.16</v>
      </c>
      <c r="F45" s="404">
        <f t="shared" si="2"/>
        <v>15708.624</v>
      </c>
      <c r="G45" s="408">
        <f t="shared" si="3"/>
        <v>548.62080000000003</v>
      </c>
      <c r="H45" s="404">
        <f t="shared" si="4"/>
        <v>26092.405248000003</v>
      </c>
      <c r="I45" s="588">
        <f t="shared" si="5"/>
        <v>152073.81004800001</v>
      </c>
      <c r="J45" s="116">
        <v>1376</v>
      </c>
      <c r="K45" s="589">
        <f t="shared" si="6"/>
        <v>110.52</v>
      </c>
      <c r="L45" s="406">
        <v>0</v>
      </c>
      <c r="M45" s="556">
        <v>0</v>
      </c>
    </row>
    <row r="46" spans="1:24" x14ac:dyDescent="0.3">
      <c r="A46" s="416" t="s">
        <v>2268</v>
      </c>
      <c r="B46" s="137" t="s">
        <v>2008</v>
      </c>
      <c r="C46" s="404">
        <v>126431.136</v>
      </c>
      <c r="D46" s="404">
        <f t="shared" si="0"/>
        <v>0</v>
      </c>
      <c r="E46" s="404">
        <f t="shared" si="1"/>
        <v>126431.136</v>
      </c>
      <c r="F46" s="404">
        <f t="shared" si="2"/>
        <v>18214.670399999999</v>
      </c>
      <c r="G46" s="408">
        <f t="shared" si="3"/>
        <v>632.15567999999996</v>
      </c>
      <c r="H46" s="404">
        <f t="shared" si="4"/>
        <v>30065.324140799999</v>
      </c>
      <c r="I46" s="588">
        <f t="shared" si="5"/>
        <v>175343.28622079999</v>
      </c>
      <c r="J46" s="116">
        <v>1376</v>
      </c>
      <c r="K46" s="589">
        <f t="shared" si="6"/>
        <v>127.43</v>
      </c>
      <c r="L46" s="406">
        <v>0</v>
      </c>
      <c r="M46" s="556">
        <v>0</v>
      </c>
    </row>
    <row r="47" spans="1:24" ht="15" thickBot="1" x14ac:dyDescent="0.35">
      <c r="A47" s="417" t="s">
        <v>2268</v>
      </c>
      <c r="B47" s="409" t="s">
        <v>2303</v>
      </c>
      <c r="C47" s="410">
        <v>145477.28</v>
      </c>
      <c r="D47" s="410">
        <f t="shared" si="0"/>
        <v>0</v>
      </c>
      <c r="E47" s="410">
        <f t="shared" si="1"/>
        <v>145477.28</v>
      </c>
      <c r="F47" s="410">
        <f t="shared" si="2"/>
        <v>21071.592000000001</v>
      </c>
      <c r="G47" s="594">
        <f t="shared" si="3"/>
        <v>727.38639999999998</v>
      </c>
      <c r="H47" s="410">
        <f t="shared" si="4"/>
        <v>34594.497184</v>
      </c>
      <c r="I47" s="411">
        <f t="shared" si="5"/>
        <v>201870.755584</v>
      </c>
      <c r="J47" s="600">
        <v>1376</v>
      </c>
      <c r="K47" s="557">
        <f t="shared" si="6"/>
        <v>146.71</v>
      </c>
      <c r="L47" s="558">
        <v>0</v>
      </c>
      <c r="M47" s="559">
        <v>0</v>
      </c>
    </row>
    <row r="96" ht="23.55" customHeight="1" x14ac:dyDescent="0.3"/>
    <row r="97" ht="55.5" customHeight="1" x14ac:dyDescent="0.3"/>
    <row r="98" ht="23.55" customHeight="1" x14ac:dyDescent="0.3"/>
    <row r="99" ht="23.55" customHeight="1" x14ac:dyDescent="0.3"/>
    <row r="100" ht="23.55" customHeight="1" x14ac:dyDescent="0.3"/>
    <row r="101" ht="23.55" customHeight="1" x14ac:dyDescent="0.3"/>
    <row r="102" ht="23.55" customHeight="1" x14ac:dyDescent="0.3"/>
  </sheetData>
  <sheetProtection algorithmName="SHA-512" hashValue="xRTWRtxNvBhZAxMPHlAP1GcyPdjr1DoQnW5xxnfyFdf9atMDCt8of98OHGpcFeZ48rQTQ47M68BWBZK3tpXKrA==" saltValue="S8zf9lIpJN3VnhVEf6lQSA=="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21875" defaultRowHeight="15" x14ac:dyDescent="0.25"/>
  <cols>
    <col min="1" max="1" width="28.77734375" style="606" customWidth="1"/>
    <col min="2" max="2" width="7.21875" style="674" customWidth="1"/>
    <col min="3" max="3" width="8.21875" style="606" customWidth="1"/>
    <col min="4" max="5" width="8.21875" style="676" customWidth="1"/>
    <col min="6" max="8" width="8.21875" style="674" customWidth="1"/>
    <col min="9" max="13" width="8.21875" style="606" customWidth="1"/>
    <col min="14" max="14" width="8.77734375" style="606" customWidth="1"/>
    <col min="15" max="24" width="8.21875" style="606" customWidth="1"/>
    <col min="25" max="25" width="12.21875" style="606" customWidth="1"/>
    <col min="26" max="43" width="8.21875" style="606" customWidth="1"/>
    <col min="44" max="16384" width="9.21875" style="606"/>
  </cols>
  <sheetData>
    <row r="1" spans="1:51" ht="30.6" customHeight="1" x14ac:dyDescent="0.25">
      <c r="A1" s="601" t="s">
        <v>1795</v>
      </c>
      <c r="B1" s="602"/>
      <c r="C1" s="602"/>
      <c r="D1" s="602"/>
      <c r="E1" s="602"/>
      <c r="F1" s="602"/>
      <c r="G1" s="602"/>
      <c r="H1" s="602"/>
      <c r="I1" s="602"/>
      <c r="J1" s="602"/>
      <c r="K1" s="602"/>
      <c r="L1" s="602"/>
      <c r="M1" s="602"/>
      <c r="N1" s="602"/>
      <c r="O1" s="603"/>
      <c r="P1" s="603"/>
      <c r="Q1" s="603"/>
      <c r="R1" s="603"/>
      <c r="S1" s="603"/>
      <c r="T1" s="603"/>
      <c r="U1" s="603"/>
      <c r="V1" s="603"/>
      <c r="W1" s="603"/>
      <c r="X1" s="603"/>
      <c r="Y1" s="603"/>
      <c r="Z1" s="603"/>
      <c r="AA1" s="603"/>
      <c r="AB1" s="603"/>
      <c r="AC1" s="603"/>
      <c r="AD1" s="603"/>
      <c r="AE1" s="603"/>
      <c r="AF1" s="603"/>
      <c r="AG1" s="604"/>
      <c r="AH1" s="604"/>
      <c r="AI1" s="604"/>
      <c r="AJ1" s="604"/>
      <c r="AK1" s="604"/>
      <c r="AL1" s="604"/>
      <c r="AM1" s="605"/>
      <c r="AN1" s="605"/>
      <c r="AO1" s="605"/>
      <c r="AP1" s="605"/>
      <c r="AQ1" s="605"/>
      <c r="AR1" s="605"/>
      <c r="AS1" s="605"/>
      <c r="AT1" s="605"/>
      <c r="AU1" s="605"/>
      <c r="AV1" s="605"/>
      <c r="AW1" s="605"/>
      <c r="AX1" s="605"/>
      <c r="AY1" s="605"/>
    </row>
    <row r="2" spans="1:51" ht="15.75" customHeight="1" x14ac:dyDescent="0.25">
      <c r="A2" s="607"/>
      <c r="B2" s="608"/>
      <c r="C2" s="495"/>
      <c r="D2" s="51"/>
      <c r="E2" s="1"/>
      <c r="F2" s="1"/>
      <c r="G2" s="1"/>
      <c r="H2" s="677" t="s">
        <v>0</v>
      </c>
      <c r="I2" s="678"/>
      <c r="J2" s="678"/>
      <c r="K2" s="678"/>
      <c r="L2" s="678"/>
      <c r="M2" s="609"/>
      <c r="N2" s="609"/>
      <c r="O2" s="609"/>
      <c r="P2" s="609"/>
      <c r="Q2" s="609"/>
      <c r="R2" s="609"/>
      <c r="S2" s="609"/>
      <c r="T2" s="609"/>
      <c r="U2" s="609"/>
      <c r="V2" s="609"/>
      <c r="W2" s="609"/>
      <c r="X2" s="609"/>
      <c r="Y2" s="609"/>
      <c r="Z2" s="609"/>
      <c r="AA2" s="609"/>
      <c r="AB2" s="609"/>
      <c r="AC2" s="604"/>
      <c r="AD2" s="604"/>
      <c r="AE2" s="604"/>
      <c r="AF2" s="604"/>
      <c r="AG2" s="604"/>
      <c r="AH2" s="604"/>
      <c r="AI2" s="604"/>
      <c r="AJ2" s="604"/>
      <c r="AK2" s="604"/>
      <c r="AL2" s="604"/>
      <c r="AM2" s="605"/>
      <c r="AN2" s="605"/>
      <c r="AO2" s="605"/>
      <c r="AP2" s="605"/>
      <c r="AQ2" s="605"/>
      <c r="AR2" s="605"/>
      <c r="AS2" s="605"/>
      <c r="AT2" s="605"/>
      <c r="AU2" s="605"/>
      <c r="AV2" s="605"/>
      <c r="AW2" s="605"/>
      <c r="AX2" s="605"/>
      <c r="AY2" s="605"/>
    </row>
    <row r="3" spans="1:51" x14ac:dyDescent="0.25">
      <c r="A3" s="610"/>
      <c r="B3" s="608"/>
      <c r="C3" s="611" t="s">
        <v>1796</v>
      </c>
      <c r="D3" s="611"/>
      <c r="E3" s="1"/>
      <c r="F3" s="1"/>
      <c r="G3" s="1"/>
      <c r="H3" s="609"/>
      <c r="I3" s="609"/>
      <c r="J3" s="609"/>
      <c r="K3" s="609"/>
      <c r="L3" s="609"/>
      <c r="M3" s="609"/>
      <c r="N3" s="609"/>
      <c r="O3" s="609"/>
      <c r="P3" s="609"/>
      <c r="Q3" s="612" t="s">
        <v>1797</v>
      </c>
      <c r="R3" s="609"/>
      <c r="S3" s="1"/>
      <c r="T3" s="1"/>
      <c r="U3" s="1"/>
      <c r="V3" s="1"/>
      <c r="W3" s="609"/>
      <c r="X3" s="609"/>
      <c r="Y3" s="609"/>
      <c r="Z3" s="609"/>
      <c r="AA3" s="609"/>
      <c r="AB3" s="609"/>
      <c r="AC3" s="604"/>
      <c r="AD3" s="604"/>
      <c r="AE3" s="604"/>
      <c r="AF3" s="604"/>
      <c r="AG3" s="604"/>
      <c r="AH3" s="604"/>
      <c r="AI3" s="604"/>
      <c r="AJ3" s="604"/>
      <c r="AK3" s="604"/>
      <c r="AL3" s="604"/>
      <c r="AM3" s="605"/>
      <c r="AN3" s="605"/>
      <c r="AO3" s="605"/>
      <c r="AP3" s="605"/>
      <c r="AQ3" s="605"/>
      <c r="AR3" s="605"/>
      <c r="AS3" s="605"/>
      <c r="AT3" s="605"/>
      <c r="AU3" s="605"/>
      <c r="AV3" s="605"/>
      <c r="AW3" s="605"/>
      <c r="AX3" s="605"/>
      <c r="AY3" s="605"/>
    </row>
    <row r="4" spans="1:51" x14ac:dyDescent="0.25">
      <c r="A4" s="610"/>
      <c r="B4" s="608"/>
      <c r="C4" s="495" t="s">
        <v>1798</v>
      </c>
      <c r="D4" s="51"/>
      <c r="E4" s="1"/>
      <c r="F4" s="1"/>
      <c r="G4" s="1"/>
      <c r="H4" s="609"/>
      <c r="I4" s="609"/>
      <c r="J4" s="609"/>
      <c r="K4" s="609"/>
      <c r="L4" s="609"/>
      <c r="M4" s="609"/>
      <c r="N4" s="609"/>
      <c r="O4" s="609"/>
      <c r="P4" s="609"/>
      <c r="Q4" s="613" t="s">
        <v>1799</v>
      </c>
      <c r="R4" s="609"/>
      <c r="S4" s="609"/>
      <c r="T4" s="609"/>
      <c r="U4" s="609"/>
      <c r="V4" s="609"/>
      <c r="W4" s="609"/>
      <c r="X4" s="609"/>
      <c r="Y4" s="609"/>
      <c r="Z4" s="609"/>
      <c r="AA4" s="609"/>
      <c r="AB4" s="609"/>
      <c r="AC4" s="604"/>
      <c r="AD4" s="604"/>
      <c r="AE4" s="604"/>
      <c r="AF4" s="604"/>
      <c r="AG4" s="604"/>
      <c r="AH4" s="604"/>
      <c r="AI4" s="604"/>
      <c r="AJ4" s="604"/>
      <c r="AK4" s="604"/>
      <c r="AL4" s="604"/>
      <c r="AM4" s="605"/>
      <c r="AN4" s="604"/>
      <c r="AO4" s="604"/>
      <c r="AP4" s="605"/>
      <c r="AQ4" s="605"/>
      <c r="AR4" s="605"/>
      <c r="AS4" s="605"/>
      <c r="AT4" s="605"/>
      <c r="AU4" s="605"/>
      <c r="AV4" s="605"/>
      <c r="AW4" s="605"/>
      <c r="AX4" s="605"/>
      <c r="AY4" s="605"/>
    </row>
    <row r="5" spans="1:51" ht="15.6" thickBot="1" x14ac:dyDescent="0.3">
      <c r="A5" s="614"/>
      <c r="B5" s="615"/>
      <c r="C5" s="1"/>
      <c r="D5" s="1"/>
      <c r="E5" s="1"/>
      <c r="F5" s="1"/>
      <c r="G5" s="1"/>
      <c r="H5" s="609"/>
      <c r="I5" s="609"/>
      <c r="J5" s="609"/>
      <c r="K5" s="609"/>
      <c r="L5" s="609"/>
      <c r="M5" s="609"/>
      <c r="N5" s="609"/>
      <c r="O5" s="609"/>
      <c r="P5" s="609"/>
      <c r="Q5" s="613" t="s">
        <v>1800</v>
      </c>
      <c r="R5" s="609"/>
      <c r="S5" s="609"/>
      <c r="T5" s="609"/>
      <c r="U5" s="609"/>
      <c r="V5" s="609"/>
      <c r="W5" s="609"/>
      <c r="X5" s="609"/>
      <c r="Y5" s="609"/>
      <c r="Z5" s="609"/>
      <c r="AA5" s="609"/>
      <c r="AB5" s="609"/>
      <c r="AC5" s="604"/>
      <c r="AD5" s="604"/>
      <c r="AE5" s="604"/>
      <c r="AF5" s="604"/>
      <c r="AG5" s="604"/>
      <c r="AH5" s="604"/>
      <c r="AI5" s="604"/>
      <c r="AJ5" s="604"/>
      <c r="AK5" s="604"/>
      <c r="AL5" s="604"/>
      <c r="AM5" s="605"/>
      <c r="AN5" s="605"/>
      <c r="AO5" s="605"/>
      <c r="AP5" s="605"/>
      <c r="AQ5" s="605"/>
      <c r="AR5" s="605"/>
      <c r="AS5" s="605"/>
      <c r="AT5" s="605"/>
      <c r="AU5" s="605"/>
      <c r="AV5" s="605"/>
      <c r="AW5" s="605"/>
      <c r="AX5" s="605"/>
      <c r="AY5" s="605"/>
    </row>
    <row r="6" spans="1:51" ht="15.6" x14ac:dyDescent="0.3">
      <c r="A6" s="614"/>
      <c r="B6" s="615"/>
      <c r="C6" s="616"/>
      <c r="D6" s="617"/>
      <c r="E6" s="617"/>
      <c r="F6" s="617"/>
      <c r="G6" s="617"/>
      <c r="H6" s="618" t="s">
        <v>1801</v>
      </c>
      <c r="I6" s="617"/>
      <c r="J6" s="617"/>
      <c r="K6" s="617"/>
      <c r="L6" s="617"/>
      <c r="M6" s="617"/>
      <c r="N6" s="619"/>
      <c r="O6" s="609"/>
      <c r="P6" s="609"/>
      <c r="Q6" s="613" t="s">
        <v>1802</v>
      </c>
      <c r="R6" s="609"/>
      <c r="S6" s="609"/>
      <c r="T6" s="609"/>
      <c r="U6" s="609"/>
      <c r="V6" s="609"/>
      <c r="W6" s="609"/>
      <c r="X6" s="609"/>
      <c r="Y6" s="609"/>
      <c r="Z6" s="609"/>
      <c r="AA6" s="609"/>
      <c r="AB6" s="609"/>
      <c r="AC6" s="604"/>
      <c r="AD6" s="604"/>
      <c r="AE6" s="604"/>
      <c r="AF6" s="604"/>
      <c r="AG6" s="604"/>
      <c r="AH6" s="604"/>
      <c r="AI6" s="604"/>
      <c r="AJ6" s="604"/>
      <c r="AK6" s="604"/>
      <c r="AL6" s="604"/>
      <c r="AM6" s="605"/>
      <c r="AN6" s="605"/>
      <c r="AO6" s="605"/>
      <c r="AP6" s="605"/>
      <c r="AQ6" s="605"/>
      <c r="AR6" s="605"/>
      <c r="AS6" s="605"/>
      <c r="AT6" s="605"/>
      <c r="AU6" s="605"/>
      <c r="AV6" s="605"/>
      <c r="AW6" s="605"/>
      <c r="AX6" s="605"/>
      <c r="AY6" s="605"/>
    </row>
    <row r="7" spans="1:51" s="625" customFormat="1" ht="15.6" thickBot="1" x14ac:dyDescent="0.3">
      <c r="A7" s="614"/>
      <c r="B7" s="615"/>
      <c r="C7" s="620" t="s">
        <v>1803</v>
      </c>
      <c r="D7" s="621">
        <v>2</v>
      </c>
      <c r="E7" s="622">
        <v>3</v>
      </c>
      <c r="F7" s="623">
        <v>4</v>
      </c>
      <c r="G7" s="623">
        <v>5</v>
      </c>
      <c r="H7" s="622">
        <v>6</v>
      </c>
      <c r="I7" s="623">
        <v>7</v>
      </c>
      <c r="J7" s="623">
        <v>8</v>
      </c>
      <c r="K7" s="622">
        <v>9</v>
      </c>
      <c r="L7" s="623">
        <v>10</v>
      </c>
      <c r="M7" s="623">
        <v>11</v>
      </c>
      <c r="N7" s="624">
        <v>12</v>
      </c>
      <c r="O7" s="609"/>
      <c r="P7" s="609"/>
      <c r="Q7" s="609"/>
      <c r="R7" s="609" t="s">
        <v>1804</v>
      </c>
      <c r="S7" s="1"/>
      <c r="T7" s="609"/>
      <c r="U7" s="609"/>
      <c r="V7" s="609"/>
      <c r="W7" s="609"/>
      <c r="X7" s="609"/>
      <c r="Y7" s="609"/>
      <c r="Z7" s="609"/>
      <c r="AA7" s="609"/>
      <c r="AB7" s="609"/>
      <c r="AC7" s="604"/>
      <c r="AD7" s="604"/>
      <c r="AE7" s="604"/>
      <c r="AF7" s="604"/>
      <c r="AG7" s="604"/>
      <c r="AH7" s="604"/>
      <c r="AI7" s="604"/>
      <c r="AJ7" s="604"/>
      <c r="AK7" s="604"/>
      <c r="AL7" s="604"/>
      <c r="AM7" s="605"/>
      <c r="AN7" s="605"/>
      <c r="AO7" s="605"/>
      <c r="AP7" s="605"/>
      <c r="AQ7" s="605"/>
      <c r="AR7" s="605"/>
      <c r="AS7" s="605"/>
      <c r="AT7" s="605"/>
      <c r="AU7" s="614"/>
      <c r="AV7" s="614"/>
      <c r="AW7" s="614"/>
      <c r="AX7" s="614"/>
      <c r="AY7" s="614"/>
    </row>
    <row r="8" spans="1:51" s="625" customFormat="1" x14ac:dyDescent="0.25">
      <c r="A8" s="614"/>
      <c r="B8" s="615"/>
      <c r="C8" s="626"/>
      <c r="D8" s="627"/>
      <c r="E8" s="628"/>
      <c r="F8" s="626"/>
      <c r="G8" s="627"/>
      <c r="H8" s="628"/>
      <c r="I8" s="629"/>
      <c r="J8" s="630"/>
      <c r="K8" s="631"/>
      <c r="L8" s="629"/>
      <c r="M8" s="630"/>
      <c r="N8" s="632">
        <v>90</v>
      </c>
      <c r="O8" s="609"/>
      <c r="P8" s="609"/>
      <c r="Q8" s="609"/>
      <c r="R8" s="609" t="s">
        <v>1805</v>
      </c>
      <c r="S8" s="1"/>
      <c r="T8" s="609"/>
      <c r="U8" s="609"/>
      <c r="V8" s="609"/>
      <c r="W8" s="609"/>
      <c r="X8" s="609"/>
      <c r="Y8" s="609"/>
      <c r="Z8" s="609"/>
      <c r="AA8" s="609"/>
      <c r="AB8" s="609"/>
      <c r="AC8" s="604"/>
      <c r="AD8" s="604"/>
      <c r="AE8" s="604"/>
      <c r="AF8" s="604"/>
      <c r="AG8" s="604"/>
      <c r="AH8" s="604"/>
      <c r="AI8" s="604"/>
      <c r="AJ8" s="604"/>
      <c r="AK8" s="604"/>
      <c r="AL8" s="604"/>
      <c r="AM8" s="605"/>
      <c r="AN8" s="605"/>
      <c r="AO8" s="605"/>
      <c r="AP8" s="605"/>
      <c r="AQ8" s="605"/>
      <c r="AR8" s="605"/>
      <c r="AS8" s="605"/>
      <c r="AT8" s="605"/>
      <c r="AU8" s="614"/>
      <c r="AV8" s="614"/>
      <c r="AW8" s="614"/>
      <c r="AX8" s="614"/>
      <c r="AY8" s="614"/>
    </row>
    <row r="9" spans="1:51" s="6" customFormat="1" ht="15.6" customHeight="1" x14ac:dyDescent="0.25">
      <c r="A9" s="614"/>
      <c r="B9" s="615"/>
      <c r="C9" s="633"/>
      <c r="D9" s="633"/>
      <c r="E9" s="633"/>
      <c r="F9" s="634"/>
      <c r="G9" s="634"/>
      <c r="H9" s="634"/>
      <c r="I9" s="635"/>
      <c r="J9" s="635"/>
      <c r="K9" s="635"/>
      <c r="L9" s="636"/>
      <c r="M9" s="637">
        <v>90</v>
      </c>
      <c r="N9" s="637">
        <v>90</v>
      </c>
      <c r="O9" s="609"/>
      <c r="P9" s="609"/>
      <c r="Q9" s="609"/>
      <c r="R9" s="609" t="s">
        <v>1806</v>
      </c>
      <c r="S9" s="1"/>
      <c r="T9" s="609"/>
      <c r="U9" s="609"/>
      <c r="V9" s="609"/>
      <c r="W9" s="609"/>
      <c r="X9" s="609"/>
      <c r="Y9" s="609"/>
      <c r="Z9" s="609"/>
      <c r="AA9" s="609"/>
      <c r="AB9" s="609"/>
      <c r="AC9" s="604"/>
      <c r="AD9" s="604"/>
      <c r="AE9" s="604"/>
      <c r="AF9" s="604"/>
      <c r="AG9" s="604"/>
      <c r="AH9" s="604"/>
      <c r="AI9" s="604"/>
      <c r="AJ9" s="604"/>
      <c r="AK9" s="604"/>
      <c r="AL9" s="604"/>
      <c r="AM9" s="605"/>
      <c r="AN9" s="605"/>
      <c r="AO9" s="605"/>
      <c r="AP9" s="605"/>
      <c r="AQ9" s="605"/>
      <c r="AR9" s="605"/>
      <c r="AS9" s="605"/>
      <c r="AT9" s="605"/>
      <c r="AU9" s="1"/>
      <c r="AV9" s="1"/>
      <c r="AW9" s="1"/>
      <c r="AX9" s="1"/>
      <c r="AY9" s="1"/>
    </row>
    <row r="10" spans="1:51" s="6" customFormat="1" ht="15.6" customHeight="1" x14ac:dyDescent="0.25">
      <c r="A10" s="614"/>
      <c r="B10" s="615"/>
      <c r="C10" s="633"/>
      <c r="D10" s="633"/>
      <c r="E10" s="633"/>
      <c r="F10" s="634"/>
      <c r="G10" s="634"/>
      <c r="H10" s="634"/>
      <c r="I10" s="635"/>
      <c r="J10" s="635"/>
      <c r="K10" s="635"/>
      <c r="L10" s="637">
        <v>90</v>
      </c>
      <c r="M10" s="637">
        <v>90</v>
      </c>
      <c r="N10" s="637">
        <v>90</v>
      </c>
      <c r="O10" s="609"/>
      <c r="P10" s="609"/>
      <c r="Q10" s="613" t="s">
        <v>1807</v>
      </c>
      <c r="R10" s="609"/>
      <c r="S10" s="609"/>
      <c r="T10" s="609"/>
      <c r="U10" s="609"/>
      <c r="V10" s="609"/>
      <c r="W10" s="609"/>
      <c r="X10" s="609"/>
      <c r="Y10" s="609"/>
      <c r="Z10" s="609"/>
      <c r="AA10" s="609"/>
      <c r="AB10" s="609"/>
      <c r="AC10" s="604"/>
      <c r="AD10" s="604"/>
      <c r="AE10" s="604"/>
      <c r="AF10" s="604"/>
      <c r="AG10" s="604"/>
      <c r="AH10" s="604"/>
      <c r="AI10" s="604"/>
      <c r="AJ10" s="604"/>
      <c r="AK10" s="604"/>
      <c r="AL10" s="604"/>
      <c r="AM10" s="605"/>
      <c r="AN10" s="605"/>
      <c r="AO10" s="605"/>
      <c r="AP10" s="605"/>
      <c r="AQ10" s="605"/>
      <c r="AR10" s="605"/>
      <c r="AS10" s="605"/>
      <c r="AT10" s="605"/>
      <c r="AU10" s="1"/>
      <c r="AV10" s="1"/>
      <c r="AW10" s="1"/>
      <c r="AX10" s="1"/>
      <c r="AY10" s="1"/>
    </row>
    <row r="11" spans="1:51" s="6" customFormat="1" ht="15.6" customHeight="1" x14ac:dyDescent="0.25">
      <c r="A11" s="614"/>
      <c r="B11" s="615"/>
      <c r="C11" s="633"/>
      <c r="D11" s="633"/>
      <c r="E11" s="633"/>
      <c r="F11" s="634"/>
      <c r="G11" s="634"/>
      <c r="H11" s="634"/>
      <c r="I11" s="635"/>
      <c r="J11" s="635"/>
      <c r="K11" s="637">
        <v>90</v>
      </c>
      <c r="L11" s="637">
        <v>90</v>
      </c>
      <c r="M11" s="637">
        <v>90</v>
      </c>
      <c r="N11" s="637">
        <v>90</v>
      </c>
      <c r="O11" s="609"/>
      <c r="P11" s="609"/>
      <c r="Q11" s="613" t="s">
        <v>1808</v>
      </c>
      <c r="R11" s="609"/>
      <c r="S11" s="609"/>
      <c r="T11" s="609"/>
      <c r="U11" s="609"/>
      <c r="V11" s="609"/>
      <c r="W11" s="609"/>
      <c r="X11" s="609"/>
      <c r="Y11" s="609"/>
      <c r="Z11" s="609"/>
      <c r="AA11" s="609"/>
      <c r="AB11" s="609"/>
      <c r="AC11" s="604"/>
      <c r="AD11" s="604"/>
      <c r="AE11" s="604"/>
      <c r="AF11" s="604"/>
      <c r="AG11" s="604"/>
      <c r="AH11" s="604"/>
      <c r="AI11" s="604"/>
      <c r="AJ11" s="604"/>
      <c r="AK11" s="604"/>
      <c r="AL11" s="604"/>
      <c r="AM11" s="605"/>
      <c r="AN11" s="605"/>
      <c r="AO11" s="605"/>
      <c r="AP11" s="605"/>
      <c r="AQ11" s="605"/>
      <c r="AR11" s="605"/>
      <c r="AS11" s="605"/>
      <c r="AT11" s="605"/>
      <c r="AU11" s="1"/>
      <c r="AV11" s="1"/>
      <c r="AW11" s="1"/>
      <c r="AX11" s="1"/>
      <c r="AY11" s="1"/>
    </row>
    <row r="12" spans="1:51" s="6" customFormat="1" ht="15.6" customHeight="1" x14ac:dyDescent="0.25">
      <c r="A12" s="614"/>
      <c r="B12" s="615"/>
      <c r="C12" s="638"/>
      <c r="D12" s="638"/>
      <c r="E12" s="638"/>
      <c r="F12" s="639"/>
      <c r="G12" s="639"/>
      <c r="H12" s="639"/>
      <c r="I12" s="640"/>
      <c r="J12" s="637">
        <v>90</v>
      </c>
      <c r="K12" s="637">
        <v>90</v>
      </c>
      <c r="L12" s="637">
        <v>90</v>
      </c>
      <c r="M12" s="637">
        <v>90</v>
      </c>
      <c r="N12" s="637">
        <v>90</v>
      </c>
      <c r="O12" s="609"/>
      <c r="P12" s="609"/>
      <c r="Q12" s="613" t="s">
        <v>1809</v>
      </c>
      <c r="R12" s="609"/>
      <c r="S12" s="609"/>
      <c r="T12" s="609"/>
      <c r="U12" s="609"/>
      <c r="V12" s="609"/>
      <c r="W12" s="609"/>
      <c r="X12" s="609"/>
      <c r="Y12" s="609"/>
      <c r="Z12" s="609"/>
      <c r="AA12" s="609"/>
      <c r="AB12" s="609"/>
      <c r="AC12" s="604"/>
      <c r="AD12" s="604"/>
      <c r="AE12" s="604"/>
      <c r="AF12" s="604"/>
      <c r="AG12" s="604"/>
      <c r="AH12" s="604"/>
      <c r="AI12" s="604"/>
      <c r="AJ12" s="604"/>
      <c r="AK12" s="604"/>
      <c r="AL12" s="604"/>
      <c r="AM12" s="605"/>
      <c r="AN12" s="605"/>
      <c r="AO12" s="605"/>
      <c r="AP12" s="605"/>
      <c r="AQ12" s="605"/>
      <c r="AR12" s="605"/>
      <c r="AS12" s="605"/>
      <c r="AT12" s="605"/>
      <c r="AU12" s="1"/>
      <c r="AV12" s="1"/>
      <c r="AW12" s="1"/>
      <c r="AX12" s="1"/>
      <c r="AY12" s="1"/>
    </row>
    <row r="13" spans="1:51" s="6" customFormat="1" ht="15.6" customHeight="1" x14ac:dyDescent="0.25">
      <c r="A13" s="614"/>
      <c r="B13" s="615"/>
      <c r="C13" s="641"/>
      <c r="D13" s="642"/>
      <c r="E13" s="643"/>
      <c r="F13" s="644"/>
      <c r="G13" s="642"/>
      <c r="H13" s="643"/>
      <c r="I13" s="637">
        <v>90</v>
      </c>
      <c r="J13" s="637">
        <v>90</v>
      </c>
      <c r="K13" s="637">
        <v>90</v>
      </c>
      <c r="L13" s="637">
        <v>90</v>
      </c>
      <c r="M13" s="637">
        <v>90</v>
      </c>
      <c r="N13" s="637">
        <v>90</v>
      </c>
      <c r="O13" s="609"/>
      <c r="P13" s="609"/>
      <c r="Q13" s="613" t="s">
        <v>1810</v>
      </c>
      <c r="R13" s="609"/>
      <c r="S13" s="609"/>
      <c r="T13" s="609"/>
      <c r="U13" s="609"/>
      <c r="V13" s="609"/>
      <c r="W13" s="609"/>
      <c r="X13" s="609"/>
      <c r="Y13" s="609"/>
      <c r="Z13" s="609"/>
      <c r="AA13" s="609"/>
      <c r="AB13" s="609"/>
      <c r="AC13" s="604"/>
      <c r="AD13" s="604"/>
      <c r="AE13" s="604"/>
      <c r="AF13" s="604"/>
      <c r="AG13" s="604"/>
      <c r="AH13" s="604"/>
      <c r="AI13" s="604"/>
      <c r="AJ13" s="604"/>
      <c r="AK13" s="604"/>
      <c r="AL13" s="604"/>
      <c r="AM13" s="605"/>
      <c r="AN13" s="605"/>
      <c r="AO13" s="605"/>
      <c r="AP13" s="605"/>
      <c r="AQ13" s="605"/>
      <c r="AR13" s="605"/>
      <c r="AS13" s="605"/>
      <c r="AT13" s="605"/>
      <c r="AU13" s="1"/>
      <c r="AV13" s="1"/>
      <c r="AW13" s="1"/>
      <c r="AX13" s="1"/>
      <c r="AY13" s="1"/>
    </row>
    <row r="14" spans="1:51" s="6" customFormat="1" ht="15.6" customHeight="1" x14ac:dyDescent="0.25">
      <c r="A14" s="614"/>
      <c r="B14" s="615"/>
      <c r="C14" s="635"/>
      <c r="D14" s="635"/>
      <c r="E14" s="635"/>
      <c r="F14" s="636"/>
      <c r="G14" s="636"/>
      <c r="H14" s="637">
        <v>90</v>
      </c>
      <c r="I14" s="637">
        <v>90</v>
      </c>
      <c r="J14" s="637">
        <v>90</v>
      </c>
      <c r="K14" s="637">
        <v>90</v>
      </c>
      <c r="L14" s="637">
        <v>90</v>
      </c>
      <c r="M14" s="637">
        <v>90</v>
      </c>
      <c r="N14" s="637">
        <v>90</v>
      </c>
      <c r="O14" s="609"/>
      <c r="P14" s="609"/>
      <c r="Q14" s="613" t="s">
        <v>1811</v>
      </c>
      <c r="R14" s="609"/>
      <c r="S14" s="609"/>
      <c r="T14" s="609"/>
      <c r="U14" s="609"/>
      <c r="V14" s="609"/>
      <c r="W14" s="609"/>
      <c r="X14" s="609"/>
      <c r="Y14" s="609"/>
      <c r="Z14" s="609"/>
      <c r="AA14" s="609"/>
      <c r="AB14" s="609"/>
      <c r="AC14" s="604"/>
      <c r="AD14" s="604"/>
      <c r="AE14" s="604"/>
      <c r="AF14" s="604"/>
      <c r="AG14" s="604"/>
      <c r="AH14" s="604"/>
      <c r="AI14" s="604"/>
      <c r="AJ14" s="604"/>
      <c r="AK14" s="604"/>
      <c r="AL14" s="604"/>
      <c r="AM14" s="605"/>
      <c r="AN14" s="605"/>
      <c r="AO14" s="605"/>
      <c r="AP14" s="605"/>
      <c r="AQ14" s="605"/>
      <c r="AR14" s="605"/>
      <c r="AS14" s="605"/>
      <c r="AT14" s="605"/>
      <c r="AU14" s="1"/>
      <c r="AV14" s="1"/>
      <c r="AW14" s="1"/>
      <c r="AX14" s="1"/>
      <c r="AY14" s="1"/>
    </row>
    <row r="15" spans="1:51" s="6" customFormat="1" ht="15.6" customHeight="1" x14ac:dyDescent="0.25">
      <c r="A15" s="614"/>
      <c r="B15" s="615"/>
      <c r="C15" s="635"/>
      <c r="D15" s="635"/>
      <c r="E15" s="635"/>
      <c r="F15" s="636"/>
      <c r="G15" s="637">
        <v>90</v>
      </c>
      <c r="H15" s="637">
        <v>90</v>
      </c>
      <c r="I15" s="637">
        <v>90</v>
      </c>
      <c r="J15" s="637">
        <v>90</v>
      </c>
      <c r="K15" s="637">
        <v>90</v>
      </c>
      <c r="L15" s="637">
        <v>90</v>
      </c>
      <c r="M15" s="637">
        <v>90</v>
      </c>
      <c r="N15" s="637">
        <v>90</v>
      </c>
      <c r="O15" s="609"/>
      <c r="P15" s="609"/>
      <c r="Q15" s="609"/>
      <c r="R15" s="609"/>
      <c r="S15" s="609"/>
      <c r="T15" s="609"/>
      <c r="U15" s="609"/>
      <c r="V15" s="609"/>
      <c r="W15" s="609"/>
      <c r="X15" s="609"/>
      <c r="Y15" s="609"/>
      <c r="Z15" s="609"/>
      <c r="AA15" s="609"/>
      <c r="AB15" s="609"/>
      <c r="AC15" s="604"/>
      <c r="AD15" s="604"/>
      <c r="AE15" s="604"/>
      <c r="AF15" s="604"/>
      <c r="AG15" s="604"/>
      <c r="AH15" s="604"/>
      <c r="AI15" s="604"/>
      <c r="AJ15" s="604"/>
      <c r="AK15" s="604"/>
      <c r="AL15" s="604"/>
      <c r="AM15" s="605"/>
      <c r="AN15" s="605"/>
      <c r="AO15" s="605"/>
      <c r="AP15" s="605"/>
      <c r="AQ15" s="605"/>
      <c r="AR15" s="605"/>
      <c r="AS15" s="605"/>
      <c r="AT15" s="605"/>
      <c r="AU15" s="1"/>
      <c r="AV15" s="1"/>
      <c r="AW15" s="1"/>
      <c r="AX15" s="1"/>
      <c r="AY15" s="1"/>
    </row>
    <row r="16" spans="1:51" s="6" customFormat="1" ht="15.6" customHeight="1" x14ac:dyDescent="0.25">
      <c r="A16" s="614"/>
      <c r="B16" s="615"/>
      <c r="C16" s="635"/>
      <c r="D16" s="635"/>
      <c r="E16" s="635"/>
      <c r="F16" s="637">
        <v>90</v>
      </c>
      <c r="G16" s="637">
        <v>90</v>
      </c>
      <c r="H16" s="637">
        <v>90</v>
      </c>
      <c r="I16" s="637">
        <v>90</v>
      </c>
      <c r="J16" s="637">
        <v>90</v>
      </c>
      <c r="K16" s="637">
        <v>90</v>
      </c>
      <c r="L16" s="637">
        <v>90</v>
      </c>
      <c r="M16" s="637">
        <v>90</v>
      </c>
      <c r="N16" s="637">
        <v>90</v>
      </c>
      <c r="O16" s="609"/>
      <c r="P16" s="609"/>
      <c r="Q16" s="609"/>
      <c r="R16" s="609"/>
      <c r="S16" s="609"/>
      <c r="T16" s="609"/>
      <c r="U16" s="609"/>
      <c r="V16" s="609"/>
      <c r="W16" s="612" t="s">
        <v>1812</v>
      </c>
      <c r="X16" s="609"/>
      <c r="Y16" s="609"/>
      <c r="Z16" s="609"/>
      <c r="AA16" s="609"/>
      <c r="AB16" s="609"/>
      <c r="AC16" s="604"/>
      <c r="AD16" s="604"/>
      <c r="AE16" s="604"/>
      <c r="AF16" s="604"/>
      <c r="AG16" s="604"/>
      <c r="AH16" s="604"/>
      <c r="AI16" s="604"/>
      <c r="AJ16" s="604"/>
      <c r="AK16" s="604"/>
      <c r="AL16" s="604"/>
      <c r="AM16" s="605"/>
      <c r="AN16" s="605"/>
      <c r="AO16" s="605"/>
      <c r="AP16" s="605"/>
      <c r="AQ16" s="605"/>
      <c r="AR16" s="605"/>
      <c r="AS16" s="605"/>
      <c r="AT16" s="605"/>
      <c r="AU16" s="1"/>
      <c r="AV16" s="1"/>
      <c r="AW16" s="1"/>
      <c r="AX16" s="1"/>
      <c r="AY16" s="1"/>
    </row>
    <row r="17" spans="1:51" s="6" customFormat="1" ht="15.6" customHeight="1" x14ac:dyDescent="0.25">
      <c r="A17" s="614"/>
      <c r="B17" s="615"/>
      <c r="C17" s="635"/>
      <c r="D17" s="635"/>
      <c r="E17" s="637">
        <v>90</v>
      </c>
      <c r="F17" s="637">
        <v>90</v>
      </c>
      <c r="G17" s="637">
        <v>90</v>
      </c>
      <c r="H17" s="637">
        <v>90</v>
      </c>
      <c r="I17" s="637">
        <v>90</v>
      </c>
      <c r="J17" s="637">
        <v>90</v>
      </c>
      <c r="K17" s="637">
        <v>90</v>
      </c>
      <c r="L17" s="637">
        <v>90</v>
      </c>
      <c r="M17" s="637">
        <v>90</v>
      </c>
      <c r="N17" s="637">
        <v>90</v>
      </c>
      <c r="O17" s="609"/>
      <c r="P17" s="609"/>
      <c r="Q17" s="609"/>
      <c r="R17" s="609"/>
      <c r="S17" s="609"/>
      <c r="T17" s="609"/>
      <c r="U17" s="609"/>
      <c r="V17" s="609"/>
      <c r="W17" s="645" t="s">
        <v>1813</v>
      </c>
      <c r="X17" s="645" t="s">
        <v>1814</v>
      </c>
      <c r="Y17" s="645" t="s">
        <v>1815</v>
      </c>
      <c r="Z17" s="609"/>
      <c r="AA17" s="609"/>
      <c r="AB17" s="609"/>
      <c r="AC17" s="604"/>
      <c r="AD17" s="604"/>
      <c r="AE17" s="604"/>
      <c r="AF17" s="604"/>
      <c r="AG17" s="604"/>
      <c r="AH17" s="604"/>
      <c r="AI17" s="604"/>
      <c r="AJ17" s="604"/>
      <c r="AK17" s="604"/>
      <c r="AL17" s="604"/>
      <c r="AM17" s="605"/>
      <c r="AN17" s="605"/>
      <c r="AO17" s="605"/>
      <c r="AP17" s="605"/>
      <c r="AQ17" s="605"/>
      <c r="AR17" s="605"/>
      <c r="AS17" s="605"/>
      <c r="AT17" s="605"/>
      <c r="AU17" s="1"/>
      <c r="AV17" s="1"/>
      <c r="AW17" s="1"/>
      <c r="AX17" s="1"/>
      <c r="AY17" s="1"/>
    </row>
    <row r="18" spans="1:51" s="625" customFormat="1" ht="15.6" customHeight="1" x14ac:dyDescent="0.25">
      <c r="A18" s="614"/>
      <c r="B18" s="615"/>
      <c r="C18" s="635"/>
      <c r="D18" s="637">
        <v>90</v>
      </c>
      <c r="E18" s="637">
        <v>90</v>
      </c>
      <c r="F18" s="637">
        <v>90</v>
      </c>
      <c r="G18" s="637">
        <v>90</v>
      </c>
      <c r="H18" s="637">
        <v>90</v>
      </c>
      <c r="I18" s="637">
        <v>90</v>
      </c>
      <c r="J18" s="637">
        <v>90</v>
      </c>
      <c r="K18" s="637">
        <v>90</v>
      </c>
      <c r="L18" s="637">
        <v>90</v>
      </c>
      <c r="M18" s="637">
        <v>90</v>
      </c>
      <c r="N18" s="637">
        <v>90</v>
      </c>
      <c r="O18" s="609"/>
      <c r="P18" s="609"/>
      <c r="Q18" s="609"/>
      <c r="R18" s="609"/>
      <c r="S18" s="609"/>
      <c r="T18" s="609"/>
      <c r="U18" s="609"/>
      <c r="V18" s="609"/>
      <c r="W18" s="646">
        <v>0.5</v>
      </c>
      <c r="X18" s="647">
        <v>9</v>
      </c>
      <c r="Y18" s="648">
        <f>X18/12*W18</f>
        <v>0.375</v>
      </c>
      <c r="Z18" s="609"/>
      <c r="AA18" s="609"/>
      <c r="AB18" s="609"/>
      <c r="AC18" s="604"/>
      <c r="AD18" s="604"/>
      <c r="AE18" s="604"/>
      <c r="AF18" s="604"/>
      <c r="AG18" s="604"/>
      <c r="AH18" s="604"/>
      <c r="AI18" s="604"/>
      <c r="AJ18" s="604"/>
      <c r="AK18" s="604"/>
      <c r="AL18" s="604"/>
      <c r="AM18" s="605"/>
      <c r="AN18" s="605"/>
      <c r="AO18" s="605"/>
      <c r="AP18" s="605"/>
      <c r="AQ18" s="605"/>
      <c r="AR18" s="605"/>
      <c r="AS18" s="605"/>
      <c r="AT18" s="605"/>
      <c r="AU18" s="614"/>
      <c r="AV18" s="614"/>
      <c r="AW18" s="614"/>
      <c r="AX18" s="614"/>
      <c r="AY18" s="614"/>
    </row>
    <row r="19" spans="1:51" s="649" customFormat="1" ht="15.6" customHeight="1" x14ac:dyDescent="0.25">
      <c r="A19" s="614"/>
      <c r="B19" s="615"/>
      <c r="C19" s="637">
        <v>90</v>
      </c>
      <c r="D19" s="637">
        <v>90</v>
      </c>
      <c r="E19" s="637">
        <v>90</v>
      </c>
      <c r="F19" s="637">
        <v>90</v>
      </c>
      <c r="G19" s="637">
        <v>90</v>
      </c>
      <c r="H19" s="637">
        <v>90</v>
      </c>
      <c r="I19" s="637">
        <v>90</v>
      </c>
      <c r="J19" s="637">
        <v>90</v>
      </c>
      <c r="K19" s="637">
        <v>90</v>
      </c>
      <c r="L19" s="637">
        <v>90</v>
      </c>
      <c r="M19" s="637">
        <v>90</v>
      </c>
      <c r="N19" s="637">
        <v>90</v>
      </c>
      <c r="O19" s="609"/>
      <c r="P19" s="609"/>
      <c r="Q19" s="609"/>
      <c r="R19" s="609"/>
      <c r="S19" s="609"/>
      <c r="T19" s="609"/>
      <c r="U19" s="609"/>
      <c r="V19" s="609"/>
      <c r="W19" s="646">
        <v>0.9</v>
      </c>
      <c r="X19" s="647">
        <v>3</v>
      </c>
      <c r="Y19" s="648">
        <f>X19/12*W19</f>
        <v>0.22500000000000001</v>
      </c>
      <c r="Z19" s="609"/>
      <c r="AA19" s="609"/>
      <c r="AB19" s="609"/>
      <c r="AC19" s="604"/>
      <c r="AD19" s="604"/>
      <c r="AE19" s="604"/>
      <c r="AF19" s="604"/>
      <c r="AG19" s="604"/>
      <c r="AH19" s="604"/>
      <c r="AI19" s="604"/>
      <c r="AJ19" s="604"/>
      <c r="AK19" s="604"/>
      <c r="AL19" s="604"/>
      <c r="AM19" s="605"/>
      <c r="AN19" s="605"/>
      <c r="AO19" s="605"/>
      <c r="AP19" s="605"/>
      <c r="AQ19" s="605"/>
      <c r="AR19" s="605"/>
      <c r="AS19" s="605"/>
      <c r="AT19" s="605"/>
      <c r="AU19" s="8"/>
      <c r="AV19" s="8"/>
      <c r="AW19" s="8"/>
      <c r="AX19" s="8"/>
      <c r="AY19" s="8"/>
    </row>
    <row r="20" spans="1:51" s="649" customFormat="1" x14ac:dyDescent="0.25">
      <c r="A20" s="614"/>
      <c r="B20" s="615"/>
      <c r="C20" s="615"/>
      <c r="D20" s="615"/>
      <c r="E20" s="615"/>
      <c r="F20" s="615"/>
      <c r="G20" s="615"/>
      <c r="H20" s="615"/>
      <c r="I20" s="615"/>
      <c r="J20" s="615"/>
      <c r="K20" s="615"/>
      <c r="L20" s="615"/>
      <c r="M20" s="615"/>
      <c r="N20" s="615"/>
      <c r="O20" s="615"/>
      <c r="P20" s="615"/>
      <c r="Q20" s="615"/>
      <c r="R20" s="609"/>
      <c r="S20" s="609"/>
      <c r="T20" s="609"/>
      <c r="U20" s="609"/>
      <c r="V20" s="609"/>
      <c r="W20" s="609"/>
      <c r="X20" s="609"/>
      <c r="Y20" s="841">
        <f>SUM(Y18:Y19)</f>
        <v>0.6</v>
      </c>
      <c r="Z20" s="609"/>
      <c r="AA20" s="609"/>
      <c r="AB20" s="609"/>
      <c r="AC20" s="604"/>
      <c r="AD20" s="604"/>
      <c r="AE20" s="604"/>
      <c r="AF20" s="604"/>
      <c r="AG20" s="604"/>
      <c r="AH20" s="604"/>
      <c r="AI20" s="604"/>
      <c r="AJ20" s="604"/>
      <c r="AK20" s="604"/>
      <c r="AL20" s="604"/>
      <c r="AM20" s="605"/>
      <c r="AN20" s="605"/>
      <c r="AO20" s="605"/>
      <c r="AP20" s="605"/>
      <c r="AQ20" s="605"/>
      <c r="AR20" s="605"/>
      <c r="AS20" s="605"/>
      <c r="AT20" s="605"/>
      <c r="AU20" s="8"/>
      <c r="AV20" s="8"/>
      <c r="AW20" s="8"/>
      <c r="AX20" s="8"/>
      <c r="AY20" s="8"/>
    </row>
    <row r="21" spans="1:51" s="649" customFormat="1" x14ac:dyDescent="0.25">
      <c r="A21" s="614" t="s">
        <v>1816</v>
      </c>
      <c r="B21" s="650">
        <v>1200</v>
      </c>
      <c r="C21" s="651">
        <f>$B$21/12</f>
        <v>100</v>
      </c>
      <c r="D21" s="651">
        <f t="shared" ref="D21:M21" si="0">$B$21/12</f>
        <v>100</v>
      </c>
      <c r="E21" s="651">
        <f t="shared" si="0"/>
        <v>100</v>
      </c>
      <c r="F21" s="651">
        <f t="shared" si="0"/>
        <v>100</v>
      </c>
      <c r="G21" s="651">
        <f t="shared" si="0"/>
        <v>100</v>
      </c>
      <c r="H21" s="651">
        <f t="shared" si="0"/>
        <v>100</v>
      </c>
      <c r="I21" s="651">
        <f t="shared" si="0"/>
        <v>100</v>
      </c>
      <c r="J21" s="651">
        <f t="shared" si="0"/>
        <v>100</v>
      </c>
      <c r="K21" s="651">
        <f t="shared" si="0"/>
        <v>100</v>
      </c>
      <c r="L21" s="651">
        <f t="shared" si="0"/>
        <v>100</v>
      </c>
      <c r="M21" s="651">
        <f t="shared" si="0"/>
        <v>100</v>
      </c>
      <c r="N21" s="651">
        <f>$B$21/12</f>
        <v>100</v>
      </c>
      <c r="O21" s="609"/>
      <c r="P21" s="609"/>
      <c r="Q21" s="609"/>
      <c r="R21" s="609"/>
      <c r="S21" s="609"/>
      <c r="T21" s="609"/>
      <c r="U21" s="609"/>
      <c r="V21" s="609"/>
      <c r="W21" s="609"/>
      <c r="X21" s="609"/>
      <c r="Y21" s="609"/>
      <c r="Z21" s="609"/>
      <c r="AA21" s="609"/>
      <c r="AB21" s="609"/>
      <c r="AC21" s="604"/>
      <c r="AD21" s="604"/>
      <c r="AE21" s="604"/>
      <c r="AF21" s="604"/>
      <c r="AG21" s="604"/>
      <c r="AH21" s="604"/>
      <c r="AI21" s="604"/>
      <c r="AJ21" s="604"/>
      <c r="AK21" s="604"/>
      <c r="AL21" s="604"/>
      <c r="AM21" s="605"/>
      <c r="AN21" s="605"/>
      <c r="AO21" s="605"/>
      <c r="AP21" s="605"/>
      <c r="AQ21" s="605"/>
      <c r="AR21" s="605"/>
      <c r="AS21" s="605"/>
      <c r="AT21" s="605"/>
      <c r="AU21" s="8"/>
      <c r="AV21" s="8"/>
      <c r="AW21" s="8"/>
      <c r="AX21" s="8"/>
      <c r="AY21" s="8"/>
    </row>
    <row r="22" spans="1:51" s="649" customFormat="1" x14ac:dyDescent="0.25">
      <c r="A22" s="614" t="s">
        <v>1817</v>
      </c>
      <c r="B22" s="652">
        <v>0.9</v>
      </c>
      <c r="C22" s="653"/>
      <c r="D22" s="653"/>
      <c r="E22" s="653"/>
      <c r="F22" s="653"/>
      <c r="G22" s="653"/>
      <c r="H22" s="653"/>
      <c r="I22" s="653"/>
      <c r="J22" s="653"/>
      <c r="K22" s="653"/>
      <c r="L22" s="653"/>
      <c r="M22" s="653"/>
      <c r="N22" s="653"/>
      <c r="O22" s="609"/>
      <c r="P22" s="609"/>
      <c r="Q22" s="609"/>
      <c r="R22" s="609"/>
      <c r="S22" s="609"/>
      <c r="T22" s="609"/>
      <c r="U22" s="609"/>
      <c r="V22" s="609"/>
      <c r="W22" s="609"/>
      <c r="X22" s="609"/>
      <c r="Y22" s="609"/>
      <c r="Z22" s="609"/>
      <c r="AA22" s="609"/>
      <c r="AB22" s="609"/>
      <c r="AC22" s="604"/>
      <c r="AD22" s="604"/>
      <c r="AE22" s="604"/>
      <c r="AF22" s="604"/>
      <c r="AG22" s="604"/>
      <c r="AH22" s="604"/>
      <c r="AI22" s="604"/>
      <c r="AJ22" s="604"/>
      <c r="AK22" s="604"/>
      <c r="AL22" s="604"/>
      <c r="AM22" s="605"/>
      <c r="AN22" s="605"/>
      <c r="AO22" s="605"/>
      <c r="AP22" s="605"/>
      <c r="AQ22" s="605"/>
      <c r="AR22" s="605"/>
      <c r="AS22" s="605"/>
      <c r="AT22" s="605"/>
      <c r="AU22" s="8"/>
      <c r="AV22" s="8"/>
      <c r="AW22" s="8"/>
      <c r="AX22" s="8"/>
      <c r="AY22" s="8"/>
    </row>
    <row r="23" spans="1:51" s="6" customFormat="1" ht="13.8" x14ac:dyDescent="0.25">
      <c r="A23" s="614" t="s">
        <v>1818</v>
      </c>
      <c r="B23" s="615"/>
      <c r="C23" s="654">
        <f>SUM(C8:C19)</f>
        <v>90</v>
      </c>
      <c r="D23" s="654">
        <f t="shared" ref="D23:N23" si="1">SUM(D8:D19)</f>
        <v>180</v>
      </c>
      <c r="E23" s="654">
        <f t="shared" si="1"/>
        <v>270</v>
      </c>
      <c r="F23" s="654">
        <f t="shared" si="1"/>
        <v>360</v>
      </c>
      <c r="G23" s="654">
        <f t="shared" si="1"/>
        <v>450</v>
      </c>
      <c r="H23" s="654">
        <f t="shared" si="1"/>
        <v>540</v>
      </c>
      <c r="I23" s="654">
        <f t="shared" si="1"/>
        <v>630</v>
      </c>
      <c r="J23" s="654">
        <f t="shared" si="1"/>
        <v>720</v>
      </c>
      <c r="K23" s="654">
        <f t="shared" si="1"/>
        <v>810</v>
      </c>
      <c r="L23" s="654">
        <f t="shared" si="1"/>
        <v>900</v>
      </c>
      <c r="M23" s="654">
        <f t="shared" si="1"/>
        <v>990</v>
      </c>
      <c r="N23" s="655">
        <f t="shared" si="1"/>
        <v>1080</v>
      </c>
      <c r="O23" s="656" t="s">
        <v>1819</v>
      </c>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1"/>
      <c r="AR23" s="1"/>
      <c r="AS23" s="1"/>
      <c r="AT23" s="1"/>
      <c r="AU23" s="1"/>
      <c r="AV23" s="1"/>
      <c r="AW23" s="1"/>
      <c r="AX23" s="1"/>
      <c r="AY23" s="1"/>
    </row>
    <row r="24" spans="1:51" x14ac:dyDescent="0.25">
      <c r="A24" s="614" t="s">
        <v>1820</v>
      </c>
      <c r="B24" s="615"/>
      <c r="C24" s="657">
        <f>C23/$B$21</f>
        <v>7.4999999999999997E-2</v>
      </c>
      <c r="D24" s="657">
        <f t="shared" ref="D24:N24" si="2">D23/$B$21</f>
        <v>0.15</v>
      </c>
      <c r="E24" s="657">
        <f t="shared" si="2"/>
        <v>0.22500000000000001</v>
      </c>
      <c r="F24" s="657">
        <f t="shared" si="2"/>
        <v>0.3</v>
      </c>
      <c r="G24" s="657">
        <f t="shared" si="2"/>
        <v>0.375</v>
      </c>
      <c r="H24" s="657">
        <f t="shared" si="2"/>
        <v>0.45</v>
      </c>
      <c r="I24" s="657">
        <f t="shared" si="2"/>
        <v>0.52500000000000002</v>
      </c>
      <c r="J24" s="657">
        <f t="shared" si="2"/>
        <v>0.6</v>
      </c>
      <c r="K24" s="657">
        <f t="shared" si="2"/>
        <v>0.67500000000000004</v>
      </c>
      <c r="L24" s="657">
        <f t="shared" si="2"/>
        <v>0.75</v>
      </c>
      <c r="M24" s="657">
        <f t="shared" si="2"/>
        <v>0.82499999999999996</v>
      </c>
      <c r="N24" s="657">
        <f t="shared" si="2"/>
        <v>0.9</v>
      </c>
      <c r="O24" s="656" t="s">
        <v>1821</v>
      </c>
      <c r="P24" s="609"/>
      <c r="Q24" s="609"/>
      <c r="R24" s="609"/>
      <c r="S24" s="609"/>
      <c r="T24" s="609"/>
      <c r="U24" s="609"/>
      <c r="V24" s="609"/>
      <c r="W24" s="609"/>
      <c r="X24" s="609"/>
      <c r="Y24" s="609"/>
      <c r="Z24" s="609"/>
      <c r="AA24" s="609"/>
      <c r="AB24" s="658"/>
      <c r="AC24" s="659"/>
      <c r="AD24" s="659"/>
      <c r="AE24" s="659"/>
      <c r="AF24" s="659"/>
      <c r="AG24" s="659"/>
      <c r="AH24" s="659"/>
      <c r="AI24" s="659"/>
      <c r="AJ24" s="659"/>
      <c r="AK24" s="659"/>
      <c r="AL24" s="659"/>
      <c r="AM24" s="659"/>
      <c r="AN24" s="659"/>
      <c r="AO24" s="659"/>
      <c r="AP24" s="659"/>
      <c r="AQ24" s="605"/>
      <c r="AR24" s="605"/>
      <c r="AS24" s="605"/>
      <c r="AT24" s="605"/>
      <c r="AU24" s="605"/>
      <c r="AV24" s="605"/>
      <c r="AW24" s="605"/>
      <c r="AX24" s="605"/>
      <c r="AY24" s="605"/>
    </row>
    <row r="25" spans="1:51" x14ac:dyDescent="0.25">
      <c r="A25" s="660"/>
      <c r="B25" s="615"/>
      <c r="C25" s="609"/>
      <c r="D25" s="661"/>
      <c r="E25" s="661"/>
      <c r="F25" s="662"/>
      <c r="G25" s="662"/>
      <c r="H25" s="662"/>
      <c r="I25" s="609"/>
      <c r="J25" s="609"/>
      <c r="K25" s="609"/>
      <c r="L25" s="609"/>
      <c r="M25" s="609"/>
      <c r="N25" s="663" t="s">
        <v>1822</v>
      </c>
      <c r="O25" s="1"/>
      <c r="P25" s="609"/>
      <c r="Q25" s="609"/>
      <c r="R25" s="609"/>
      <c r="S25" s="609"/>
      <c r="T25" s="609"/>
      <c r="U25" s="609"/>
      <c r="V25" s="609"/>
      <c r="W25" s="609"/>
      <c r="X25" s="609"/>
      <c r="Y25" s="609"/>
      <c r="Z25" s="609"/>
      <c r="AA25" s="609"/>
      <c r="AB25" s="609"/>
      <c r="AC25" s="604"/>
      <c r="AD25" s="664"/>
      <c r="AE25" s="604"/>
      <c r="AF25" s="604"/>
      <c r="AG25" s="604"/>
      <c r="AH25" s="604"/>
      <c r="AI25" s="604"/>
      <c r="AJ25" s="604"/>
      <c r="AK25" s="604"/>
      <c r="AL25" s="604"/>
      <c r="AM25" s="604"/>
      <c r="AN25" s="604"/>
      <c r="AO25" s="604"/>
      <c r="AP25" s="664"/>
      <c r="AQ25" s="605"/>
      <c r="AR25" s="605"/>
      <c r="AS25" s="605"/>
      <c r="AT25" s="605"/>
      <c r="AU25" s="605"/>
      <c r="AV25" s="605"/>
      <c r="AW25" s="605"/>
      <c r="AX25" s="605"/>
      <c r="AY25" s="605"/>
    </row>
    <row r="26" spans="1:51" x14ac:dyDescent="0.25">
      <c r="A26" s="660"/>
      <c r="B26" s="615"/>
      <c r="C26" s="609"/>
      <c r="D26" s="661"/>
      <c r="E26" s="661"/>
      <c r="F26" s="662"/>
      <c r="G26" s="662"/>
      <c r="H26" s="662"/>
      <c r="I26" s="609"/>
      <c r="J26" s="609"/>
      <c r="K26" s="609"/>
      <c r="L26" s="609"/>
      <c r="M26" s="609"/>
      <c r="N26" s="665"/>
      <c r="O26" s="609"/>
      <c r="P26" s="609"/>
      <c r="Q26" s="609"/>
      <c r="R26" s="609"/>
      <c r="S26" s="609"/>
      <c r="T26" s="609"/>
      <c r="U26" s="609"/>
      <c r="V26" s="609"/>
      <c r="W26" s="609"/>
      <c r="X26" s="609"/>
      <c r="Y26" s="609"/>
      <c r="Z26" s="609"/>
      <c r="AA26" s="609"/>
      <c r="AB26" s="609"/>
      <c r="AC26" s="604"/>
      <c r="AD26" s="666"/>
      <c r="AE26" s="604"/>
      <c r="AF26" s="604"/>
      <c r="AG26" s="604"/>
      <c r="AH26" s="604"/>
      <c r="AI26" s="604"/>
      <c r="AJ26" s="604"/>
      <c r="AK26" s="604"/>
      <c r="AL26" s="604"/>
      <c r="AM26" s="604"/>
      <c r="AN26" s="604"/>
      <c r="AO26" s="604"/>
      <c r="AP26" s="666"/>
      <c r="AQ26" s="605"/>
      <c r="AR26" s="605"/>
      <c r="AS26" s="605"/>
      <c r="AT26" s="605"/>
      <c r="AU26" s="605"/>
      <c r="AV26" s="605"/>
      <c r="AW26" s="605"/>
      <c r="AX26" s="605"/>
      <c r="AY26" s="605"/>
    </row>
    <row r="27" spans="1:51" ht="15.6" x14ac:dyDescent="0.3">
      <c r="A27" s="660"/>
      <c r="B27" s="662"/>
      <c r="C27" s="609"/>
      <c r="D27" s="661"/>
      <c r="E27" s="661"/>
      <c r="F27" s="662"/>
      <c r="G27" s="662"/>
      <c r="H27" s="662"/>
      <c r="I27" s="609"/>
      <c r="J27" s="609"/>
      <c r="K27" s="609"/>
      <c r="L27" s="609"/>
      <c r="M27" s="665" t="s">
        <v>1823</v>
      </c>
      <c r="N27" s="667">
        <f>ROUNDUP((C23+D23+E23+F23+G23+H23+I23+J23+K23+L23+M23+N23)/(12*1200),1)</f>
        <v>0.5</v>
      </c>
      <c r="O27" s="612"/>
      <c r="P27" s="609"/>
      <c r="Q27" s="609"/>
      <c r="R27" s="609"/>
      <c r="S27" s="609"/>
      <c r="T27" s="609"/>
      <c r="U27" s="609"/>
      <c r="V27" s="609"/>
      <c r="W27" s="609"/>
      <c r="X27" s="609"/>
      <c r="Y27" s="609"/>
      <c r="Z27" s="609"/>
      <c r="AA27" s="609"/>
      <c r="AB27" s="609"/>
      <c r="AC27" s="604"/>
      <c r="AD27" s="668"/>
      <c r="AE27" s="604"/>
      <c r="AF27" s="604"/>
      <c r="AG27" s="604"/>
      <c r="AH27" s="604"/>
      <c r="AI27" s="604"/>
      <c r="AJ27" s="604"/>
      <c r="AK27" s="604"/>
      <c r="AL27" s="604"/>
      <c r="AM27" s="604"/>
      <c r="AN27" s="604"/>
      <c r="AO27" s="604"/>
      <c r="AP27" s="669"/>
      <c r="AQ27" s="605"/>
      <c r="AR27" s="605"/>
      <c r="AS27" s="605"/>
      <c r="AT27" s="605"/>
      <c r="AU27" s="605"/>
      <c r="AV27" s="605"/>
      <c r="AW27" s="605"/>
      <c r="AX27" s="605"/>
      <c r="AY27" s="605"/>
    </row>
    <row r="28" spans="1:51" ht="15.6" x14ac:dyDescent="0.3">
      <c r="A28" s="660"/>
      <c r="B28" s="662"/>
      <c r="C28" s="609"/>
      <c r="D28" s="661"/>
      <c r="E28" s="661"/>
      <c r="F28" s="662"/>
      <c r="G28" s="662"/>
      <c r="H28" s="662"/>
      <c r="I28" s="609"/>
      <c r="J28" s="609"/>
      <c r="K28" s="609"/>
      <c r="L28" s="609"/>
      <c r="M28" s="609"/>
      <c r="N28" s="665"/>
      <c r="O28" s="609"/>
      <c r="P28" s="609"/>
      <c r="Q28" s="609"/>
      <c r="R28" s="609"/>
      <c r="S28" s="609"/>
      <c r="T28" s="609"/>
      <c r="U28" s="609"/>
      <c r="V28" s="609"/>
      <c r="W28" s="609"/>
      <c r="X28" s="609"/>
      <c r="Y28" s="609"/>
      <c r="Z28" s="609"/>
      <c r="AA28" s="609"/>
      <c r="AB28" s="609"/>
      <c r="AC28" s="604"/>
      <c r="AD28" s="670"/>
      <c r="AE28" s="604"/>
      <c r="AF28" s="604"/>
      <c r="AG28" s="604"/>
      <c r="AH28" s="604"/>
      <c r="AI28" s="604"/>
      <c r="AJ28" s="604"/>
      <c r="AK28" s="604"/>
      <c r="AL28" s="604"/>
      <c r="AM28" s="604"/>
      <c r="AN28" s="604"/>
      <c r="AO28" s="604"/>
      <c r="AP28" s="670"/>
      <c r="AQ28" s="605"/>
      <c r="AR28" s="605"/>
      <c r="AS28" s="605"/>
      <c r="AT28" s="605"/>
      <c r="AU28" s="605"/>
      <c r="AV28" s="605"/>
      <c r="AW28" s="605"/>
      <c r="AX28" s="605"/>
      <c r="AY28" s="605"/>
    </row>
    <row r="29" spans="1:51" ht="15.6" x14ac:dyDescent="0.3">
      <c r="A29" s="660"/>
      <c r="B29" s="662"/>
      <c r="C29" s="609"/>
      <c r="D29" s="661"/>
      <c r="E29" s="661"/>
      <c r="F29" s="662"/>
      <c r="G29" s="662"/>
      <c r="H29" s="662"/>
      <c r="I29" s="609"/>
      <c r="J29" s="609"/>
      <c r="K29" s="609"/>
      <c r="L29" s="609"/>
      <c r="M29" s="609"/>
      <c r="N29" s="671" t="s">
        <v>1824</v>
      </c>
      <c r="O29" s="609"/>
      <c r="P29" s="609"/>
      <c r="Q29" s="609"/>
      <c r="R29" s="609"/>
      <c r="S29" s="609"/>
      <c r="T29" s="609"/>
      <c r="U29" s="609"/>
      <c r="V29" s="609"/>
      <c r="W29" s="609"/>
      <c r="X29" s="609"/>
      <c r="Y29" s="609"/>
      <c r="Z29" s="609"/>
      <c r="AA29" s="609"/>
      <c r="AB29" s="609"/>
      <c r="AC29" s="604"/>
      <c r="AD29" s="670"/>
      <c r="AE29" s="604"/>
      <c r="AF29" s="604"/>
      <c r="AG29" s="604"/>
      <c r="AH29" s="604"/>
      <c r="AI29" s="604"/>
      <c r="AJ29" s="604"/>
      <c r="AK29" s="604"/>
      <c r="AL29" s="604"/>
      <c r="AM29" s="604"/>
      <c r="AN29" s="604"/>
      <c r="AO29" s="604"/>
      <c r="AP29" s="670"/>
      <c r="AQ29" s="605"/>
      <c r="AR29" s="605"/>
      <c r="AS29" s="605"/>
      <c r="AT29" s="605"/>
      <c r="AU29" s="605"/>
      <c r="AV29" s="605"/>
      <c r="AW29" s="605"/>
      <c r="AX29" s="605"/>
      <c r="AY29" s="605"/>
    </row>
    <row r="30" spans="1:51" ht="15.6" x14ac:dyDescent="0.3">
      <c r="A30" s="660"/>
      <c r="B30" s="662"/>
      <c r="C30" s="609"/>
      <c r="D30" s="661"/>
      <c r="E30" s="661"/>
      <c r="F30" s="662"/>
      <c r="G30" s="662"/>
      <c r="H30" s="662"/>
      <c r="I30" s="609"/>
      <c r="J30" s="609"/>
      <c r="K30" s="609"/>
      <c r="L30" s="609"/>
      <c r="M30" s="609"/>
      <c r="N30" s="665" t="s">
        <v>1825</v>
      </c>
      <c r="O30" s="609"/>
      <c r="P30" s="609"/>
      <c r="Q30" s="609"/>
      <c r="R30" s="609"/>
      <c r="S30" s="609"/>
      <c r="T30" s="609"/>
      <c r="U30" s="609"/>
      <c r="V30" s="609"/>
      <c r="W30" s="609"/>
      <c r="X30" s="609"/>
      <c r="Y30" s="609"/>
      <c r="Z30" s="609"/>
      <c r="AA30" s="609"/>
      <c r="AB30" s="609"/>
      <c r="AC30" s="604"/>
      <c r="AD30" s="668"/>
      <c r="AE30" s="604"/>
      <c r="AF30" s="604"/>
      <c r="AG30" s="604"/>
      <c r="AH30" s="604"/>
      <c r="AI30" s="604"/>
      <c r="AJ30" s="604"/>
      <c r="AK30" s="604"/>
      <c r="AL30" s="604"/>
      <c r="AM30" s="604"/>
      <c r="AN30" s="604"/>
      <c r="AO30" s="604"/>
      <c r="AP30" s="669"/>
      <c r="AQ30" s="605"/>
      <c r="AR30" s="605"/>
      <c r="AS30" s="605"/>
      <c r="AT30" s="605"/>
      <c r="AU30" s="605"/>
      <c r="AV30" s="605"/>
      <c r="AW30" s="605"/>
      <c r="AX30" s="605"/>
      <c r="AY30" s="605"/>
    </row>
    <row r="31" spans="1:51" s="674" customFormat="1" x14ac:dyDescent="0.25">
      <c r="A31" s="672"/>
      <c r="B31" s="615"/>
      <c r="C31" s="1"/>
      <c r="D31" s="51"/>
      <c r="E31" s="51"/>
      <c r="F31" s="51"/>
      <c r="G31" s="51"/>
      <c r="H31" s="51"/>
      <c r="I31" s="51"/>
      <c r="J31" s="51"/>
      <c r="K31" s="51"/>
      <c r="L31" s="51"/>
      <c r="M31" s="51"/>
      <c r="N31" s="665" t="s">
        <v>1826</v>
      </c>
      <c r="O31" s="615"/>
      <c r="P31" s="615"/>
      <c r="Q31" s="615"/>
      <c r="R31" s="615"/>
      <c r="S31" s="615"/>
      <c r="T31" s="615"/>
      <c r="U31" s="615"/>
      <c r="V31" s="615"/>
      <c r="W31" s="615"/>
      <c r="X31" s="615"/>
      <c r="Y31" s="615"/>
      <c r="Z31" s="615"/>
      <c r="AA31" s="615"/>
      <c r="AB31" s="615"/>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row>
    <row r="32" spans="1:51" s="674" customFormat="1" x14ac:dyDescent="0.25">
      <c r="A32" s="672"/>
      <c r="B32" s="615"/>
      <c r="C32" s="1"/>
      <c r="D32" s="51"/>
      <c r="E32" s="51"/>
      <c r="F32" s="51"/>
      <c r="G32" s="51"/>
      <c r="H32" s="51"/>
      <c r="I32" s="51"/>
      <c r="J32" s="51"/>
      <c r="K32" s="51"/>
      <c r="L32" s="51"/>
      <c r="M32" s="51"/>
      <c r="N32" s="665" t="s">
        <v>1827</v>
      </c>
      <c r="O32" s="615"/>
      <c r="P32" s="615"/>
      <c r="Q32" s="615"/>
      <c r="R32" s="615"/>
      <c r="S32" s="615"/>
      <c r="T32" s="615"/>
      <c r="U32" s="615"/>
      <c r="V32" s="615"/>
      <c r="W32" s="615"/>
      <c r="X32" s="615"/>
      <c r="Y32" s="615"/>
      <c r="Z32" s="615"/>
      <c r="AA32" s="615"/>
      <c r="AB32" s="615"/>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row>
    <row r="33" spans="1:5" s="674" customFormat="1" ht="15.6" x14ac:dyDescent="0.25">
      <c r="A33" s="675"/>
      <c r="C33" s="606"/>
      <c r="D33" s="676"/>
      <c r="E33" s="676"/>
    </row>
    <row r="34" spans="1:5" s="674" customFormat="1" ht="15.6" x14ac:dyDescent="0.25">
      <c r="A34" s="675"/>
      <c r="C34" s="606"/>
      <c r="D34" s="676"/>
      <c r="E34" s="676"/>
    </row>
    <row r="35" spans="1:5" s="674" customFormat="1" ht="15.6" x14ac:dyDescent="0.25">
      <c r="A35" s="675"/>
      <c r="C35" s="606"/>
      <c r="D35" s="676"/>
      <c r="E35" s="676"/>
    </row>
    <row r="36" spans="1:5" s="674" customFormat="1" ht="15.6" x14ac:dyDescent="0.25">
      <c r="A36" s="675"/>
      <c r="C36" s="606"/>
      <c r="D36" s="676"/>
      <c r="E36" s="676"/>
    </row>
    <row r="37" spans="1:5" s="674" customFormat="1" ht="15.6" x14ac:dyDescent="0.25">
      <c r="A37" s="675"/>
      <c r="C37" s="606"/>
      <c r="D37" s="676"/>
      <c r="E37" s="676"/>
    </row>
    <row r="38" spans="1:5" s="674" customFormat="1" ht="15.6" x14ac:dyDescent="0.25">
      <c r="A38" s="675"/>
      <c r="C38" s="606"/>
      <c r="D38" s="676"/>
      <c r="E38" s="676"/>
    </row>
    <row r="39" spans="1:5" s="674" customFormat="1" ht="15.6" x14ac:dyDescent="0.25">
      <c r="A39" s="675"/>
      <c r="C39" s="606"/>
      <c r="D39" s="676"/>
      <c r="E39" s="676"/>
    </row>
    <row r="40" spans="1:5" s="674" customFormat="1" ht="15.6" x14ac:dyDescent="0.25">
      <c r="A40" s="675"/>
      <c r="C40" s="606"/>
      <c r="D40" s="676"/>
      <c r="E40" s="676"/>
    </row>
    <row r="41" spans="1:5" s="674" customFormat="1" ht="15.6" x14ac:dyDescent="0.25">
      <c r="A41" s="675"/>
      <c r="C41" s="606"/>
      <c r="D41" s="676"/>
      <c r="E41" s="676"/>
    </row>
    <row r="42" spans="1:5" s="674" customFormat="1" ht="15.6" x14ac:dyDescent="0.25">
      <c r="A42" s="675"/>
      <c r="C42" s="606"/>
      <c r="D42" s="676"/>
      <c r="E42" s="676"/>
    </row>
    <row r="43" spans="1:5" s="674" customFormat="1" ht="15.6" x14ac:dyDescent="0.25">
      <c r="A43" s="675"/>
      <c r="C43" s="606"/>
      <c r="D43" s="676"/>
      <c r="E43" s="676"/>
    </row>
    <row r="44" spans="1:5" s="674" customFormat="1" ht="15.6" x14ac:dyDescent="0.25">
      <c r="A44" s="675"/>
      <c r="C44" s="606"/>
      <c r="D44" s="676"/>
      <c r="E44" s="676"/>
    </row>
    <row r="45" spans="1:5" s="674" customFormat="1" ht="15.6" x14ac:dyDescent="0.25">
      <c r="A45" s="675"/>
      <c r="C45" s="606"/>
      <c r="D45" s="676"/>
      <c r="E45" s="676"/>
    </row>
    <row r="46" spans="1:5" s="674" customFormat="1" ht="15.6" x14ac:dyDescent="0.25">
      <c r="A46" s="675"/>
      <c r="C46" s="606"/>
      <c r="D46" s="676"/>
      <c r="E46" s="676"/>
    </row>
    <row r="47" spans="1:5" s="674" customFormat="1" ht="15.6" x14ac:dyDescent="0.25">
      <c r="A47" s="675"/>
      <c r="C47" s="606"/>
      <c r="D47" s="676"/>
      <c r="E47" s="676"/>
    </row>
    <row r="48" spans="1:5" s="674" customFormat="1" ht="15.6" x14ac:dyDescent="0.25">
      <c r="A48" s="675"/>
      <c r="C48" s="606"/>
      <c r="D48" s="676"/>
      <c r="E48" s="676"/>
    </row>
    <row r="49" spans="1:5" s="674" customFormat="1" ht="15.6" x14ac:dyDescent="0.25">
      <c r="A49" s="675"/>
      <c r="C49" s="606"/>
      <c r="D49" s="676"/>
      <c r="E49" s="676"/>
    </row>
    <row r="50" spans="1:5" s="674" customFormat="1" ht="15.6" x14ac:dyDescent="0.25">
      <c r="A50" s="675"/>
      <c r="C50" s="606"/>
      <c r="D50" s="676"/>
      <c r="E50" s="676"/>
    </row>
    <row r="51" spans="1:5" s="674" customFormat="1" ht="15.6" x14ac:dyDescent="0.25">
      <c r="A51" s="675"/>
      <c r="C51" s="606"/>
      <c r="D51" s="676"/>
      <c r="E51" s="676"/>
    </row>
    <row r="52" spans="1:5" s="674" customFormat="1" ht="15.6" x14ac:dyDescent="0.25">
      <c r="A52" s="675"/>
      <c r="C52" s="606"/>
      <c r="D52" s="676"/>
      <c r="E52" s="676"/>
    </row>
    <row r="53" spans="1:5" s="674" customFormat="1" ht="15.6" x14ac:dyDescent="0.25">
      <c r="A53" s="675"/>
      <c r="C53" s="606"/>
      <c r="D53" s="676"/>
      <c r="E53" s="676"/>
    </row>
    <row r="54" spans="1:5" s="674" customFormat="1" ht="15.6" x14ac:dyDescent="0.25">
      <c r="A54" s="675"/>
      <c r="C54" s="606"/>
      <c r="D54" s="676"/>
      <c r="E54" s="676"/>
    </row>
    <row r="55" spans="1:5" s="674" customFormat="1" ht="15.6" x14ac:dyDescent="0.25">
      <c r="A55" s="675"/>
      <c r="C55" s="606"/>
      <c r="D55" s="676"/>
      <c r="E55" s="676"/>
    </row>
    <row r="56" spans="1:5" s="674" customFormat="1" ht="15.6" x14ac:dyDescent="0.25">
      <c r="A56" s="675"/>
      <c r="C56" s="606"/>
      <c r="D56" s="676"/>
      <c r="E56" s="676"/>
    </row>
    <row r="57" spans="1:5" s="674" customFormat="1" ht="15.6" x14ac:dyDescent="0.25">
      <c r="A57" s="675"/>
      <c r="C57" s="606"/>
      <c r="D57" s="676"/>
      <c r="E57" s="676"/>
    </row>
    <row r="58" spans="1:5" s="674" customFormat="1" ht="15.6" x14ac:dyDescent="0.25">
      <c r="A58" s="675"/>
      <c r="C58" s="606"/>
      <c r="D58" s="676"/>
      <c r="E58" s="676"/>
    </row>
    <row r="59" spans="1:5" s="674" customFormat="1" ht="15.6" x14ac:dyDescent="0.25">
      <c r="A59" s="675"/>
      <c r="C59" s="606"/>
      <c r="D59" s="676"/>
      <c r="E59" s="676"/>
    </row>
    <row r="60" spans="1:5" s="674" customFormat="1" ht="15.6" x14ac:dyDescent="0.25">
      <c r="A60" s="675"/>
      <c r="C60" s="606"/>
      <c r="D60" s="676"/>
      <c r="E60" s="676"/>
    </row>
    <row r="61" spans="1:5" s="674" customFormat="1" ht="15.6" x14ac:dyDescent="0.25">
      <c r="A61" s="675"/>
      <c r="C61" s="606"/>
      <c r="D61" s="676"/>
      <c r="E61" s="676"/>
    </row>
    <row r="62" spans="1:5" s="674" customFormat="1" ht="15.6" x14ac:dyDescent="0.25">
      <c r="A62" s="675"/>
      <c r="C62" s="606"/>
      <c r="D62" s="676"/>
      <c r="E62" s="676"/>
    </row>
    <row r="63" spans="1:5" s="674" customFormat="1" ht="15.6" x14ac:dyDescent="0.25">
      <c r="A63" s="675"/>
      <c r="C63" s="606"/>
      <c r="D63" s="676"/>
      <c r="E63" s="676"/>
    </row>
    <row r="64" spans="1:5" s="674" customFormat="1" ht="15.6" x14ac:dyDescent="0.25">
      <c r="A64" s="675"/>
      <c r="C64" s="606"/>
      <c r="D64" s="676"/>
      <c r="E64" s="676"/>
    </row>
    <row r="65" spans="1:5" s="674" customFormat="1" ht="15.6" x14ac:dyDescent="0.25">
      <c r="A65" s="675"/>
      <c r="C65" s="606"/>
      <c r="D65" s="676"/>
      <c r="E65" s="676"/>
    </row>
    <row r="66" spans="1:5" s="674" customFormat="1" ht="15.6" x14ac:dyDescent="0.25">
      <c r="A66" s="675"/>
      <c r="C66" s="606"/>
      <c r="D66" s="676"/>
      <c r="E66" s="676"/>
    </row>
    <row r="67" spans="1:5" s="674" customFormat="1" ht="15.6" x14ac:dyDescent="0.25">
      <c r="A67" s="675"/>
      <c r="C67" s="606"/>
      <c r="D67" s="676"/>
      <c r="E67" s="676"/>
    </row>
    <row r="68" spans="1:5" s="674" customFormat="1" ht="15.6" x14ac:dyDescent="0.25">
      <c r="A68" s="675"/>
      <c r="C68" s="606"/>
      <c r="D68" s="676"/>
      <c r="E68" s="676"/>
    </row>
    <row r="69" spans="1:5" s="674" customFormat="1" ht="15.6" x14ac:dyDescent="0.25">
      <c r="A69" s="675"/>
      <c r="C69" s="606"/>
      <c r="D69" s="676"/>
      <c r="E69" s="676"/>
    </row>
    <row r="70" spans="1:5" s="674" customFormat="1" ht="15.6" x14ac:dyDescent="0.25">
      <c r="A70" s="675"/>
      <c r="C70" s="606"/>
      <c r="D70" s="676"/>
      <c r="E70" s="676"/>
    </row>
    <row r="71" spans="1:5" s="674" customFormat="1" ht="15.6" x14ac:dyDescent="0.25">
      <c r="A71" s="675"/>
      <c r="C71" s="606"/>
      <c r="D71" s="676"/>
      <c r="E71" s="676"/>
    </row>
    <row r="72" spans="1:5" s="674" customFormat="1" ht="15.6" x14ac:dyDescent="0.25">
      <c r="A72" s="675"/>
      <c r="C72" s="606"/>
      <c r="D72" s="676"/>
      <c r="E72" s="676"/>
    </row>
    <row r="73" spans="1:5" s="674" customFormat="1" ht="15.6" x14ac:dyDescent="0.25">
      <c r="A73" s="675"/>
      <c r="C73" s="606"/>
      <c r="D73" s="676"/>
      <c r="E73" s="676"/>
    </row>
    <row r="74" spans="1:5" s="674" customFormat="1" ht="15.6" x14ac:dyDescent="0.25">
      <c r="A74" s="675"/>
      <c r="C74" s="606"/>
      <c r="D74" s="676"/>
      <c r="E74" s="676"/>
    </row>
    <row r="75" spans="1:5" s="674" customFormat="1" ht="15.6" x14ac:dyDescent="0.25">
      <c r="A75" s="675"/>
      <c r="C75" s="606"/>
      <c r="D75" s="676"/>
      <c r="E75" s="676"/>
    </row>
    <row r="76" spans="1:5" s="674" customFormat="1" ht="15.6" x14ac:dyDescent="0.25">
      <c r="A76" s="675"/>
      <c r="C76" s="606"/>
      <c r="D76" s="676"/>
      <c r="E76" s="676"/>
    </row>
    <row r="77" spans="1:5" s="674" customFormat="1" ht="15.6" x14ac:dyDescent="0.25">
      <c r="A77" s="675"/>
      <c r="C77" s="606"/>
      <c r="D77" s="676"/>
      <c r="E77" s="676"/>
    </row>
    <row r="78" spans="1:5" s="674" customFormat="1" ht="15.6" x14ac:dyDescent="0.25">
      <c r="A78" s="675"/>
      <c r="C78" s="606"/>
      <c r="D78" s="676"/>
      <c r="E78" s="676"/>
    </row>
    <row r="79" spans="1:5" s="674" customFormat="1" ht="15.6" x14ac:dyDescent="0.25">
      <c r="A79" s="675"/>
      <c r="C79" s="606"/>
      <c r="D79" s="676"/>
      <c r="E79" s="676"/>
    </row>
    <row r="80" spans="1:5" s="674" customFormat="1" ht="15.6" x14ac:dyDescent="0.25">
      <c r="A80" s="675"/>
      <c r="C80" s="606"/>
      <c r="D80" s="676"/>
      <c r="E80" s="676"/>
    </row>
    <row r="81" spans="1:5" s="674" customFormat="1" ht="15.6" x14ac:dyDescent="0.25">
      <c r="A81" s="675"/>
      <c r="C81" s="606"/>
      <c r="D81" s="676"/>
      <c r="E81" s="676"/>
    </row>
    <row r="82" spans="1:5" s="674" customFormat="1" ht="15.6" x14ac:dyDescent="0.25">
      <c r="A82" s="675"/>
      <c r="C82" s="606"/>
      <c r="D82" s="676"/>
      <c r="E82" s="676"/>
    </row>
    <row r="83" spans="1:5" s="674" customFormat="1" ht="15.6" x14ac:dyDescent="0.25">
      <c r="A83" s="675"/>
      <c r="C83" s="606"/>
      <c r="D83" s="676"/>
      <c r="E83" s="676"/>
    </row>
    <row r="84" spans="1:5" s="674" customFormat="1" ht="15.6" x14ac:dyDescent="0.25">
      <c r="A84" s="675"/>
      <c r="C84" s="606"/>
      <c r="D84" s="676"/>
      <c r="E84" s="676"/>
    </row>
    <row r="85" spans="1:5" s="674" customFormat="1" ht="15.6" x14ac:dyDescent="0.25">
      <c r="A85" s="675"/>
      <c r="C85" s="606"/>
      <c r="D85" s="676"/>
      <c r="E85" s="676"/>
    </row>
    <row r="86" spans="1:5" s="674" customFormat="1" ht="15.6" x14ac:dyDescent="0.25">
      <c r="A86" s="675"/>
      <c r="C86" s="606"/>
      <c r="D86" s="676"/>
      <c r="E86" s="676"/>
    </row>
    <row r="87" spans="1:5" s="674" customFormat="1" ht="15.6" x14ac:dyDescent="0.25">
      <c r="A87" s="675"/>
      <c r="C87" s="606"/>
      <c r="D87" s="676"/>
      <c r="E87" s="676"/>
    </row>
    <row r="88" spans="1:5" s="674" customFormat="1" ht="15.6" x14ac:dyDescent="0.25">
      <c r="A88" s="675"/>
      <c r="C88" s="606"/>
      <c r="D88" s="676"/>
      <c r="E88" s="676"/>
    </row>
    <row r="89" spans="1:5" s="674" customFormat="1" ht="15.6" x14ac:dyDescent="0.25">
      <c r="A89" s="675"/>
      <c r="C89" s="606"/>
      <c r="D89" s="676"/>
      <c r="E89" s="676"/>
    </row>
    <row r="90" spans="1:5" s="674" customFormat="1" ht="15.6" x14ac:dyDescent="0.25">
      <c r="A90" s="675"/>
      <c r="C90" s="606"/>
      <c r="D90" s="676"/>
      <c r="E90" s="676"/>
    </row>
    <row r="91" spans="1:5" s="674" customFormat="1" ht="15.6" x14ac:dyDescent="0.25">
      <c r="A91" s="675"/>
      <c r="C91" s="606"/>
      <c r="D91" s="676"/>
      <c r="E91" s="676"/>
    </row>
    <row r="92" spans="1:5" s="674" customFormat="1" ht="15.6" x14ac:dyDescent="0.25">
      <c r="A92" s="675"/>
      <c r="C92" s="606"/>
      <c r="D92" s="676"/>
      <c r="E92" s="676"/>
    </row>
    <row r="93" spans="1:5" s="674" customFormat="1" ht="15.6" x14ac:dyDescent="0.25">
      <c r="A93" s="675"/>
      <c r="C93" s="606"/>
      <c r="D93" s="676"/>
      <c r="E93" s="676"/>
    </row>
    <row r="94" spans="1:5" s="674" customFormat="1" ht="15.6" x14ac:dyDescent="0.25">
      <c r="A94" s="675"/>
      <c r="C94" s="606"/>
      <c r="D94" s="676"/>
      <c r="E94" s="676"/>
    </row>
    <row r="95" spans="1:5" s="674" customFormat="1" ht="15.6" x14ac:dyDescent="0.25">
      <c r="A95" s="675"/>
      <c r="C95" s="606"/>
      <c r="D95" s="676"/>
      <c r="E95" s="676"/>
    </row>
    <row r="96" spans="1:5" s="674" customFormat="1" ht="15.6" x14ac:dyDescent="0.25">
      <c r="A96" s="675"/>
      <c r="C96" s="606"/>
      <c r="D96" s="676"/>
      <c r="E96" s="676"/>
    </row>
    <row r="97" spans="1:5" s="674" customFormat="1" ht="15.6" x14ac:dyDescent="0.25">
      <c r="A97" s="675"/>
      <c r="C97" s="606"/>
      <c r="D97" s="676"/>
      <c r="E97" s="676"/>
    </row>
    <row r="98" spans="1:5" s="674" customFormat="1" ht="15.6" x14ac:dyDescent="0.25">
      <c r="A98" s="675"/>
      <c r="C98" s="606"/>
      <c r="D98" s="676"/>
      <c r="E98" s="676"/>
    </row>
    <row r="99" spans="1:5" s="674" customFormat="1" ht="15.6" x14ac:dyDescent="0.25">
      <c r="A99" s="675"/>
      <c r="C99" s="606"/>
      <c r="D99" s="676"/>
      <c r="E99" s="676"/>
    </row>
    <row r="100" spans="1:5" s="674" customFormat="1" ht="15.6" x14ac:dyDescent="0.25">
      <c r="A100" s="675"/>
      <c r="C100" s="606"/>
      <c r="D100" s="676"/>
      <c r="E100" s="676"/>
    </row>
    <row r="101" spans="1:5" s="674" customFormat="1" ht="15.6" x14ac:dyDescent="0.25">
      <c r="A101" s="675"/>
      <c r="C101" s="606"/>
      <c r="D101" s="676"/>
      <c r="E101" s="676"/>
    </row>
    <row r="102" spans="1:5" s="674" customFormat="1" ht="15.6" x14ac:dyDescent="0.25">
      <c r="A102" s="675"/>
      <c r="C102" s="606"/>
      <c r="D102" s="676"/>
      <c r="E102" s="676"/>
    </row>
    <row r="103" spans="1:5" s="674" customFormat="1" ht="15.6" x14ac:dyDescent="0.25">
      <c r="A103" s="675"/>
      <c r="C103" s="606"/>
      <c r="D103" s="676"/>
      <c r="E103" s="676"/>
    </row>
    <row r="104" spans="1:5" s="674" customFormat="1" ht="15.6" x14ac:dyDescent="0.25">
      <c r="A104" s="675"/>
      <c r="C104" s="606"/>
      <c r="D104" s="676"/>
      <c r="E104" s="676"/>
    </row>
    <row r="105" spans="1:5" s="674" customFormat="1" ht="15.6" x14ac:dyDescent="0.25">
      <c r="A105" s="675"/>
      <c r="C105" s="606"/>
      <c r="D105" s="676"/>
      <c r="E105" s="676"/>
    </row>
    <row r="106" spans="1:5" s="674" customFormat="1" ht="15.6" x14ac:dyDescent="0.25">
      <c r="A106" s="675"/>
      <c r="C106" s="606"/>
      <c r="D106" s="676"/>
      <c r="E106" s="676"/>
    </row>
    <row r="107" spans="1:5" s="674" customFormat="1" ht="15.6" x14ac:dyDescent="0.25">
      <c r="A107" s="675"/>
      <c r="C107" s="606"/>
      <c r="D107" s="676"/>
      <c r="E107" s="676"/>
    </row>
    <row r="108" spans="1:5" s="674" customFormat="1" ht="15.6" x14ac:dyDescent="0.25">
      <c r="A108" s="675"/>
      <c r="C108" s="606"/>
      <c r="D108" s="676"/>
      <c r="E108" s="676"/>
    </row>
    <row r="109" spans="1:5" s="674" customFormat="1" ht="15.6" x14ac:dyDescent="0.25">
      <c r="A109" s="675"/>
      <c r="C109" s="606"/>
      <c r="D109" s="676"/>
      <c r="E109" s="676"/>
    </row>
    <row r="110" spans="1:5" s="674" customFormat="1" ht="15.6" x14ac:dyDescent="0.25">
      <c r="A110" s="675"/>
      <c r="C110" s="606"/>
      <c r="D110" s="676"/>
      <c r="E110" s="676"/>
    </row>
    <row r="111" spans="1:5" s="674" customFormat="1" ht="15.6" x14ac:dyDescent="0.25">
      <c r="A111" s="675"/>
      <c r="C111" s="606"/>
      <c r="D111" s="676"/>
      <c r="E111" s="676"/>
    </row>
    <row r="112" spans="1:5" s="674" customFormat="1" ht="15.6" x14ac:dyDescent="0.25">
      <c r="A112" s="675"/>
      <c r="C112" s="606"/>
      <c r="D112" s="676"/>
      <c r="E112" s="676"/>
    </row>
    <row r="113" spans="1:5" s="674" customFormat="1" ht="15.6" x14ac:dyDescent="0.25">
      <c r="A113" s="675"/>
      <c r="C113" s="606"/>
      <c r="D113" s="676"/>
      <c r="E113" s="676"/>
    </row>
    <row r="114" spans="1:5" s="674" customFormat="1" ht="15.6" x14ac:dyDescent="0.25">
      <c r="A114" s="675"/>
      <c r="C114" s="606"/>
      <c r="D114" s="676"/>
      <c r="E114" s="676"/>
    </row>
    <row r="115" spans="1:5" s="674" customFormat="1" ht="15.6" x14ac:dyDescent="0.25">
      <c r="A115" s="675"/>
      <c r="C115" s="606"/>
      <c r="D115" s="676"/>
      <c r="E115" s="676"/>
    </row>
    <row r="116" spans="1:5" s="674" customFormat="1" ht="15.6" x14ac:dyDescent="0.25">
      <c r="A116" s="675"/>
      <c r="C116" s="606"/>
      <c r="D116" s="676"/>
      <c r="E116" s="676"/>
    </row>
    <row r="117" spans="1:5" s="674" customFormat="1" ht="15.6" x14ac:dyDescent="0.25">
      <c r="A117" s="675"/>
      <c r="C117" s="606"/>
      <c r="D117" s="676"/>
      <c r="E117" s="676"/>
    </row>
    <row r="118" spans="1:5" s="674" customFormat="1" ht="15.6" x14ac:dyDescent="0.25">
      <c r="A118" s="675"/>
      <c r="C118" s="606"/>
      <c r="D118" s="676"/>
      <c r="E118" s="676"/>
    </row>
    <row r="119" spans="1:5" s="674" customFormat="1" ht="15.6" x14ac:dyDescent="0.25">
      <c r="A119" s="675"/>
      <c r="C119" s="606"/>
      <c r="D119" s="676"/>
      <c r="E119" s="676"/>
    </row>
    <row r="120" spans="1:5" s="674" customFormat="1" ht="15.6" x14ac:dyDescent="0.25">
      <c r="A120" s="675"/>
      <c r="C120" s="606"/>
      <c r="D120" s="676"/>
      <c r="E120" s="676"/>
    </row>
    <row r="121" spans="1:5" s="674" customFormat="1" ht="15.6" x14ac:dyDescent="0.25">
      <c r="A121" s="675"/>
      <c r="C121" s="606"/>
      <c r="D121" s="676"/>
      <c r="E121" s="676"/>
    </row>
    <row r="122" spans="1:5" s="674" customFormat="1" ht="15.6" x14ac:dyDescent="0.25">
      <c r="A122" s="675"/>
      <c r="C122" s="606"/>
      <c r="D122" s="676"/>
      <c r="E122" s="676"/>
    </row>
    <row r="123" spans="1:5" s="674" customFormat="1" ht="15.6" x14ac:dyDescent="0.25">
      <c r="A123" s="675"/>
      <c r="C123" s="606"/>
      <c r="D123" s="676"/>
      <c r="E123" s="676"/>
    </row>
    <row r="124" spans="1:5" s="674" customFormat="1" ht="15.6" x14ac:dyDescent="0.25">
      <c r="A124" s="675"/>
      <c r="C124" s="606"/>
      <c r="D124" s="676"/>
      <c r="E124" s="676"/>
    </row>
    <row r="125" spans="1:5" s="674" customFormat="1" ht="15.6" x14ac:dyDescent="0.25">
      <c r="A125" s="675"/>
      <c r="C125" s="606"/>
      <c r="D125" s="676"/>
      <c r="E125" s="676"/>
    </row>
    <row r="126" spans="1:5" s="674" customFormat="1" ht="15.6" x14ac:dyDescent="0.25">
      <c r="A126" s="675"/>
      <c r="C126" s="606"/>
      <c r="D126" s="676"/>
      <c r="E126" s="676"/>
    </row>
    <row r="127" spans="1:5" s="674" customFormat="1" ht="15.6" x14ac:dyDescent="0.25">
      <c r="A127" s="675"/>
      <c r="C127" s="606"/>
      <c r="D127" s="676"/>
      <c r="E127" s="676"/>
    </row>
    <row r="128" spans="1:5" s="674" customFormat="1" ht="15.6" x14ac:dyDescent="0.25">
      <c r="A128" s="675"/>
      <c r="C128" s="606"/>
      <c r="D128" s="676"/>
      <c r="E128" s="676"/>
    </row>
    <row r="129" spans="1:5" s="674" customFormat="1" ht="15.6" x14ac:dyDescent="0.25">
      <c r="A129" s="675"/>
      <c r="C129" s="606"/>
      <c r="D129" s="676"/>
      <c r="E129" s="676"/>
    </row>
    <row r="130" spans="1:5" s="674" customFormat="1" ht="15.6" x14ac:dyDescent="0.25">
      <c r="A130" s="675"/>
      <c r="C130" s="606"/>
      <c r="D130" s="676"/>
      <c r="E130" s="676"/>
    </row>
    <row r="131" spans="1:5" s="674" customFormat="1" ht="15.6" x14ac:dyDescent="0.25">
      <c r="A131" s="675"/>
      <c r="C131" s="606"/>
      <c r="D131" s="676"/>
      <c r="E131" s="676"/>
    </row>
    <row r="132" spans="1:5" s="674" customFormat="1" ht="15.6" x14ac:dyDescent="0.25">
      <c r="A132" s="675"/>
      <c r="C132" s="606"/>
      <c r="D132" s="676"/>
      <c r="E132" s="676"/>
    </row>
    <row r="133" spans="1:5" s="674" customFormat="1" ht="15.6" x14ac:dyDescent="0.25">
      <c r="A133" s="675"/>
      <c r="C133" s="606"/>
      <c r="D133" s="676"/>
      <c r="E133" s="676"/>
    </row>
    <row r="134" spans="1:5" s="674" customFormat="1" ht="15.6" x14ac:dyDescent="0.25">
      <c r="A134" s="675"/>
      <c r="C134" s="606"/>
      <c r="D134" s="676"/>
      <c r="E134" s="676"/>
    </row>
    <row r="135" spans="1:5" s="674" customFormat="1" ht="15.6" x14ac:dyDescent="0.25">
      <c r="A135" s="675"/>
      <c r="C135" s="606"/>
      <c r="D135" s="676"/>
      <c r="E135" s="676"/>
    </row>
    <row r="136" spans="1:5" s="674" customFormat="1" ht="15.6" x14ac:dyDescent="0.25">
      <c r="A136" s="675"/>
      <c r="C136" s="606"/>
      <c r="D136" s="676"/>
      <c r="E136" s="676"/>
    </row>
    <row r="137" spans="1:5" s="674" customFormat="1" ht="15.6" x14ac:dyDescent="0.25">
      <c r="A137" s="675"/>
      <c r="C137" s="606"/>
      <c r="D137" s="676"/>
      <c r="E137" s="676"/>
    </row>
    <row r="138" spans="1:5" s="674" customFormat="1" ht="15.6" x14ac:dyDescent="0.25">
      <c r="A138" s="675"/>
      <c r="C138" s="606"/>
      <c r="D138" s="676"/>
      <c r="E138" s="676"/>
    </row>
    <row r="139" spans="1:5" s="674" customFormat="1" ht="15.6" x14ac:dyDescent="0.25">
      <c r="A139" s="675"/>
      <c r="C139" s="606"/>
      <c r="D139" s="676"/>
      <c r="E139" s="676"/>
    </row>
    <row r="140" spans="1:5" s="674" customFormat="1" ht="15.6" x14ac:dyDescent="0.25">
      <c r="A140" s="675"/>
      <c r="C140" s="606"/>
      <c r="D140" s="676"/>
      <c r="E140" s="676"/>
    </row>
    <row r="141" spans="1:5" s="674" customFormat="1" ht="15.6" x14ac:dyDescent="0.25">
      <c r="A141" s="675"/>
      <c r="C141" s="606"/>
      <c r="D141" s="676"/>
      <c r="E141" s="676"/>
    </row>
    <row r="142" spans="1:5" s="674" customFormat="1" ht="15.6" x14ac:dyDescent="0.25">
      <c r="A142" s="675"/>
      <c r="C142" s="606"/>
      <c r="D142" s="676"/>
      <c r="E142" s="676"/>
    </row>
    <row r="143" spans="1:5" s="674" customFormat="1" ht="15.6" x14ac:dyDescent="0.25">
      <c r="A143" s="675"/>
      <c r="C143" s="606"/>
      <c r="D143" s="676"/>
      <c r="E143" s="676"/>
    </row>
    <row r="144" spans="1:5" s="674" customFormat="1" ht="15.6" x14ac:dyDescent="0.25">
      <c r="A144" s="675"/>
      <c r="C144" s="606"/>
      <c r="D144" s="676"/>
      <c r="E144" s="676"/>
    </row>
    <row r="145" spans="1:5" s="674" customFormat="1" ht="15.6" x14ac:dyDescent="0.25">
      <c r="A145" s="675"/>
      <c r="C145" s="606"/>
      <c r="D145" s="676"/>
      <c r="E145" s="676"/>
    </row>
    <row r="146" spans="1:5" s="674" customFormat="1" ht="15.6" x14ac:dyDescent="0.25">
      <c r="A146" s="675"/>
      <c r="C146" s="606"/>
      <c r="D146" s="676"/>
      <c r="E146" s="676"/>
    </row>
    <row r="147" spans="1:5" s="674" customFormat="1" ht="15.6" x14ac:dyDescent="0.25">
      <c r="A147" s="675"/>
      <c r="C147" s="606"/>
      <c r="D147" s="676"/>
      <c r="E147" s="676"/>
    </row>
    <row r="148" spans="1:5" s="674" customFormat="1" ht="15.6" x14ac:dyDescent="0.25">
      <c r="A148" s="675"/>
      <c r="C148" s="606"/>
      <c r="D148" s="676"/>
      <c r="E148" s="676"/>
    </row>
    <row r="149" spans="1:5" s="674" customFormat="1" ht="15.6" x14ac:dyDescent="0.25">
      <c r="A149" s="675"/>
      <c r="C149" s="606"/>
      <c r="D149" s="676"/>
      <c r="E149" s="676"/>
    </row>
    <row r="150" spans="1:5" s="674" customFormat="1" ht="15.6" x14ac:dyDescent="0.25">
      <c r="A150" s="675"/>
      <c r="C150" s="606"/>
      <c r="D150" s="676"/>
      <c r="E150" s="676"/>
    </row>
    <row r="151" spans="1:5" s="674" customFormat="1" ht="15.6" x14ac:dyDescent="0.25">
      <c r="A151" s="675"/>
      <c r="C151" s="606"/>
      <c r="D151" s="676"/>
      <c r="E151" s="676"/>
    </row>
    <row r="152" spans="1:5" s="674" customFormat="1" ht="15.6" x14ac:dyDescent="0.25">
      <c r="A152" s="675"/>
      <c r="C152" s="606"/>
      <c r="D152" s="676"/>
      <c r="E152" s="676"/>
    </row>
    <row r="153" spans="1:5" s="674" customFormat="1" ht="15.6" x14ac:dyDescent="0.25">
      <c r="A153" s="675"/>
      <c r="C153" s="606"/>
      <c r="D153" s="676"/>
      <c r="E153" s="676"/>
    </row>
    <row r="154" spans="1:5" s="674" customFormat="1" ht="15.6" x14ac:dyDescent="0.25">
      <c r="A154" s="675"/>
      <c r="C154" s="606"/>
      <c r="D154" s="676"/>
      <c r="E154" s="676"/>
    </row>
    <row r="155" spans="1:5" s="674" customFormat="1" ht="15.6" x14ac:dyDescent="0.25">
      <c r="A155" s="675"/>
      <c r="C155" s="606"/>
      <c r="D155" s="676"/>
      <c r="E155" s="676"/>
    </row>
    <row r="156" spans="1:5" s="674" customFormat="1" ht="15.6" x14ac:dyDescent="0.25">
      <c r="A156" s="675"/>
      <c r="C156" s="606"/>
      <c r="D156" s="676"/>
      <c r="E156" s="676"/>
    </row>
    <row r="157" spans="1:5" s="674" customFormat="1" ht="15.6" x14ac:dyDescent="0.25">
      <c r="A157" s="675"/>
      <c r="C157" s="606"/>
      <c r="D157" s="676"/>
      <c r="E157" s="676"/>
    </row>
    <row r="158" spans="1:5" s="674" customFormat="1" ht="15.6" x14ac:dyDescent="0.25">
      <c r="A158" s="675"/>
      <c r="C158" s="606"/>
      <c r="D158" s="676"/>
      <c r="E158" s="676"/>
    </row>
    <row r="159" spans="1:5" s="674" customFormat="1" ht="15.6" x14ac:dyDescent="0.25">
      <c r="A159" s="675"/>
      <c r="C159" s="606"/>
      <c r="D159" s="676"/>
      <c r="E159" s="676"/>
    </row>
    <row r="160" spans="1:5" s="674" customFormat="1" ht="15.6" x14ac:dyDescent="0.25">
      <c r="A160" s="675"/>
      <c r="C160" s="606"/>
      <c r="D160" s="676"/>
      <c r="E160" s="676"/>
    </row>
    <row r="161" spans="1:5" s="674" customFormat="1" ht="15.6" x14ac:dyDescent="0.25">
      <c r="A161" s="675"/>
      <c r="C161" s="606"/>
      <c r="D161" s="676"/>
      <c r="E161" s="676"/>
    </row>
    <row r="162" spans="1:5" s="674" customFormat="1" ht="15.6" x14ac:dyDescent="0.25">
      <c r="A162" s="675"/>
      <c r="C162" s="606"/>
      <c r="D162" s="676"/>
      <c r="E162" s="676"/>
    </row>
    <row r="163" spans="1:5" s="674" customFormat="1" ht="15.6" x14ac:dyDescent="0.25">
      <c r="A163" s="675"/>
      <c r="C163" s="606"/>
      <c r="D163" s="676"/>
      <c r="E163" s="676"/>
    </row>
    <row r="164" spans="1:5" s="674" customFormat="1" ht="15.6" x14ac:dyDescent="0.25">
      <c r="A164" s="675"/>
      <c r="C164" s="606"/>
      <c r="D164" s="676"/>
      <c r="E164" s="676"/>
    </row>
    <row r="165" spans="1:5" s="674" customFormat="1" ht="15.6" x14ac:dyDescent="0.25">
      <c r="A165" s="675"/>
      <c r="C165" s="606"/>
      <c r="D165" s="676"/>
      <c r="E165" s="676"/>
    </row>
    <row r="166" spans="1:5" s="674" customFormat="1" ht="15.6" x14ac:dyDescent="0.25">
      <c r="A166" s="675"/>
      <c r="C166" s="606"/>
      <c r="D166" s="676"/>
      <c r="E166" s="676"/>
    </row>
    <row r="167" spans="1:5" s="674" customFormat="1" ht="15.6" x14ac:dyDescent="0.25">
      <c r="A167" s="675"/>
      <c r="C167" s="606"/>
      <c r="D167" s="676"/>
      <c r="E167" s="676"/>
    </row>
    <row r="168" spans="1:5" s="674" customFormat="1" ht="15.6" x14ac:dyDescent="0.25">
      <c r="A168" s="675"/>
      <c r="C168" s="606"/>
      <c r="D168" s="676"/>
      <c r="E168" s="676"/>
    </row>
    <row r="169" spans="1:5" s="674" customFormat="1" ht="15.6" x14ac:dyDescent="0.25">
      <c r="A169" s="675"/>
      <c r="C169" s="606"/>
      <c r="D169" s="676"/>
      <c r="E169" s="676"/>
    </row>
    <row r="170" spans="1:5" s="674" customFormat="1" ht="15.6" x14ac:dyDescent="0.25">
      <c r="A170" s="675"/>
      <c r="C170" s="606"/>
      <c r="D170" s="676"/>
      <c r="E170" s="676"/>
    </row>
    <row r="171" spans="1:5" s="674" customFormat="1" ht="15.6" x14ac:dyDescent="0.25">
      <c r="A171" s="675"/>
      <c r="C171" s="606"/>
      <c r="D171" s="676"/>
      <c r="E171" s="676"/>
    </row>
    <row r="172" spans="1:5" s="674" customFormat="1" ht="15.6" x14ac:dyDescent="0.25">
      <c r="A172" s="675"/>
      <c r="C172" s="606"/>
      <c r="D172" s="676"/>
      <c r="E172" s="676"/>
    </row>
    <row r="173" spans="1:5" s="674" customFormat="1" ht="15.6" x14ac:dyDescent="0.25">
      <c r="A173" s="675"/>
      <c r="C173" s="606"/>
      <c r="D173" s="676"/>
      <c r="E173" s="676"/>
    </row>
    <row r="174" spans="1:5" s="674" customFormat="1" ht="15.6" x14ac:dyDescent="0.25">
      <c r="A174" s="675"/>
      <c r="C174" s="606"/>
      <c r="D174" s="676"/>
      <c r="E174" s="676"/>
    </row>
    <row r="175" spans="1:5" s="674" customFormat="1" ht="15.6" x14ac:dyDescent="0.25">
      <c r="A175" s="675"/>
      <c r="C175" s="606"/>
      <c r="D175" s="676"/>
      <c r="E175" s="676"/>
    </row>
    <row r="176" spans="1:5" s="674" customFormat="1" ht="15.6" x14ac:dyDescent="0.25">
      <c r="A176" s="675"/>
      <c r="C176" s="606"/>
      <c r="D176" s="676"/>
      <c r="E176" s="676"/>
    </row>
    <row r="177" spans="1:5" s="674" customFormat="1" ht="15.6" x14ac:dyDescent="0.25">
      <c r="A177" s="675"/>
      <c r="C177" s="606"/>
      <c r="D177" s="676"/>
      <c r="E177" s="676"/>
    </row>
    <row r="178" spans="1:5" s="674" customFormat="1" ht="15.6" x14ac:dyDescent="0.25">
      <c r="A178" s="675"/>
      <c r="C178" s="606"/>
      <c r="D178" s="676"/>
      <c r="E178" s="676"/>
    </row>
    <row r="179" spans="1:5" s="674" customFormat="1" ht="15.6" x14ac:dyDescent="0.25">
      <c r="A179" s="675"/>
      <c r="C179" s="606"/>
      <c r="D179" s="676"/>
      <c r="E179" s="676"/>
    </row>
    <row r="180" spans="1:5" s="674" customFormat="1" ht="15.6" x14ac:dyDescent="0.25">
      <c r="A180" s="675"/>
      <c r="C180" s="606"/>
      <c r="D180" s="676"/>
      <c r="E180" s="676"/>
    </row>
    <row r="181" spans="1:5" s="674" customFormat="1" ht="15.6" x14ac:dyDescent="0.25">
      <c r="A181" s="675"/>
      <c r="C181" s="606"/>
      <c r="D181" s="676"/>
      <c r="E181" s="676"/>
    </row>
    <row r="182" spans="1:5" s="674" customFormat="1" ht="15.6" x14ac:dyDescent="0.25">
      <c r="A182" s="675"/>
      <c r="C182" s="606"/>
      <c r="D182" s="676"/>
      <c r="E182" s="676"/>
    </row>
    <row r="183" spans="1:5" s="674" customFormat="1" ht="15.6" x14ac:dyDescent="0.25">
      <c r="A183" s="675"/>
      <c r="C183" s="606"/>
      <c r="D183" s="676"/>
      <c r="E183" s="676"/>
    </row>
    <row r="184" spans="1:5" s="674" customFormat="1" ht="15.6" x14ac:dyDescent="0.25">
      <c r="A184" s="675"/>
      <c r="C184" s="606"/>
      <c r="D184" s="676"/>
      <c r="E184" s="676"/>
    </row>
    <row r="185" spans="1:5" s="674" customFormat="1" ht="15.6" x14ac:dyDescent="0.25">
      <c r="A185" s="675"/>
      <c r="C185" s="606"/>
      <c r="D185" s="676"/>
      <c r="E185" s="676"/>
    </row>
    <row r="186" spans="1:5" s="674" customFormat="1" ht="15.6" x14ac:dyDescent="0.25">
      <c r="A186" s="675"/>
      <c r="C186" s="606"/>
      <c r="D186" s="676"/>
      <c r="E186" s="676"/>
    </row>
    <row r="187" spans="1:5" s="674" customFormat="1" ht="15.6" x14ac:dyDescent="0.25">
      <c r="A187" s="675"/>
      <c r="C187" s="606"/>
      <c r="D187" s="676"/>
      <c r="E187" s="676"/>
    </row>
    <row r="188" spans="1:5" s="674" customFormat="1" ht="15.6" x14ac:dyDescent="0.25">
      <c r="A188" s="675"/>
      <c r="C188" s="606"/>
      <c r="D188" s="676"/>
      <c r="E188" s="676"/>
    </row>
    <row r="189" spans="1:5" s="674" customFormat="1" ht="15.6" x14ac:dyDescent="0.25">
      <c r="A189" s="675"/>
      <c r="C189" s="606"/>
      <c r="D189" s="676"/>
      <c r="E189" s="676"/>
    </row>
    <row r="190" spans="1:5" s="674" customFormat="1" ht="15.6" x14ac:dyDescent="0.25">
      <c r="A190" s="675"/>
      <c r="C190" s="606"/>
      <c r="D190" s="676"/>
      <c r="E190" s="676"/>
    </row>
    <row r="191" spans="1:5" s="674" customFormat="1" ht="15.6" x14ac:dyDescent="0.25">
      <c r="A191" s="675"/>
      <c r="C191" s="606"/>
      <c r="D191" s="676"/>
      <c r="E191" s="676"/>
    </row>
    <row r="192" spans="1:5" s="674" customFormat="1" ht="15.6" x14ac:dyDescent="0.25">
      <c r="A192" s="675"/>
      <c r="C192" s="606"/>
      <c r="D192" s="676"/>
      <c r="E192" s="676"/>
    </row>
    <row r="193" spans="1:5" s="674" customFormat="1" ht="15.6" x14ac:dyDescent="0.25">
      <c r="A193" s="675"/>
      <c r="C193" s="606"/>
      <c r="D193" s="676"/>
      <c r="E193" s="676"/>
    </row>
    <row r="194" spans="1:5" s="674" customFormat="1" ht="15.6" x14ac:dyDescent="0.25">
      <c r="A194" s="675"/>
      <c r="C194" s="606"/>
      <c r="D194" s="676"/>
      <c r="E194" s="676"/>
    </row>
    <row r="195" spans="1:5" s="674" customFormat="1" ht="15.6" x14ac:dyDescent="0.25">
      <c r="A195" s="675"/>
      <c r="C195" s="606"/>
      <c r="D195" s="676"/>
      <c r="E195" s="676"/>
    </row>
    <row r="196" spans="1:5" s="674" customFormat="1" ht="15.6" x14ac:dyDescent="0.25">
      <c r="A196" s="675"/>
      <c r="C196" s="606"/>
      <c r="D196" s="676"/>
      <c r="E196" s="676"/>
    </row>
    <row r="197" spans="1:5" s="674" customFormat="1" ht="15.6" x14ac:dyDescent="0.25">
      <c r="A197" s="675"/>
      <c r="C197" s="606"/>
      <c r="D197" s="676"/>
      <c r="E197" s="676"/>
    </row>
    <row r="198" spans="1:5" s="674" customFormat="1" ht="15.6" x14ac:dyDescent="0.25">
      <c r="A198" s="675"/>
      <c r="C198" s="606"/>
      <c r="D198" s="676"/>
      <c r="E198" s="676"/>
    </row>
    <row r="199" spans="1:5" s="674" customFormat="1" ht="15.6" x14ac:dyDescent="0.25">
      <c r="A199" s="675"/>
      <c r="C199" s="606"/>
      <c r="D199" s="676"/>
      <c r="E199" s="676"/>
    </row>
    <row r="200" spans="1:5" s="674" customFormat="1" ht="15.6" x14ac:dyDescent="0.25">
      <c r="A200" s="675"/>
      <c r="C200" s="606"/>
      <c r="D200" s="676"/>
      <c r="E200" s="676"/>
    </row>
    <row r="201" spans="1:5" s="674" customFormat="1" ht="15.6" x14ac:dyDescent="0.25">
      <c r="A201" s="675"/>
      <c r="C201" s="606"/>
      <c r="D201" s="676"/>
      <c r="E201" s="676"/>
    </row>
    <row r="202" spans="1:5" s="674" customFormat="1" ht="15.6" x14ac:dyDescent="0.25">
      <c r="A202" s="675"/>
      <c r="C202" s="606"/>
      <c r="D202" s="676"/>
      <c r="E202" s="676"/>
    </row>
    <row r="203" spans="1:5" s="674" customFormat="1" ht="15.6" x14ac:dyDescent="0.25">
      <c r="A203" s="675"/>
      <c r="C203" s="606"/>
      <c r="D203" s="676"/>
      <c r="E203" s="676"/>
    </row>
    <row r="204" spans="1:5" s="674" customFormat="1" ht="15.6" x14ac:dyDescent="0.25">
      <c r="A204" s="675"/>
      <c r="C204" s="606"/>
      <c r="D204" s="676"/>
      <c r="E204" s="676"/>
    </row>
    <row r="205" spans="1:5" s="674" customFormat="1" ht="15.6" x14ac:dyDescent="0.25">
      <c r="A205" s="675"/>
      <c r="C205" s="606"/>
      <c r="D205" s="676"/>
      <c r="E205" s="676"/>
    </row>
    <row r="206" spans="1:5" s="674" customFormat="1" ht="15.6" x14ac:dyDescent="0.25">
      <c r="A206" s="675"/>
      <c r="C206" s="606"/>
      <c r="D206" s="676"/>
      <c r="E206" s="676"/>
    </row>
    <row r="207" spans="1:5" s="674" customFormat="1" ht="15.6" x14ac:dyDescent="0.25">
      <c r="A207" s="675"/>
      <c r="C207" s="606"/>
      <c r="D207" s="676"/>
      <c r="E207" s="676"/>
    </row>
    <row r="208" spans="1:5" s="674" customFormat="1" ht="15.6" x14ac:dyDescent="0.25">
      <c r="A208" s="675"/>
      <c r="C208" s="606"/>
      <c r="D208" s="676"/>
      <c r="E208" s="676"/>
    </row>
    <row r="209" spans="1:5" s="674" customFormat="1" ht="15.6" x14ac:dyDescent="0.25">
      <c r="A209" s="675"/>
      <c r="C209" s="606"/>
      <c r="D209" s="676"/>
      <c r="E209" s="676"/>
    </row>
    <row r="210" spans="1:5" s="674" customFormat="1" ht="15.6" x14ac:dyDescent="0.25">
      <c r="A210" s="675"/>
      <c r="C210" s="606"/>
      <c r="D210" s="676"/>
      <c r="E210" s="676"/>
    </row>
    <row r="211" spans="1:5" s="674" customFormat="1" ht="15.6" x14ac:dyDescent="0.25">
      <c r="A211" s="675"/>
      <c r="C211" s="606"/>
      <c r="D211" s="676"/>
      <c r="E211" s="676"/>
    </row>
    <row r="212" spans="1:5" s="674" customFormat="1" ht="15.6" x14ac:dyDescent="0.25">
      <c r="A212" s="675"/>
      <c r="C212" s="606"/>
      <c r="D212" s="676"/>
      <c r="E212" s="676"/>
    </row>
    <row r="213" spans="1:5" s="674" customFormat="1" ht="15.6" x14ac:dyDescent="0.25">
      <c r="A213" s="675"/>
      <c r="C213" s="606"/>
      <c r="D213" s="676"/>
      <c r="E213" s="676"/>
    </row>
    <row r="214" spans="1:5" s="674" customFormat="1" ht="15.6" x14ac:dyDescent="0.25">
      <c r="A214" s="675"/>
      <c r="C214" s="606"/>
      <c r="D214" s="676"/>
      <c r="E214" s="676"/>
    </row>
    <row r="215" spans="1:5" s="674" customFormat="1" ht="15.6" x14ac:dyDescent="0.25">
      <c r="A215" s="675"/>
      <c r="C215" s="606"/>
      <c r="D215" s="676"/>
      <c r="E215" s="676"/>
    </row>
    <row r="216" spans="1:5" s="674" customFormat="1" ht="15.6" x14ac:dyDescent="0.25">
      <c r="A216" s="675"/>
      <c r="C216" s="606"/>
      <c r="D216" s="676"/>
      <c r="E216" s="676"/>
    </row>
    <row r="217" spans="1:5" s="674" customFormat="1" ht="15.6" x14ac:dyDescent="0.25">
      <c r="A217" s="675"/>
      <c r="C217" s="606"/>
      <c r="D217" s="676"/>
      <c r="E217" s="676"/>
    </row>
    <row r="218" spans="1:5" s="674" customFormat="1" ht="15.6" x14ac:dyDescent="0.25">
      <c r="A218" s="675"/>
      <c r="C218" s="606"/>
      <c r="D218" s="676"/>
      <c r="E218" s="676"/>
    </row>
    <row r="219" spans="1:5" s="674" customFormat="1" ht="15.6" x14ac:dyDescent="0.25">
      <c r="A219" s="675"/>
      <c r="C219" s="606"/>
      <c r="D219" s="676"/>
      <c r="E219" s="676"/>
    </row>
    <row r="220" spans="1:5" s="674" customFormat="1" ht="15.6" x14ac:dyDescent="0.25">
      <c r="A220" s="675"/>
      <c r="C220" s="606"/>
      <c r="D220" s="676"/>
      <c r="E220" s="676"/>
    </row>
    <row r="221" spans="1:5" s="674" customFormat="1" ht="15.6" x14ac:dyDescent="0.25">
      <c r="A221" s="675"/>
      <c r="C221" s="606"/>
      <c r="D221" s="676"/>
      <c r="E221" s="676"/>
    </row>
    <row r="222" spans="1:5" s="674" customFormat="1" ht="15.6" x14ac:dyDescent="0.25">
      <c r="A222" s="675"/>
      <c r="C222" s="606"/>
      <c r="D222" s="676"/>
      <c r="E222" s="676"/>
    </row>
    <row r="223" spans="1:5" s="674" customFormat="1" ht="15.6" x14ac:dyDescent="0.25">
      <c r="A223" s="675"/>
      <c r="C223" s="606"/>
      <c r="D223" s="676"/>
      <c r="E223" s="676"/>
    </row>
    <row r="224" spans="1:5" s="674" customFormat="1" ht="15.6" x14ac:dyDescent="0.25">
      <c r="A224" s="675"/>
      <c r="C224" s="606"/>
      <c r="D224" s="676"/>
      <c r="E224" s="676"/>
    </row>
    <row r="225" spans="1:5" s="674" customFormat="1" ht="15.6" x14ac:dyDescent="0.25">
      <c r="A225" s="675"/>
      <c r="C225" s="606"/>
      <c r="D225" s="676"/>
      <c r="E225" s="676"/>
    </row>
    <row r="226" spans="1:5" s="674" customFormat="1" ht="15.6" x14ac:dyDescent="0.25">
      <c r="A226" s="675"/>
      <c r="C226" s="606"/>
      <c r="D226" s="676"/>
      <c r="E226" s="676"/>
    </row>
    <row r="227" spans="1:5" s="674" customFormat="1" ht="15.6" x14ac:dyDescent="0.25">
      <c r="A227" s="675"/>
      <c r="C227" s="606"/>
      <c r="D227" s="676"/>
      <c r="E227" s="676"/>
    </row>
    <row r="228" spans="1:5" s="674" customFormat="1" ht="15.6" x14ac:dyDescent="0.25">
      <c r="A228" s="675"/>
      <c r="C228" s="606"/>
      <c r="D228" s="676"/>
      <c r="E228" s="676"/>
    </row>
    <row r="229" spans="1:5" s="674" customFormat="1" ht="15.6" x14ac:dyDescent="0.25">
      <c r="A229" s="675"/>
      <c r="C229" s="606"/>
      <c r="D229" s="676"/>
      <c r="E229" s="676"/>
    </row>
    <row r="230" spans="1:5" s="674" customFormat="1" ht="15.6" x14ac:dyDescent="0.25">
      <c r="A230" s="675"/>
      <c r="C230" s="606"/>
      <c r="D230" s="676"/>
      <c r="E230" s="676"/>
    </row>
    <row r="231" spans="1:5" s="674" customFormat="1" ht="15.6" x14ac:dyDescent="0.25">
      <c r="A231" s="675"/>
      <c r="C231" s="606"/>
      <c r="D231" s="676"/>
      <c r="E231" s="676"/>
    </row>
    <row r="232" spans="1:5" s="674" customFormat="1" ht="15.6" x14ac:dyDescent="0.25">
      <c r="A232" s="675"/>
      <c r="C232" s="606"/>
      <c r="D232" s="676"/>
      <c r="E232" s="676"/>
    </row>
    <row r="233" spans="1:5" s="674" customFormat="1" ht="15.6" x14ac:dyDescent="0.25">
      <c r="A233" s="675"/>
      <c r="C233" s="606"/>
      <c r="D233" s="676"/>
      <c r="E233" s="676"/>
    </row>
    <row r="234" spans="1:5" s="674" customFormat="1" ht="15.6" x14ac:dyDescent="0.25">
      <c r="A234" s="675"/>
      <c r="C234" s="606"/>
      <c r="D234" s="676"/>
      <c r="E234" s="676"/>
    </row>
    <row r="235" spans="1:5" s="674" customFormat="1" ht="15.6" x14ac:dyDescent="0.25">
      <c r="A235" s="675"/>
      <c r="C235" s="606"/>
      <c r="D235" s="676"/>
      <c r="E235" s="676"/>
    </row>
    <row r="236" spans="1:5" s="674" customFormat="1" ht="15.6" x14ac:dyDescent="0.25">
      <c r="A236" s="675"/>
      <c r="C236" s="606"/>
      <c r="D236" s="676"/>
      <c r="E236" s="676"/>
    </row>
    <row r="237" spans="1:5" s="674" customFormat="1" ht="15.6" x14ac:dyDescent="0.25">
      <c r="A237" s="675"/>
      <c r="C237" s="606"/>
      <c r="D237" s="676"/>
      <c r="E237" s="676"/>
    </row>
    <row r="238" spans="1:5" s="674" customFormat="1" ht="15.6" x14ac:dyDescent="0.25">
      <c r="A238" s="675"/>
      <c r="C238" s="606"/>
      <c r="D238" s="676"/>
      <c r="E238" s="676"/>
    </row>
    <row r="239" spans="1:5" s="674" customFormat="1" ht="15.6" x14ac:dyDescent="0.25">
      <c r="A239" s="675"/>
      <c r="C239" s="606"/>
      <c r="D239" s="676"/>
      <c r="E239" s="676"/>
    </row>
    <row r="240" spans="1:5" s="674" customFormat="1" ht="15.6" x14ac:dyDescent="0.25">
      <c r="A240" s="675"/>
      <c r="C240" s="606"/>
      <c r="D240" s="676"/>
      <c r="E240" s="676"/>
    </row>
    <row r="241" spans="1:5" s="674" customFormat="1" ht="15.6" x14ac:dyDescent="0.25">
      <c r="A241" s="675"/>
      <c r="C241" s="606"/>
      <c r="D241" s="676"/>
      <c r="E241" s="676"/>
    </row>
    <row r="242" spans="1:5" s="674" customFormat="1" ht="15.6" x14ac:dyDescent="0.25">
      <c r="A242" s="675"/>
      <c r="C242" s="606"/>
      <c r="D242" s="676"/>
      <c r="E242" s="676"/>
    </row>
    <row r="243" spans="1:5" s="674" customFormat="1" ht="15.6" x14ac:dyDescent="0.25">
      <c r="A243" s="675"/>
      <c r="C243" s="606"/>
      <c r="D243" s="676"/>
      <c r="E243" s="676"/>
    </row>
    <row r="244" spans="1:5" s="674" customFormat="1" ht="15.6" x14ac:dyDescent="0.25">
      <c r="A244" s="675"/>
      <c r="C244" s="606"/>
      <c r="D244" s="676"/>
      <c r="E244" s="676"/>
    </row>
    <row r="245" spans="1:5" s="674" customFormat="1" ht="15.6" x14ac:dyDescent="0.25">
      <c r="A245" s="675"/>
      <c r="C245" s="606"/>
      <c r="D245" s="676"/>
      <c r="E245" s="676"/>
    </row>
    <row r="246" spans="1:5" s="674" customFormat="1" ht="15.6" x14ac:dyDescent="0.25">
      <c r="A246" s="675"/>
      <c r="C246" s="606"/>
      <c r="D246" s="676"/>
      <c r="E246" s="676"/>
    </row>
    <row r="247" spans="1:5" s="674" customFormat="1" ht="15.6" x14ac:dyDescent="0.25">
      <c r="A247" s="675"/>
      <c r="C247" s="606"/>
      <c r="D247" s="676"/>
      <c r="E247" s="676"/>
    </row>
    <row r="248" spans="1:5" s="674" customFormat="1" ht="15.6" x14ac:dyDescent="0.25">
      <c r="A248" s="675"/>
      <c r="C248" s="606"/>
      <c r="D248" s="676"/>
      <c r="E248" s="676"/>
    </row>
    <row r="249" spans="1:5" s="674" customFormat="1" ht="15.6" x14ac:dyDescent="0.25">
      <c r="A249" s="675"/>
      <c r="C249" s="606"/>
      <c r="D249" s="676"/>
      <c r="E249" s="676"/>
    </row>
    <row r="250" spans="1:5" s="674" customFormat="1" ht="15.6" x14ac:dyDescent="0.25">
      <c r="A250" s="675"/>
      <c r="C250" s="606"/>
      <c r="D250" s="676"/>
      <c r="E250" s="676"/>
    </row>
    <row r="251" spans="1:5" s="674" customFormat="1" ht="15.6" x14ac:dyDescent="0.25">
      <c r="A251" s="675"/>
      <c r="C251" s="606"/>
      <c r="D251" s="676"/>
      <c r="E251" s="676"/>
    </row>
    <row r="252" spans="1:5" s="674" customFormat="1" ht="15.6" x14ac:dyDescent="0.25">
      <c r="A252" s="675"/>
      <c r="C252" s="606"/>
      <c r="D252" s="676"/>
      <c r="E252" s="676"/>
    </row>
    <row r="253" spans="1:5" s="674" customFormat="1" ht="15.6" x14ac:dyDescent="0.25">
      <c r="A253" s="675"/>
      <c r="C253" s="606"/>
      <c r="D253" s="676"/>
      <c r="E253" s="676"/>
    </row>
    <row r="254" spans="1:5" s="674" customFormat="1" ht="15.6" x14ac:dyDescent="0.25">
      <c r="A254" s="675"/>
      <c r="C254" s="606"/>
      <c r="D254" s="676"/>
      <c r="E254" s="676"/>
    </row>
    <row r="255" spans="1:5" s="674" customFormat="1" ht="15.6" x14ac:dyDescent="0.25">
      <c r="A255" s="675"/>
      <c r="C255" s="606"/>
      <c r="D255" s="676"/>
      <c r="E255" s="676"/>
    </row>
    <row r="256" spans="1:5" s="674" customFormat="1" ht="15.6" x14ac:dyDescent="0.25">
      <c r="A256" s="675"/>
      <c r="C256" s="606"/>
      <c r="D256" s="676"/>
      <c r="E256" s="676"/>
    </row>
    <row r="257" spans="1:5" s="674" customFormat="1" ht="15.6" x14ac:dyDescent="0.25">
      <c r="A257" s="675"/>
      <c r="C257" s="606"/>
      <c r="D257" s="676"/>
      <c r="E257" s="676"/>
    </row>
    <row r="258" spans="1:5" s="674" customFormat="1" ht="15.6" x14ac:dyDescent="0.25">
      <c r="A258" s="675"/>
      <c r="C258" s="606"/>
      <c r="D258" s="676"/>
      <c r="E258" s="676"/>
    </row>
    <row r="259" spans="1:5" s="674" customFormat="1" ht="15.6" x14ac:dyDescent="0.25">
      <c r="A259" s="675"/>
      <c r="C259" s="606"/>
      <c r="D259" s="676"/>
      <c r="E259" s="676"/>
    </row>
    <row r="260" spans="1:5" s="674" customFormat="1" ht="15.6" x14ac:dyDescent="0.25">
      <c r="A260" s="675"/>
      <c r="C260" s="606"/>
      <c r="D260" s="676"/>
      <c r="E260" s="676"/>
    </row>
    <row r="261" spans="1:5" s="674" customFormat="1" ht="15.6" x14ac:dyDescent="0.25">
      <c r="A261" s="675"/>
      <c r="C261" s="606"/>
      <c r="D261" s="676"/>
      <c r="E261" s="676"/>
    </row>
    <row r="262" spans="1:5" s="674" customFormat="1" ht="15.6" x14ac:dyDescent="0.25">
      <c r="A262" s="675"/>
      <c r="C262" s="606"/>
      <c r="D262" s="676"/>
      <c r="E262" s="676"/>
    </row>
    <row r="263" spans="1:5" s="674" customFormat="1" ht="15.6" x14ac:dyDescent="0.25">
      <c r="A263" s="675"/>
      <c r="C263" s="606"/>
      <c r="D263" s="676"/>
      <c r="E263" s="676"/>
    </row>
    <row r="264" spans="1:5" s="674" customFormat="1" ht="15.6" x14ac:dyDescent="0.25">
      <c r="A264" s="675"/>
      <c r="C264" s="606"/>
      <c r="D264" s="676"/>
      <c r="E264" s="676"/>
    </row>
    <row r="265" spans="1:5" s="674" customFormat="1" ht="15.6" x14ac:dyDescent="0.25">
      <c r="A265" s="675"/>
      <c r="C265" s="606"/>
      <c r="D265" s="676"/>
      <c r="E265" s="676"/>
    </row>
    <row r="266" spans="1:5" s="674" customFormat="1" ht="15.6" x14ac:dyDescent="0.25">
      <c r="A266" s="675"/>
      <c r="C266" s="606"/>
      <c r="D266" s="676"/>
      <c r="E266" s="676"/>
    </row>
    <row r="267" spans="1:5" s="674" customFormat="1" ht="15.6" x14ac:dyDescent="0.25">
      <c r="A267" s="675"/>
      <c r="C267" s="606"/>
      <c r="D267" s="676"/>
      <c r="E267" s="676"/>
    </row>
    <row r="268" spans="1:5" s="674" customFormat="1" ht="15.6" x14ac:dyDescent="0.25">
      <c r="A268" s="675"/>
      <c r="C268" s="606"/>
      <c r="D268" s="676"/>
      <c r="E268" s="676"/>
    </row>
    <row r="269" spans="1:5" s="674" customFormat="1" ht="15.6" x14ac:dyDescent="0.25">
      <c r="A269" s="675"/>
      <c r="C269" s="606"/>
      <c r="D269" s="676"/>
      <c r="E269" s="676"/>
    </row>
    <row r="270" spans="1:5" s="674" customFormat="1" ht="15.6" x14ac:dyDescent="0.25">
      <c r="A270" s="675"/>
      <c r="C270" s="606"/>
      <c r="D270" s="676"/>
      <c r="E270" s="676"/>
    </row>
    <row r="271" spans="1:5" s="674" customFormat="1" ht="15.6" x14ac:dyDescent="0.25">
      <c r="A271" s="675"/>
      <c r="C271" s="606"/>
      <c r="D271" s="676"/>
      <c r="E271" s="676"/>
    </row>
    <row r="272" spans="1:5" s="674" customFormat="1" ht="15.6" x14ac:dyDescent="0.25">
      <c r="A272" s="675"/>
      <c r="C272" s="606"/>
      <c r="D272" s="676"/>
      <c r="E272" s="676"/>
    </row>
    <row r="273" spans="1:5" s="674" customFormat="1" ht="15.6" x14ac:dyDescent="0.25">
      <c r="A273" s="675"/>
      <c r="C273" s="606"/>
      <c r="D273" s="676"/>
      <c r="E273" s="676"/>
    </row>
    <row r="274" spans="1:5" s="674" customFormat="1" ht="15.6" x14ac:dyDescent="0.25">
      <c r="A274" s="675"/>
      <c r="C274" s="606"/>
      <c r="D274" s="676"/>
      <c r="E274" s="676"/>
    </row>
    <row r="275" spans="1:5" s="674" customFormat="1" ht="15.6" x14ac:dyDescent="0.25">
      <c r="A275" s="675"/>
      <c r="C275" s="606"/>
      <c r="D275" s="676"/>
      <c r="E275" s="676"/>
    </row>
    <row r="276" spans="1:5" s="674" customFormat="1" ht="15.6" x14ac:dyDescent="0.25">
      <c r="A276" s="675"/>
      <c r="C276" s="606"/>
      <c r="D276" s="676"/>
      <c r="E276" s="676"/>
    </row>
    <row r="277" spans="1:5" s="674" customFormat="1" ht="15.6" x14ac:dyDescent="0.25">
      <c r="A277" s="675"/>
      <c r="C277" s="606"/>
      <c r="D277" s="676"/>
      <c r="E277" s="676"/>
    </row>
    <row r="278" spans="1:5" s="674" customFormat="1" ht="15.6" x14ac:dyDescent="0.25">
      <c r="A278" s="675"/>
      <c r="C278" s="606"/>
      <c r="D278" s="676"/>
      <c r="E278" s="676"/>
    </row>
    <row r="279" spans="1:5" s="674" customFormat="1" ht="15.6" x14ac:dyDescent="0.25">
      <c r="A279" s="675"/>
      <c r="C279" s="606"/>
      <c r="D279" s="676"/>
      <c r="E279" s="676"/>
    </row>
    <row r="280" spans="1:5" s="674" customFormat="1" ht="15.6" x14ac:dyDescent="0.25">
      <c r="A280" s="675"/>
      <c r="C280" s="606"/>
      <c r="D280" s="676"/>
      <c r="E280" s="676"/>
    </row>
    <row r="281" spans="1:5" s="674" customFormat="1" ht="15.6" x14ac:dyDescent="0.25">
      <c r="A281" s="675"/>
      <c r="C281" s="606"/>
      <c r="D281" s="676"/>
      <c r="E281" s="676"/>
    </row>
    <row r="282" spans="1:5" s="674" customFormat="1" ht="15.6" x14ac:dyDescent="0.25">
      <c r="A282" s="675"/>
      <c r="C282" s="606"/>
      <c r="D282" s="676"/>
      <c r="E282" s="676"/>
    </row>
    <row r="283" spans="1:5" s="674" customFormat="1" ht="15.6" x14ac:dyDescent="0.25">
      <c r="A283" s="675"/>
      <c r="C283" s="606"/>
      <c r="D283" s="676"/>
      <c r="E283" s="676"/>
    </row>
    <row r="284" spans="1:5" s="674" customFormat="1" ht="15.6" x14ac:dyDescent="0.25">
      <c r="A284" s="675"/>
      <c r="C284" s="606"/>
      <c r="D284" s="676"/>
      <c r="E284" s="676"/>
    </row>
    <row r="285" spans="1:5" s="674" customFormat="1" ht="15.6" x14ac:dyDescent="0.25">
      <c r="A285" s="675"/>
      <c r="C285" s="606"/>
      <c r="D285" s="676"/>
      <c r="E285" s="676"/>
    </row>
    <row r="286" spans="1:5" s="674" customFormat="1" ht="15.6" x14ac:dyDescent="0.25">
      <c r="A286" s="675"/>
      <c r="C286" s="606"/>
      <c r="D286" s="676"/>
      <c r="E286" s="676"/>
    </row>
    <row r="287" spans="1:5" s="674" customFormat="1" ht="15.6" x14ac:dyDescent="0.25">
      <c r="A287" s="675"/>
      <c r="C287" s="606"/>
      <c r="D287" s="676"/>
      <c r="E287" s="676"/>
    </row>
    <row r="288" spans="1:5" s="674" customFormat="1" ht="15.6" x14ac:dyDescent="0.25">
      <c r="A288" s="675"/>
      <c r="C288" s="606"/>
      <c r="D288" s="676"/>
      <c r="E288" s="676"/>
    </row>
    <row r="289" spans="1:5" s="674" customFormat="1" ht="15.6" x14ac:dyDescent="0.25">
      <c r="A289" s="675"/>
      <c r="C289" s="606"/>
      <c r="D289" s="676"/>
      <c r="E289" s="676"/>
    </row>
    <row r="290" spans="1:5" s="674" customFormat="1" ht="15.6" x14ac:dyDescent="0.25">
      <c r="A290" s="675"/>
      <c r="C290" s="606"/>
      <c r="D290" s="676"/>
      <c r="E290" s="676"/>
    </row>
    <row r="291" spans="1:5" s="674" customFormat="1" ht="15.6" x14ac:dyDescent="0.25">
      <c r="A291" s="675"/>
      <c r="C291" s="606"/>
      <c r="D291" s="676"/>
      <c r="E291" s="676"/>
    </row>
    <row r="292" spans="1:5" s="674" customFormat="1" ht="15.6" x14ac:dyDescent="0.25">
      <c r="A292" s="675"/>
      <c r="C292" s="606"/>
      <c r="D292" s="676"/>
      <c r="E292" s="676"/>
    </row>
    <row r="293" spans="1:5" s="674" customFormat="1" ht="15.6" x14ac:dyDescent="0.25">
      <c r="A293" s="675"/>
      <c r="C293" s="606"/>
      <c r="D293" s="676"/>
      <c r="E293" s="676"/>
    </row>
    <row r="294" spans="1:5" s="674" customFormat="1" ht="15.6" x14ac:dyDescent="0.25">
      <c r="A294" s="675"/>
      <c r="C294" s="606"/>
      <c r="D294" s="676"/>
      <c r="E294" s="676"/>
    </row>
    <row r="295" spans="1:5" s="674" customFormat="1" ht="15.6" x14ac:dyDescent="0.25">
      <c r="A295" s="675"/>
      <c r="C295" s="606"/>
      <c r="D295" s="676"/>
      <c r="E295" s="676"/>
    </row>
    <row r="296" spans="1:5" s="674" customFormat="1" ht="15.6" x14ac:dyDescent="0.25">
      <c r="A296" s="675"/>
      <c r="C296" s="606"/>
      <c r="D296" s="676"/>
      <c r="E296" s="676"/>
    </row>
    <row r="297" spans="1:5" s="674" customFormat="1" ht="15.6" x14ac:dyDescent="0.25">
      <c r="A297" s="675"/>
      <c r="C297" s="606"/>
      <c r="D297" s="676"/>
      <c r="E297" s="676"/>
    </row>
    <row r="298" spans="1:5" s="674" customFormat="1" ht="15.6" x14ac:dyDescent="0.25">
      <c r="A298" s="675"/>
      <c r="C298" s="606"/>
      <c r="D298" s="676"/>
      <c r="E298" s="676"/>
    </row>
    <row r="299" spans="1:5" s="674" customFormat="1" ht="15.6" x14ac:dyDescent="0.25">
      <c r="A299" s="675"/>
      <c r="C299" s="606"/>
      <c r="D299" s="676"/>
      <c r="E299" s="676"/>
    </row>
    <row r="300" spans="1:5" s="674" customFormat="1" ht="15.6" x14ac:dyDescent="0.25">
      <c r="A300" s="675"/>
      <c r="C300" s="606"/>
      <c r="D300" s="676"/>
      <c r="E300" s="676"/>
    </row>
    <row r="301" spans="1:5" s="674" customFormat="1" ht="15.6" x14ac:dyDescent="0.25">
      <c r="A301" s="675"/>
      <c r="C301" s="606"/>
      <c r="D301" s="676"/>
      <c r="E301" s="676"/>
    </row>
    <row r="302" spans="1:5" s="674" customFormat="1" ht="15.6" x14ac:dyDescent="0.25">
      <c r="A302" s="675"/>
      <c r="C302" s="606"/>
      <c r="D302" s="676"/>
      <c r="E302" s="676"/>
    </row>
    <row r="303" spans="1:5" s="674" customFormat="1" ht="15.6" x14ac:dyDescent="0.25">
      <c r="A303" s="675"/>
      <c r="C303" s="606"/>
      <c r="D303" s="676"/>
      <c r="E303" s="676"/>
    </row>
    <row r="304" spans="1:5" s="674" customFormat="1" ht="15.6" x14ac:dyDescent="0.25">
      <c r="A304" s="675"/>
      <c r="C304" s="606"/>
      <c r="D304" s="676"/>
      <c r="E304" s="676"/>
    </row>
    <row r="305" spans="1:5" s="674" customFormat="1" ht="15.6" x14ac:dyDescent="0.25">
      <c r="A305" s="675"/>
      <c r="C305" s="606"/>
      <c r="D305" s="676"/>
      <c r="E305" s="676"/>
    </row>
    <row r="306" spans="1:5" s="674" customFormat="1" ht="15.6" x14ac:dyDescent="0.25">
      <c r="A306" s="675"/>
      <c r="C306" s="606"/>
      <c r="D306" s="676"/>
      <c r="E306" s="676"/>
    </row>
    <row r="307" spans="1:5" s="674" customFormat="1" ht="15.6" x14ac:dyDescent="0.25">
      <c r="A307" s="675"/>
      <c r="C307" s="606"/>
      <c r="D307" s="676"/>
      <c r="E307" s="676"/>
    </row>
    <row r="308" spans="1:5" s="674" customFormat="1" ht="15.6" x14ac:dyDescent="0.25">
      <c r="A308" s="675"/>
      <c r="C308" s="606"/>
      <c r="D308" s="676"/>
      <c r="E308" s="676"/>
    </row>
    <row r="309" spans="1:5" s="674" customFormat="1" ht="15.6" x14ac:dyDescent="0.25">
      <c r="A309" s="675"/>
      <c r="C309" s="606"/>
      <c r="D309" s="676"/>
      <c r="E309" s="676"/>
    </row>
    <row r="310" spans="1:5" s="674" customFormat="1" ht="15.6" x14ac:dyDescent="0.25">
      <c r="A310" s="675"/>
      <c r="C310" s="606"/>
      <c r="D310" s="676"/>
      <c r="E310" s="676"/>
    </row>
    <row r="311" spans="1:5" s="674" customFormat="1" ht="15.6" x14ac:dyDescent="0.25">
      <c r="A311" s="675"/>
      <c r="C311" s="606"/>
      <c r="D311" s="676"/>
      <c r="E311" s="676"/>
    </row>
    <row r="312" spans="1:5" s="674" customFormat="1" ht="15.6" x14ac:dyDescent="0.25">
      <c r="A312" s="675"/>
      <c r="C312" s="606"/>
      <c r="D312" s="676"/>
      <c r="E312" s="676"/>
    </row>
    <row r="313" spans="1:5" s="674" customFormat="1" ht="15.6" x14ac:dyDescent="0.25">
      <c r="A313" s="675"/>
      <c r="C313" s="606"/>
      <c r="D313" s="676"/>
      <c r="E313" s="676"/>
    </row>
    <row r="314" spans="1:5" s="674" customFormat="1" ht="15.6" x14ac:dyDescent="0.25">
      <c r="A314" s="675"/>
      <c r="C314" s="606"/>
      <c r="D314" s="676"/>
      <c r="E314" s="676"/>
    </row>
    <row r="315" spans="1:5" s="674" customFormat="1" ht="15.6" x14ac:dyDescent="0.25">
      <c r="A315" s="675"/>
      <c r="C315" s="606"/>
      <c r="D315" s="676"/>
      <c r="E315" s="676"/>
    </row>
    <row r="316" spans="1:5" s="674" customFormat="1" ht="15.6" x14ac:dyDescent="0.25">
      <c r="A316" s="675"/>
      <c r="C316" s="606"/>
      <c r="D316" s="676"/>
      <c r="E316" s="676"/>
    </row>
    <row r="317" spans="1:5" s="674" customFormat="1" ht="15.6" x14ac:dyDescent="0.25">
      <c r="A317" s="675"/>
      <c r="C317" s="606"/>
      <c r="D317" s="676"/>
      <c r="E317" s="676"/>
    </row>
    <row r="318" spans="1:5" s="674" customFormat="1" ht="15.6" x14ac:dyDescent="0.25">
      <c r="A318" s="675"/>
      <c r="C318" s="606"/>
      <c r="D318" s="676"/>
      <c r="E318" s="676"/>
    </row>
    <row r="319" spans="1:5" s="674" customFormat="1" ht="15.6" x14ac:dyDescent="0.25">
      <c r="A319" s="675"/>
      <c r="C319" s="606"/>
      <c r="D319" s="676"/>
      <c r="E319" s="676"/>
    </row>
    <row r="320" spans="1:5" s="674" customFormat="1" ht="15.6" x14ac:dyDescent="0.25">
      <c r="A320" s="675"/>
      <c r="C320" s="606"/>
      <c r="D320" s="676"/>
      <c r="E320" s="676"/>
    </row>
    <row r="321" spans="1:5" s="674" customFormat="1" ht="15.6" x14ac:dyDescent="0.25">
      <c r="A321" s="675"/>
      <c r="C321" s="606"/>
      <c r="D321" s="676"/>
      <c r="E321" s="676"/>
    </row>
    <row r="322" spans="1:5" s="674" customFormat="1" ht="15.6" x14ac:dyDescent="0.25">
      <c r="A322" s="675"/>
      <c r="C322" s="606"/>
      <c r="D322" s="676"/>
      <c r="E322" s="676"/>
    </row>
    <row r="323" spans="1:5" s="674" customFormat="1" ht="15.6" x14ac:dyDescent="0.25">
      <c r="A323" s="675"/>
      <c r="C323" s="606"/>
      <c r="D323" s="676"/>
      <c r="E323" s="676"/>
    </row>
    <row r="324" spans="1:5" s="674" customFormat="1" ht="15.6" x14ac:dyDescent="0.25">
      <c r="A324" s="675"/>
      <c r="C324" s="606"/>
      <c r="D324" s="676"/>
      <c r="E324" s="676"/>
    </row>
    <row r="325" spans="1:5" s="674" customFormat="1" ht="15.6" x14ac:dyDescent="0.25">
      <c r="A325" s="675"/>
      <c r="C325" s="606"/>
      <c r="D325" s="676"/>
      <c r="E325" s="676"/>
    </row>
    <row r="326" spans="1:5" s="674" customFormat="1" ht="15.6" x14ac:dyDescent="0.25">
      <c r="A326" s="675"/>
      <c r="C326" s="606"/>
      <c r="D326" s="676"/>
      <c r="E326" s="676"/>
    </row>
    <row r="327" spans="1:5" s="674" customFormat="1" ht="15.6" x14ac:dyDescent="0.25">
      <c r="A327" s="675"/>
      <c r="C327" s="606"/>
      <c r="D327" s="676"/>
      <c r="E327" s="676"/>
    </row>
    <row r="328" spans="1:5" s="674" customFormat="1" ht="15.6" x14ac:dyDescent="0.25">
      <c r="A328" s="675"/>
      <c r="C328" s="606"/>
      <c r="D328" s="676"/>
      <c r="E328" s="676"/>
    </row>
    <row r="329" spans="1:5" s="674" customFormat="1" ht="15.6" x14ac:dyDescent="0.25">
      <c r="A329" s="675"/>
      <c r="C329" s="606"/>
      <c r="D329" s="676"/>
      <c r="E329" s="676"/>
    </row>
    <row r="330" spans="1:5" s="674" customFormat="1" ht="15.6" x14ac:dyDescent="0.25">
      <c r="A330" s="675"/>
      <c r="C330" s="606"/>
      <c r="D330" s="676"/>
      <c r="E330" s="676"/>
    </row>
    <row r="331" spans="1:5" s="674" customFormat="1" ht="15.6" x14ac:dyDescent="0.25">
      <c r="A331" s="675"/>
      <c r="C331" s="606"/>
      <c r="D331" s="676"/>
      <c r="E331" s="676"/>
    </row>
    <row r="332" spans="1:5" s="674" customFormat="1" ht="15.6" x14ac:dyDescent="0.25">
      <c r="A332" s="675"/>
      <c r="C332" s="606"/>
      <c r="D332" s="676"/>
      <c r="E332" s="676"/>
    </row>
    <row r="333" spans="1:5" s="674" customFormat="1" ht="15.6" x14ac:dyDescent="0.25">
      <c r="A333" s="675"/>
      <c r="C333" s="606"/>
      <c r="D333" s="676"/>
      <c r="E333" s="676"/>
    </row>
    <row r="334" spans="1:5" s="674" customFormat="1" ht="15.6" x14ac:dyDescent="0.25">
      <c r="A334" s="675"/>
      <c r="C334" s="606"/>
      <c r="D334" s="676"/>
      <c r="E334" s="676"/>
    </row>
    <row r="335" spans="1:5" s="674" customFormat="1" ht="15.6" x14ac:dyDescent="0.25">
      <c r="A335" s="675"/>
      <c r="C335" s="606"/>
      <c r="D335" s="676"/>
      <c r="E335" s="676"/>
    </row>
    <row r="336" spans="1:5" s="674" customFormat="1" ht="15.6" x14ac:dyDescent="0.25">
      <c r="A336" s="675"/>
      <c r="C336" s="606"/>
      <c r="D336" s="676"/>
      <c r="E336" s="676"/>
    </row>
    <row r="337" spans="1:5" s="674" customFormat="1" ht="15.6" x14ac:dyDescent="0.25">
      <c r="A337" s="675"/>
      <c r="C337" s="606"/>
      <c r="D337" s="676"/>
      <c r="E337" s="676"/>
    </row>
    <row r="338" spans="1:5" s="674" customFormat="1" ht="15.6" x14ac:dyDescent="0.25">
      <c r="A338" s="675"/>
      <c r="C338" s="606"/>
      <c r="D338" s="676"/>
      <c r="E338" s="676"/>
    </row>
    <row r="339" spans="1:5" s="674" customFormat="1" ht="15.6" x14ac:dyDescent="0.25">
      <c r="A339" s="675"/>
      <c r="C339" s="606"/>
      <c r="D339" s="676"/>
      <c r="E339" s="676"/>
    </row>
    <row r="340" spans="1:5" s="674" customFormat="1" ht="15.6" x14ac:dyDescent="0.25">
      <c r="A340" s="675"/>
      <c r="C340" s="606"/>
      <c r="D340" s="676"/>
      <c r="E340" s="676"/>
    </row>
    <row r="341" spans="1:5" s="674" customFormat="1" ht="15.6" x14ac:dyDescent="0.25">
      <c r="A341" s="675"/>
      <c r="C341" s="606"/>
      <c r="D341" s="676"/>
      <c r="E341" s="676"/>
    </row>
    <row r="342" spans="1:5" s="674" customFormat="1" ht="15.6" x14ac:dyDescent="0.25">
      <c r="A342" s="675"/>
      <c r="C342" s="606"/>
      <c r="D342" s="676"/>
      <c r="E342" s="676"/>
    </row>
    <row r="343" spans="1:5" s="674" customFormat="1" ht="15.6" x14ac:dyDescent="0.25">
      <c r="A343" s="675"/>
      <c r="C343" s="606"/>
      <c r="D343" s="676"/>
      <c r="E343" s="676"/>
    </row>
    <row r="344" spans="1:5" s="674" customFormat="1" ht="15.6" x14ac:dyDescent="0.25">
      <c r="A344" s="675"/>
      <c r="C344" s="606"/>
      <c r="D344" s="676"/>
      <c r="E344" s="676"/>
    </row>
    <row r="345" spans="1:5" s="674" customFormat="1" ht="15.6" x14ac:dyDescent="0.25">
      <c r="A345" s="675"/>
      <c r="C345" s="606"/>
      <c r="D345" s="676"/>
      <c r="E345" s="676"/>
    </row>
    <row r="346" spans="1:5" s="674" customFormat="1" ht="15.6" x14ac:dyDescent="0.25">
      <c r="A346" s="675"/>
      <c r="C346" s="606"/>
      <c r="D346" s="676"/>
      <c r="E346" s="676"/>
    </row>
    <row r="347" spans="1:5" s="674" customFormat="1" ht="15.6" x14ac:dyDescent="0.25">
      <c r="A347" s="675"/>
      <c r="C347" s="606"/>
      <c r="D347" s="676"/>
      <c r="E347" s="676"/>
    </row>
    <row r="348" spans="1:5" s="674" customFormat="1" ht="15.6" x14ac:dyDescent="0.25">
      <c r="A348" s="675"/>
      <c r="C348" s="606"/>
      <c r="D348" s="676"/>
      <c r="E348" s="676"/>
    </row>
    <row r="349" spans="1:5" s="674" customFormat="1" ht="15.6" x14ac:dyDescent="0.25">
      <c r="A349" s="675"/>
      <c r="C349" s="606"/>
      <c r="D349" s="676"/>
      <c r="E349" s="676"/>
    </row>
    <row r="350" spans="1:5" s="674" customFormat="1" ht="15.6" x14ac:dyDescent="0.25">
      <c r="A350" s="675"/>
      <c r="C350" s="606"/>
      <c r="D350" s="676"/>
      <c r="E350" s="676"/>
    </row>
    <row r="351" spans="1:5" s="674" customFormat="1" ht="15.6" x14ac:dyDescent="0.25">
      <c r="A351" s="675"/>
      <c r="C351" s="606"/>
      <c r="D351" s="676"/>
      <c r="E351" s="676"/>
    </row>
    <row r="352" spans="1:5" s="674" customFormat="1" ht="15.6" x14ac:dyDescent="0.25">
      <c r="A352" s="675"/>
      <c r="C352" s="606"/>
      <c r="D352" s="676"/>
      <c r="E352" s="676"/>
    </row>
    <row r="353" spans="1:5" s="674" customFormat="1" ht="15.6" x14ac:dyDescent="0.25">
      <c r="A353" s="675"/>
      <c r="C353" s="606"/>
      <c r="D353" s="676"/>
      <c r="E353" s="676"/>
    </row>
    <row r="354" spans="1:5" s="674" customFormat="1" ht="15.6" x14ac:dyDescent="0.25">
      <c r="A354" s="675"/>
      <c r="C354" s="606"/>
      <c r="D354" s="676"/>
      <c r="E354" s="676"/>
    </row>
    <row r="355" spans="1:5" s="674" customFormat="1" ht="15.6" x14ac:dyDescent="0.25">
      <c r="A355" s="675"/>
      <c r="C355" s="606"/>
      <c r="D355" s="676"/>
      <c r="E355" s="676"/>
    </row>
    <row r="356" spans="1:5" s="674" customFormat="1" ht="15.6" x14ac:dyDescent="0.25">
      <c r="A356" s="675"/>
      <c r="C356" s="606"/>
      <c r="D356" s="676"/>
      <c r="E356" s="676"/>
    </row>
    <row r="357" spans="1:5" s="674" customFormat="1" ht="15.6" x14ac:dyDescent="0.25">
      <c r="A357" s="675"/>
      <c r="C357" s="606"/>
      <c r="D357" s="676"/>
      <c r="E357" s="676"/>
    </row>
    <row r="358" spans="1:5" s="674" customFormat="1" ht="15.6" x14ac:dyDescent="0.25">
      <c r="A358" s="675"/>
      <c r="C358" s="606"/>
      <c r="D358" s="676"/>
      <c r="E358" s="676"/>
    </row>
    <row r="359" spans="1:5" s="674" customFormat="1" ht="15.6" x14ac:dyDescent="0.25">
      <c r="A359" s="675"/>
      <c r="C359" s="606"/>
      <c r="D359" s="676"/>
      <c r="E359" s="676"/>
    </row>
    <row r="360" spans="1:5" s="674" customFormat="1" ht="15.6" x14ac:dyDescent="0.25">
      <c r="A360" s="675"/>
      <c r="C360" s="606"/>
      <c r="D360" s="676"/>
      <c r="E360" s="676"/>
    </row>
    <row r="361" spans="1:5" s="674" customFormat="1" ht="15.6" x14ac:dyDescent="0.25">
      <c r="A361" s="675"/>
      <c r="C361" s="606"/>
      <c r="D361" s="676"/>
      <c r="E361" s="676"/>
    </row>
    <row r="362" spans="1:5" s="674" customFormat="1" ht="15.6" x14ac:dyDescent="0.25">
      <c r="A362" s="675"/>
      <c r="C362" s="606"/>
      <c r="D362" s="676"/>
      <c r="E362" s="676"/>
    </row>
    <row r="363" spans="1:5" s="674" customFormat="1" ht="15.6" x14ac:dyDescent="0.25">
      <c r="A363" s="675"/>
      <c r="C363" s="606"/>
      <c r="D363" s="676"/>
      <c r="E363" s="676"/>
    </row>
    <row r="364" spans="1:5" s="674" customFormat="1" ht="15.6" x14ac:dyDescent="0.25">
      <c r="A364" s="675"/>
      <c r="C364" s="606"/>
      <c r="D364" s="676"/>
      <c r="E364" s="676"/>
    </row>
    <row r="365" spans="1:5" s="674" customFormat="1" ht="15.6" x14ac:dyDescent="0.25">
      <c r="A365" s="675"/>
      <c r="C365" s="606"/>
      <c r="D365" s="676"/>
      <c r="E365" s="676"/>
    </row>
    <row r="366" spans="1:5" s="674" customFormat="1" ht="15.6" x14ac:dyDescent="0.25">
      <c r="A366" s="675"/>
      <c r="C366" s="606"/>
      <c r="D366" s="676"/>
      <c r="E366" s="676"/>
    </row>
    <row r="367" spans="1:5" s="674" customFormat="1" ht="15.6" x14ac:dyDescent="0.25">
      <c r="A367" s="675"/>
      <c r="C367" s="606"/>
      <c r="D367" s="676"/>
      <c r="E367" s="676"/>
    </row>
    <row r="368" spans="1:5" s="674" customFormat="1" ht="15.6" x14ac:dyDescent="0.25">
      <c r="A368" s="675"/>
      <c r="C368" s="606"/>
      <c r="D368" s="676"/>
      <c r="E368" s="676"/>
    </row>
    <row r="369" spans="1:5" s="674" customFormat="1" ht="15.6" x14ac:dyDescent="0.25">
      <c r="A369" s="675"/>
      <c r="C369" s="606"/>
      <c r="D369" s="676"/>
      <c r="E369" s="676"/>
    </row>
    <row r="370" spans="1:5" s="674" customFormat="1" ht="15.6" x14ac:dyDescent="0.25">
      <c r="A370" s="675"/>
      <c r="C370" s="606"/>
      <c r="D370" s="676"/>
      <c r="E370" s="676"/>
    </row>
    <row r="371" spans="1:5" s="674" customFormat="1" ht="15.6" x14ac:dyDescent="0.25">
      <c r="A371" s="675"/>
      <c r="C371" s="606"/>
      <c r="D371" s="676"/>
      <c r="E371" s="676"/>
    </row>
    <row r="372" spans="1:5" s="674" customFormat="1" ht="15.6" x14ac:dyDescent="0.25">
      <c r="A372" s="675"/>
      <c r="C372" s="606"/>
      <c r="D372" s="676"/>
      <c r="E372" s="676"/>
    </row>
    <row r="373" spans="1:5" s="674" customFormat="1" ht="15.6" x14ac:dyDescent="0.25">
      <c r="A373" s="675"/>
      <c r="C373" s="606"/>
      <c r="D373" s="676"/>
      <c r="E373" s="676"/>
    </row>
    <row r="374" spans="1:5" s="674" customFormat="1" ht="15.6" x14ac:dyDescent="0.25">
      <c r="A374" s="675"/>
      <c r="C374" s="606"/>
      <c r="D374" s="676"/>
      <c r="E374" s="676"/>
    </row>
    <row r="375" spans="1:5" s="674" customFormat="1" ht="15.6" x14ac:dyDescent="0.25">
      <c r="A375" s="675"/>
      <c r="C375" s="606"/>
      <c r="D375" s="676"/>
      <c r="E375" s="676"/>
    </row>
    <row r="376" spans="1:5" s="674" customFormat="1" ht="15.6" x14ac:dyDescent="0.25">
      <c r="A376" s="675"/>
      <c r="C376" s="606"/>
      <c r="D376" s="676"/>
      <c r="E376" s="676"/>
    </row>
    <row r="377" spans="1:5" s="674" customFormat="1" ht="15.6" x14ac:dyDescent="0.25">
      <c r="A377" s="675"/>
      <c r="C377" s="606"/>
      <c r="D377" s="676"/>
      <c r="E377" s="676"/>
    </row>
    <row r="378" spans="1:5" s="674" customFormat="1" ht="15.6" x14ac:dyDescent="0.25">
      <c r="A378" s="675"/>
      <c r="C378" s="606"/>
      <c r="D378" s="676"/>
      <c r="E378" s="676"/>
    </row>
    <row r="379" spans="1:5" s="674" customFormat="1" ht="15.6" x14ac:dyDescent="0.25">
      <c r="A379" s="675"/>
      <c r="C379" s="606"/>
      <c r="D379" s="676"/>
      <c r="E379" s="676"/>
    </row>
    <row r="380" spans="1:5" s="674" customFormat="1" ht="15.6" x14ac:dyDescent="0.25">
      <c r="A380" s="675"/>
      <c r="C380" s="606"/>
      <c r="D380" s="676"/>
      <c r="E380" s="676"/>
    </row>
    <row r="381" spans="1:5" s="674" customFormat="1" ht="15.6" x14ac:dyDescent="0.25">
      <c r="A381" s="675"/>
      <c r="C381" s="606"/>
      <c r="D381" s="676"/>
      <c r="E381" s="676"/>
    </row>
    <row r="382" spans="1:5" s="674" customFormat="1" ht="15.6" x14ac:dyDescent="0.25">
      <c r="A382" s="675"/>
      <c r="C382" s="606"/>
      <c r="D382" s="676"/>
      <c r="E382" s="676"/>
    </row>
    <row r="383" spans="1:5" s="674" customFormat="1" ht="15.6" x14ac:dyDescent="0.25">
      <c r="A383" s="675"/>
      <c r="C383" s="606"/>
      <c r="D383" s="676"/>
      <c r="E383" s="676"/>
    </row>
    <row r="384" spans="1:5" s="674" customFormat="1" ht="15.6" x14ac:dyDescent="0.25">
      <c r="A384" s="675"/>
      <c r="C384" s="606"/>
      <c r="D384" s="676"/>
      <c r="E384" s="676"/>
    </row>
    <row r="385" spans="1:5" s="674" customFormat="1" ht="15.6" x14ac:dyDescent="0.25">
      <c r="A385" s="675"/>
      <c r="C385" s="606"/>
      <c r="D385" s="676"/>
      <c r="E385" s="676"/>
    </row>
    <row r="386" spans="1:5" s="674" customFormat="1" ht="15.6" x14ac:dyDescent="0.25">
      <c r="A386" s="675"/>
      <c r="C386" s="606"/>
      <c r="D386" s="676"/>
      <c r="E386" s="676"/>
    </row>
    <row r="387" spans="1:5" s="674" customFormat="1" ht="15.6" x14ac:dyDescent="0.25">
      <c r="A387" s="675"/>
      <c r="C387" s="606"/>
      <c r="D387" s="676"/>
      <c r="E387" s="676"/>
    </row>
    <row r="388" spans="1:5" s="674" customFormat="1" ht="15.6" x14ac:dyDescent="0.25">
      <c r="A388" s="675"/>
      <c r="C388" s="606"/>
      <c r="D388" s="676"/>
      <c r="E388" s="676"/>
    </row>
    <row r="389" spans="1:5" s="674" customFormat="1" ht="15.6" x14ac:dyDescent="0.25">
      <c r="A389" s="675"/>
      <c r="C389" s="606"/>
      <c r="D389" s="676"/>
      <c r="E389" s="676"/>
    </row>
    <row r="390" spans="1:5" s="674" customFormat="1" ht="15.6" x14ac:dyDescent="0.25">
      <c r="A390" s="675"/>
      <c r="C390" s="606"/>
      <c r="D390" s="676"/>
      <c r="E390" s="676"/>
    </row>
    <row r="391" spans="1:5" s="674" customFormat="1" ht="15.6" x14ac:dyDescent="0.25">
      <c r="A391" s="675"/>
      <c r="C391" s="606"/>
      <c r="D391" s="676"/>
      <c r="E391" s="676"/>
    </row>
    <row r="392" spans="1:5" s="674" customFormat="1" ht="15.6" x14ac:dyDescent="0.25">
      <c r="A392" s="675"/>
      <c r="C392" s="606"/>
      <c r="D392" s="676"/>
      <c r="E392" s="676"/>
    </row>
    <row r="393" spans="1:5" s="674" customFormat="1" ht="15.6" x14ac:dyDescent="0.25">
      <c r="A393" s="675"/>
      <c r="C393" s="606"/>
      <c r="D393" s="676"/>
      <c r="E393" s="676"/>
    </row>
    <row r="394" spans="1:5" s="674" customFormat="1" ht="15.6" x14ac:dyDescent="0.25">
      <c r="A394" s="675"/>
      <c r="C394" s="606"/>
      <c r="D394" s="676"/>
      <c r="E394" s="676"/>
    </row>
    <row r="395" spans="1:5" s="674" customFormat="1" ht="15.6" x14ac:dyDescent="0.25">
      <c r="A395" s="675"/>
      <c r="C395" s="606"/>
      <c r="D395" s="676"/>
      <c r="E395" s="676"/>
    </row>
    <row r="396" spans="1:5" s="674" customFormat="1" ht="15.6" x14ac:dyDescent="0.25">
      <c r="A396" s="675"/>
      <c r="C396" s="606"/>
      <c r="D396" s="676"/>
      <c r="E396" s="676"/>
    </row>
    <row r="397" spans="1:5" s="674" customFormat="1" ht="15.6" x14ac:dyDescent="0.25">
      <c r="A397" s="675"/>
      <c r="C397" s="606"/>
      <c r="D397" s="676"/>
      <c r="E397" s="676"/>
    </row>
    <row r="398" spans="1:5" s="674" customFormat="1" ht="15.6" x14ac:dyDescent="0.25">
      <c r="A398" s="675"/>
      <c r="C398" s="606"/>
      <c r="D398" s="676"/>
      <c r="E398" s="676"/>
    </row>
    <row r="399" spans="1:5" s="674" customFormat="1" ht="15.6" x14ac:dyDescent="0.25">
      <c r="A399" s="675"/>
      <c r="C399" s="606"/>
      <c r="D399" s="676"/>
      <c r="E399" s="676"/>
    </row>
    <row r="400" spans="1:5" s="674" customFormat="1" ht="15.6" x14ac:dyDescent="0.25">
      <c r="A400" s="675"/>
      <c r="C400" s="606"/>
      <c r="D400" s="676"/>
      <c r="E400" s="676"/>
    </row>
    <row r="401" spans="1:5" s="674" customFormat="1" ht="15.6" x14ac:dyDescent="0.25">
      <c r="A401" s="675"/>
      <c r="C401" s="606"/>
      <c r="D401" s="676"/>
      <c r="E401" s="676"/>
    </row>
    <row r="402" spans="1:5" s="674" customFormat="1" ht="15.6" x14ac:dyDescent="0.25">
      <c r="A402" s="675"/>
      <c r="C402" s="606"/>
      <c r="D402" s="676"/>
      <c r="E402" s="676"/>
    </row>
    <row r="403" spans="1:5" s="674" customFormat="1" ht="15.6" x14ac:dyDescent="0.25">
      <c r="A403" s="675"/>
      <c r="C403" s="606"/>
      <c r="D403" s="676"/>
      <c r="E403" s="676"/>
    </row>
    <row r="404" spans="1:5" s="674" customFormat="1" ht="15.6" x14ac:dyDescent="0.25">
      <c r="A404" s="675"/>
      <c r="C404" s="606"/>
      <c r="D404" s="676"/>
      <c r="E404" s="676"/>
    </row>
    <row r="405" spans="1:5" s="674" customFormat="1" ht="15.6" x14ac:dyDescent="0.25">
      <c r="A405" s="675"/>
      <c r="C405" s="606"/>
      <c r="D405" s="676"/>
      <c r="E405" s="676"/>
    </row>
    <row r="406" spans="1:5" s="674" customFormat="1" ht="15.6" x14ac:dyDescent="0.25">
      <c r="A406" s="675"/>
      <c r="C406" s="606"/>
      <c r="D406" s="676"/>
      <c r="E406" s="676"/>
    </row>
    <row r="407" spans="1:5" s="674" customFormat="1" ht="15.6" x14ac:dyDescent="0.25">
      <c r="A407" s="675"/>
      <c r="C407" s="606"/>
      <c r="D407" s="676"/>
      <c r="E407" s="676"/>
    </row>
    <row r="408" spans="1:5" s="674" customFormat="1" ht="15.6" x14ac:dyDescent="0.25">
      <c r="A408" s="675"/>
      <c r="C408" s="606"/>
      <c r="D408" s="676"/>
      <c r="E408" s="676"/>
    </row>
    <row r="409" spans="1:5" s="674" customFormat="1" ht="15.6" x14ac:dyDescent="0.25">
      <c r="A409" s="675"/>
      <c r="C409" s="606"/>
      <c r="D409" s="676"/>
      <c r="E409" s="676"/>
    </row>
    <row r="410" spans="1:5" s="674" customFormat="1" ht="15.6" x14ac:dyDescent="0.25">
      <c r="A410" s="675"/>
      <c r="C410" s="606"/>
      <c r="D410" s="676"/>
      <c r="E410" s="676"/>
    </row>
    <row r="411" spans="1:5" s="674" customFormat="1" ht="15.6" x14ac:dyDescent="0.25">
      <c r="A411" s="675"/>
      <c r="C411" s="606"/>
      <c r="D411" s="676"/>
      <c r="E411" s="676"/>
    </row>
    <row r="412" spans="1:5" s="674" customFormat="1" ht="15.6" x14ac:dyDescent="0.25">
      <c r="A412" s="675"/>
      <c r="C412" s="606"/>
      <c r="D412" s="676"/>
      <c r="E412" s="676"/>
    </row>
    <row r="413" spans="1:5" s="674" customFormat="1" ht="15.6" x14ac:dyDescent="0.25">
      <c r="A413" s="675"/>
      <c r="C413" s="606"/>
      <c r="D413" s="676"/>
      <c r="E413" s="676"/>
    </row>
    <row r="414" spans="1:5" s="674" customFormat="1" ht="15.6" x14ac:dyDescent="0.25">
      <c r="A414" s="675"/>
      <c r="C414" s="606"/>
      <c r="D414" s="676"/>
      <c r="E414" s="676"/>
    </row>
    <row r="415" spans="1:5" s="674" customFormat="1" ht="15.6" x14ac:dyDescent="0.25">
      <c r="A415" s="675"/>
      <c r="C415" s="606"/>
      <c r="D415" s="676"/>
      <c r="E415" s="676"/>
    </row>
    <row r="416" spans="1:5" s="674" customFormat="1" ht="15.6" x14ac:dyDescent="0.25">
      <c r="A416" s="675"/>
      <c r="C416" s="606"/>
      <c r="D416" s="676"/>
      <c r="E416" s="676"/>
    </row>
    <row r="417" spans="1:5" s="674" customFormat="1" ht="15.6" x14ac:dyDescent="0.25">
      <c r="A417" s="675"/>
      <c r="C417" s="606"/>
      <c r="D417" s="676"/>
      <c r="E417" s="676"/>
    </row>
    <row r="418" spans="1:5" s="674" customFormat="1" ht="15.6" x14ac:dyDescent="0.25">
      <c r="A418" s="675"/>
      <c r="C418" s="606"/>
      <c r="D418" s="676"/>
      <c r="E418" s="676"/>
    </row>
    <row r="419" spans="1:5" s="674" customFormat="1" ht="15.6" x14ac:dyDescent="0.25">
      <c r="A419" s="675"/>
      <c r="C419" s="606"/>
      <c r="D419" s="676"/>
      <c r="E419" s="676"/>
    </row>
    <row r="420" spans="1:5" s="674" customFormat="1" ht="15.6" x14ac:dyDescent="0.25">
      <c r="A420" s="675"/>
      <c r="C420" s="606"/>
      <c r="D420" s="676"/>
      <c r="E420" s="676"/>
    </row>
    <row r="421" spans="1:5" s="674" customFormat="1" ht="15.6" x14ac:dyDescent="0.25">
      <c r="A421" s="675"/>
      <c r="C421" s="606"/>
      <c r="D421" s="676"/>
      <c r="E421" s="676"/>
    </row>
    <row r="422" spans="1:5" s="674" customFormat="1" ht="15.6" x14ac:dyDescent="0.25">
      <c r="A422" s="675"/>
      <c r="C422" s="606"/>
      <c r="D422" s="676"/>
      <c r="E422" s="67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85" zoomScaleNormal="85" zoomScaleSheetLayoutView="80" workbookViewId="0">
      <selection activeCell="D2" sqref="D2"/>
    </sheetView>
  </sheetViews>
  <sheetFormatPr defaultRowHeight="14.4" x14ac:dyDescent="0.3"/>
  <cols>
    <col min="1" max="1" width="32.21875" customWidth="1"/>
    <col min="2" max="2" width="78.21875" customWidth="1"/>
    <col min="3" max="3" width="1.44140625" customWidth="1"/>
    <col min="8" max="8" width="31" customWidth="1"/>
  </cols>
  <sheetData>
    <row r="1" spans="1:2" x14ac:dyDescent="0.3">
      <c r="A1" s="158"/>
      <c r="B1" s="720"/>
    </row>
    <row r="2" spans="1:2" x14ac:dyDescent="0.3">
      <c r="A2" s="770"/>
      <c r="B2" s="775"/>
    </row>
    <row r="3" spans="1:2" ht="31.2" x14ac:dyDescent="0.6">
      <c r="A3" s="771" t="s">
        <v>1828</v>
      </c>
      <c r="B3" s="775"/>
    </row>
    <row r="4" spans="1:2" x14ac:dyDescent="0.3">
      <c r="A4" s="770"/>
      <c r="B4" s="775"/>
    </row>
    <row r="5" spans="1:2" x14ac:dyDescent="0.3">
      <c r="A5" s="147"/>
      <c r="B5" s="146"/>
    </row>
    <row r="6" spans="1:2" ht="31.2" x14ac:dyDescent="0.6">
      <c r="A6" s="772" t="s">
        <v>1829</v>
      </c>
      <c r="B6" s="146"/>
    </row>
    <row r="7" spans="1:2" ht="31.2" x14ac:dyDescent="0.3">
      <c r="A7" s="773" t="s">
        <v>1830</v>
      </c>
      <c r="B7" s="146"/>
    </row>
    <row r="8" spans="1:2" ht="31.2" x14ac:dyDescent="0.3">
      <c r="A8" s="773" t="s">
        <v>1831</v>
      </c>
      <c r="B8" s="146"/>
    </row>
    <row r="9" spans="1:2" ht="31.2" x14ac:dyDescent="0.3">
      <c r="A9" s="773" t="s">
        <v>1832</v>
      </c>
      <c r="B9" s="146"/>
    </row>
    <row r="10" spans="1:2" ht="25.8" x14ac:dyDescent="0.5">
      <c r="A10" s="774" t="s">
        <v>1833</v>
      </c>
      <c r="B10" s="146"/>
    </row>
    <row r="11" spans="1:2" x14ac:dyDescent="0.3">
      <c r="A11" s="147"/>
      <c r="B11" s="146"/>
    </row>
    <row r="12" spans="1:2" ht="31.2" x14ac:dyDescent="0.3">
      <c r="A12" s="773" t="s">
        <v>1834</v>
      </c>
      <c r="B12" s="146"/>
    </row>
    <row r="13" spans="1:2" x14ac:dyDescent="0.3">
      <c r="A13" s="147"/>
      <c r="B13" s="146"/>
    </row>
    <row r="14" spans="1:2" x14ac:dyDescent="0.3">
      <c r="A14" s="147"/>
      <c r="B14" s="150"/>
    </row>
    <row r="15" spans="1:2" ht="28.8" x14ac:dyDescent="0.3">
      <c r="A15" s="776" t="s">
        <v>1835</v>
      </c>
      <c r="B15" s="150" t="s">
        <v>1836</v>
      </c>
    </row>
    <row r="16" spans="1:2" x14ac:dyDescent="0.3">
      <c r="A16" s="212" t="s">
        <v>1837</v>
      </c>
      <c r="B16" s="137" t="s">
        <v>1838</v>
      </c>
    </row>
    <row r="17" spans="1:2" x14ac:dyDescent="0.3">
      <c r="A17" s="212" t="s">
        <v>1839</v>
      </c>
      <c r="B17" s="137" t="s">
        <v>1840</v>
      </c>
    </row>
    <row r="18" spans="1:2" x14ac:dyDescent="0.3">
      <c r="A18" s="212" t="s">
        <v>1841</v>
      </c>
      <c r="B18" s="137" t="s">
        <v>1842</v>
      </c>
    </row>
    <row r="19" spans="1:2" x14ac:dyDescent="0.3">
      <c r="A19" s="212" t="s">
        <v>1843</v>
      </c>
      <c r="B19" s="137" t="s">
        <v>1844</v>
      </c>
    </row>
    <row r="20" spans="1:2" x14ac:dyDescent="0.3">
      <c r="A20" s="212" t="s">
        <v>1845</v>
      </c>
      <c r="B20" s="137" t="s">
        <v>1846</v>
      </c>
    </row>
    <row r="21" spans="1:2" x14ac:dyDescent="0.3">
      <c r="A21" s="212" t="s">
        <v>1847</v>
      </c>
      <c r="B21" s="137" t="s">
        <v>1848</v>
      </c>
    </row>
    <row r="22" spans="1:2" x14ac:dyDescent="0.3">
      <c r="A22" s="212" t="s">
        <v>1849</v>
      </c>
      <c r="B22" s="137" t="s">
        <v>1850</v>
      </c>
    </row>
    <row r="23" spans="1:2" x14ac:dyDescent="0.3">
      <c r="A23" s="148"/>
      <c r="B23"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4" x14ac:dyDescent="0.3"/>
  <cols>
    <col min="1" max="2" width="3.77734375" customWidth="1"/>
    <col min="3" max="3" width="20.5546875" customWidth="1"/>
    <col min="4" max="4" width="3.77734375" customWidth="1"/>
    <col min="5" max="5" width="20.5546875" customWidth="1"/>
    <col min="6" max="6" width="3.77734375" customWidth="1"/>
    <col min="7" max="7" width="20.5546875" customWidth="1"/>
    <col min="8" max="8" width="3.77734375" customWidth="1"/>
    <col min="9" max="9" width="20.5546875" customWidth="1"/>
    <col min="10" max="10" width="3.77734375" customWidth="1"/>
    <col min="11" max="11" width="20.5546875" customWidth="1"/>
    <col min="12" max="14" width="3.77734375" customWidth="1"/>
    <col min="15" max="15" width="20.5546875" customWidth="1"/>
    <col min="16" max="16" width="3.77734375" customWidth="1"/>
    <col min="17" max="17" width="20.5546875" customWidth="1"/>
    <col min="18" max="18" width="3.77734375" customWidth="1"/>
    <col min="19" max="19" width="20.5546875" customWidth="1"/>
    <col min="20" max="20" width="3.77734375" customWidth="1"/>
  </cols>
  <sheetData>
    <row r="2" spans="2:21" ht="25.8" x14ac:dyDescent="0.5">
      <c r="B2" s="333" t="s">
        <v>1851</v>
      </c>
      <c r="C2" s="331"/>
      <c r="D2" s="331"/>
      <c r="E2" s="331"/>
      <c r="F2" s="331"/>
      <c r="G2" s="331"/>
      <c r="H2" s="331"/>
      <c r="I2" s="331"/>
      <c r="J2" s="331"/>
      <c r="K2" s="331"/>
      <c r="L2" s="331"/>
      <c r="M2" s="331"/>
      <c r="N2" s="331"/>
      <c r="O2" s="331"/>
      <c r="P2" s="331"/>
      <c r="Q2" s="331"/>
      <c r="R2" s="331"/>
      <c r="S2" s="331"/>
      <c r="T2" s="332"/>
    </row>
    <row r="4" spans="2:21" x14ac:dyDescent="0.3">
      <c r="B4" s="203" t="s">
        <v>1852</v>
      </c>
      <c r="C4" s="804"/>
      <c r="D4" s="804"/>
      <c r="E4" s="804"/>
      <c r="F4" s="804"/>
      <c r="G4" s="804"/>
      <c r="H4" s="804"/>
      <c r="I4" s="804"/>
      <c r="J4" s="804"/>
      <c r="K4" s="804"/>
      <c r="L4" s="804"/>
      <c r="M4" s="804"/>
      <c r="N4" s="804"/>
      <c r="O4" s="804"/>
      <c r="P4" s="804"/>
      <c r="Q4" s="804"/>
      <c r="R4" s="804"/>
      <c r="S4" s="804"/>
      <c r="T4" s="805"/>
    </row>
    <row r="5" spans="2:21" x14ac:dyDescent="0.3">
      <c r="B5" s="205" t="s">
        <v>1853</v>
      </c>
      <c r="C5" s="204"/>
      <c r="D5" s="204"/>
      <c r="E5" s="204"/>
      <c r="F5" s="204"/>
      <c r="G5" s="204"/>
      <c r="H5" s="204"/>
      <c r="I5" s="204"/>
      <c r="J5" s="204"/>
      <c r="K5" s="204"/>
      <c r="L5" s="204"/>
      <c r="M5" s="204"/>
      <c r="N5" s="204"/>
      <c r="O5" s="204"/>
      <c r="P5" s="204"/>
      <c r="Q5" s="204"/>
      <c r="R5" s="204"/>
      <c r="S5" s="204"/>
      <c r="T5" s="206"/>
    </row>
    <row r="6" spans="2:21" x14ac:dyDescent="0.3">
      <c r="R6" s="176"/>
      <c r="S6" s="176"/>
      <c r="T6" s="176"/>
    </row>
    <row r="7" spans="2:21" x14ac:dyDescent="0.3">
      <c r="B7" s="203"/>
      <c r="C7" s="804"/>
      <c r="D7" s="804"/>
      <c r="E7" s="804"/>
      <c r="F7" s="804"/>
      <c r="G7" s="804"/>
      <c r="H7" s="804"/>
      <c r="I7" s="804"/>
      <c r="J7" s="804"/>
      <c r="K7" s="804"/>
      <c r="L7" s="805"/>
      <c r="N7" s="203"/>
      <c r="O7" s="804"/>
      <c r="P7" s="804"/>
      <c r="Q7" s="804"/>
      <c r="R7" s="201"/>
      <c r="S7" s="201"/>
      <c r="T7" s="201"/>
      <c r="U7" s="147"/>
    </row>
    <row r="8" spans="2:21" ht="46.8" x14ac:dyDescent="0.3">
      <c r="B8" s="207"/>
      <c r="C8" s="318" t="s">
        <v>1854</v>
      </c>
      <c r="D8" s="391"/>
      <c r="E8" s="318" t="s">
        <v>1855</v>
      </c>
      <c r="F8" s="391"/>
      <c r="G8" s="318" t="s">
        <v>1856</v>
      </c>
      <c r="H8" s="391"/>
      <c r="I8" s="318" t="s">
        <v>1857</v>
      </c>
      <c r="J8" s="391"/>
      <c r="K8" s="388" t="s">
        <v>1858</v>
      </c>
      <c r="L8" s="392"/>
      <c r="M8" s="319"/>
      <c r="N8" s="395"/>
      <c r="O8" s="320" t="s">
        <v>1859</v>
      </c>
      <c r="P8" s="395"/>
      <c r="Q8" s="320" t="s">
        <v>1860</v>
      </c>
      <c r="R8" s="391"/>
      <c r="S8" s="320" t="s">
        <v>1861</v>
      </c>
      <c r="T8" s="391"/>
      <c r="U8" s="147"/>
    </row>
    <row r="9" spans="2:21" x14ac:dyDescent="0.3">
      <c r="B9" s="207"/>
      <c r="C9" s="201"/>
      <c r="D9" s="201"/>
      <c r="E9" s="201"/>
      <c r="F9" s="201"/>
      <c r="G9" s="201"/>
      <c r="H9" s="201"/>
      <c r="I9" s="201"/>
      <c r="J9" s="201"/>
      <c r="K9" s="201"/>
      <c r="L9" s="208"/>
      <c r="N9" s="207"/>
      <c r="O9" s="201"/>
      <c r="P9" s="201"/>
      <c r="Q9" s="201"/>
      <c r="R9" s="201"/>
      <c r="S9" s="201"/>
      <c r="T9" s="201"/>
      <c r="U9" s="147"/>
    </row>
    <row r="10" spans="2:21" ht="40.049999999999997" customHeight="1" x14ac:dyDescent="0.3">
      <c r="B10" s="207"/>
      <c r="C10" s="389"/>
      <c r="D10" s="176"/>
      <c r="E10" s="699"/>
      <c r="F10" s="176"/>
      <c r="G10" s="435" t="s">
        <v>1862</v>
      </c>
      <c r="H10" s="436"/>
      <c r="I10" s="436"/>
      <c r="J10" s="176"/>
      <c r="K10" s="390"/>
      <c r="L10" s="208"/>
      <c r="N10" s="207"/>
      <c r="O10" s="389"/>
      <c r="P10" s="176"/>
      <c r="Q10" s="436" t="s">
        <v>1863</v>
      </c>
      <c r="R10" s="176"/>
      <c r="S10" s="390"/>
      <c r="T10" s="201"/>
      <c r="U10" s="147"/>
    </row>
    <row r="11" spans="2:21" x14ac:dyDescent="0.3">
      <c r="B11" s="207"/>
      <c r="C11" s="201"/>
      <c r="D11" s="201"/>
      <c r="E11" s="201"/>
      <c r="F11" s="201"/>
      <c r="G11" s="201"/>
      <c r="H11" s="201"/>
      <c r="I11" s="201"/>
      <c r="J11" s="201"/>
      <c r="K11" s="201"/>
      <c r="L11" s="208"/>
      <c r="N11" s="207"/>
      <c r="O11" s="201"/>
      <c r="P11" s="201"/>
      <c r="Q11" s="201"/>
      <c r="R11" s="201"/>
      <c r="S11" s="201"/>
      <c r="T11" s="201"/>
      <c r="U11" s="147"/>
    </row>
    <row r="12" spans="2:21" ht="175.05" customHeight="1" x14ac:dyDescent="0.3">
      <c r="B12" s="207"/>
      <c r="C12" s="317" t="s">
        <v>1864</v>
      </c>
      <c r="D12" s="393"/>
      <c r="E12" s="317" t="s">
        <v>1865</v>
      </c>
      <c r="F12" s="393"/>
      <c r="G12" s="315" t="s">
        <v>1866</v>
      </c>
      <c r="H12" s="393"/>
      <c r="I12" s="316" t="s">
        <v>1867</v>
      </c>
      <c r="J12" s="393"/>
      <c r="K12" s="315" t="s">
        <v>1868</v>
      </c>
      <c r="L12" s="394"/>
      <c r="M12" s="215"/>
      <c r="N12" s="396"/>
      <c r="O12" s="317" t="s">
        <v>1869</v>
      </c>
      <c r="P12" s="396"/>
      <c r="Q12" s="351" t="s">
        <v>1870</v>
      </c>
      <c r="R12" s="393"/>
      <c r="S12" s="351" t="s">
        <v>1871</v>
      </c>
      <c r="T12" s="393"/>
      <c r="U12" s="147"/>
    </row>
    <row r="13" spans="2:21" x14ac:dyDescent="0.3">
      <c r="B13" s="205"/>
      <c r="C13" s="204"/>
      <c r="D13" s="204"/>
      <c r="E13" s="204"/>
      <c r="F13" s="204"/>
      <c r="G13" s="204"/>
      <c r="H13" s="204"/>
      <c r="I13" s="204"/>
      <c r="J13" s="204"/>
      <c r="K13" s="204"/>
      <c r="L13" s="206"/>
      <c r="N13" s="205"/>
      <c r="O13" s="204"/>
      <c r="P13" s="397"/>
      <c r="Q13" s="397"/>
      <c r="R13" s="397"/>
      <c r="S13" s="397"/>
      <c r="T13" s="397"/>
      <c r="U13" s="147"/>
    </row>
    <row r="16" spans="2:21" x14ac:dyDescent="0.3">
      <c r="B16" s="203"/>
      <c r="C16" s="804"/>
      <c r="D16" s="804"/>
      <c r="E16" s="804"/>
      <c r="F16" s="804"/>
      <c r="G16" s="804"/>
      <c r="H16" s="804"/>
      <c r="I16" s="804"/>
      <c r="J16" s="804"/>
      <c r="K16" s="804"/>
      <c r="L16" s="804"/>
      <c r="M16" s="804"/>
      <c r="N16" s="804"/>
      <c r="O16" s="804"/>
      <c r="P16" s="804"/>
      <c r="Q16" s="804"/>
      <c r="R16" s="804"/>
      <c r="S16" s="804"/>
      <c r="T16" s="805"/>
    </row>
    <row r="17" spans="2:20" x14ac:dyDescent="0.3">
      <c r="B17" s="207" t="s">
        <v>1872</v>
      </c>
      <c r="C17" s="201"/>
      <c r="D17" s="201"/>
      <c r="E17" s="201"/>
      <c r="F17" s="201"/>
      <c r="G17" s="201"/>
      <c r="H17" s="201"/>
      <c r="I17" s="201"/>
      <c r="J17" s="201"/>
      <c r="K17" s="201"/>
      <c r="L17" s="201"/>
      <c r="M17" s="201"/>
      <c r="N17" s="201"/>
      <c r="O17" s="201"/>
      <c r="P17" s="201"/>
      <c r="Q17" s="201"/>
      <c r="R17" s="201"/>
      <c r="S17" s="201"/>
      <c r="T17" s="208"/>
    </row>
    <row r="18" spans="2:20" x14ac:dyDescent="0.3">
      <c r="B18" s="398" t="s">
        <v>1873</v>
      </c>
      <c r="C18" s="201"/>
      <c r="D18" s="201"/>
      <c r="E18" s="201"/>
      <c r="F18" s="201"/>
      <c r="G18" s="201"/>
      <c r="H18" s="201"/>
      <c r="I18" s="201"/>
      <c r="J18" s="201"/>
      <c r="K18" s="201"/>
      <c r="L18" s="201"/>
      <c r="M18" s="201"/>
      <c r="N18" s="201"/>
      <c r="O18" s="201"/>
      <c r="P18" s="201"/>
      <c r="Q18" s="201"/>
      <c r="R18" s="201"/>
      <c r="S18" s="201"/>
      <c r="T18" s="208"/>
    </row>
    <row r="19" spans="2:20" x14ac:dyDescent="0.3">
      <c r="B19" s="399" t="s">
        <v>1874</v>
      </c>
      <c r="C19" s="201"/>
      <c r="D19" s="201"/>
      <c r="E19" s="201"/>
      <c r="F19" s="201"/>
      <c r="G19" s="201"/>
      <c r="H19" s="201"/>
      <c r="I19" s="201"/>
      <c r="J19" s="201"/>
      <c r="K19" s="201"/>
      <c r="L19" s="201"/>
      <c r="M19" s="201"/>
      <c r="N19" s="201"/>
      <c r="O19" s="201"/>
      <c r="P19" s="201"/>
      <c r="Q19" s="201"/>
      <c r="R19" s="201"/>
      <c r="S19" s="201"/>
      <c r="T19" s="208"/>
    </row>
    <row r="20" spans="2:20" x14ac:dyDescent="0.3">
      <c r="B20" s="400" t="s">
        <v>1875</v>
      </c>
      <c r="C20" s="201"/>
      <c r="D20" s="201"/>
      <c r="E20" s="201"/>
      <c r="F20" s="201"/>
      <c r="G20" s="201"/>
      <c r="H20" s="201"/>
      <c r="I20" s="201"/>
      <c r="J20" s="201"/>
      <c r="K20" s="201"/>
      <c r="L20" s="201"/>
      <c r="M20" s="201"/>
      <c r="N20" s="201"/>
      <c r="O20" s="201"/>
      <c r="P20" s="201"/>
      <c r="Q20" s="201"/>
      <c r="R20" s="201"/>
      <c r="S20" s="201"/>
      <c r="T20" s="208"/>
    </row>
    <row r="21" spans="2:20" x14ac:dyDescent="0.3">
      <c r="B21" s="399" t="s">
        <v>1876</v>
      </c>
      <c r="C21" s="201"/>
      <c r="D21" s="201"/>
      <c r="E21" s="201"/>
      <c r="F21" s="201"/>
      <c r="G21" s="201"/>
      <c r="H21" s="201"/>
      <c r="I21" s="201"/>
      <c r="J21" s="201"/>
      <c r="K21" s="201"/>
      <c r="L21" s="201"/>
      <c r="M21" s="201"/>
      <c r="N21" s="201"/>
      <c r="O21" s="201"/>
      <c r="P21" s="201"/>
      <c r="Q21" s="201"/>
      <c r="R21" s="201"/>
      <c r="S21" s="201"/>
      <c r="T21" s="208"/>
    </row>
    <row r="22" spans="2:20" x14ac:dyDescent="0.3">
      <c r="B22" s="399" t="s">
        <v>1877</v>
      </c>
      <c r="C22" s="201"/>
      <c r="D22" s="201"/>
      <c r="E22" s="201"/>
      <c r="F22" s="201"/>
      <c r="G22" s="201"/>
      <c r="H22" s="201"/>
      <c r="I22" s="201"/>
      <c r="J22" s="201"/>
      <c r="K22" s="201"/>
      <c r="L22" s="201"/>
      <c r="M22" s="201"/>
      <c r="N22" s="201"/>
      <c r="O22" s="201"/>
      <c r="P22" s="201"/>
      <c r="Q22" s="201"/>
      <c r="R22" s="201"/>
      <c r="S22" s="201"/>
      <c r="T22" s="208"/>
    </row>
    <row r="23" spans="2:20" x14ac:dyDescent="0.3">
      <c r="B23" s="207"/>
      <c r="C23" s="201"/>
      <c r="D23" s="201"/>
      <c r="E23" s="201"/>
      <c r="F23" s="201"/>
      <c r="G23" s="201"/>
      <c r="H23" s="201"/>
      <c r="I23" s="201"/>
      <c r="J23" s="201"/>
      <c r="K23" s="201"/>
      <c r="L23" s="201"/>
      <c r="M23" s="201"/>
      <c r="N23" s="201"/>
      <c r="O23" s="201"/>
      <c r="P23" s="201"/>
      <c r="Q23" s="201"/>
      <c r="R23" s="201"/>
      <c r="S23" s="201"/>
      <c r="T23" s="208"/>
    </row>
    <row r="24" spans="2:20" x14ac:dyDescent="0.3">
      <c r="B24" s="401" t="s">
        <v>1878</v>
      </c>
      <c r="C24" s="201"/>
      <c r="D24" s="201"/>
      <c r="E24" s="201"/>
      <c r="F24" s="201"/>
      <c r="G24" s="201"/>
      <c r="H24" s="201"/>
      <c r="I24" s="201"/>
      <c r="J24" s="201"/>
      <c r="K24" s="201"/>
      <c r="L24" s="201"/>
      <c r="M24" s="201"/>
      <c r="N24" s="201"/>
      <c r="O24" s="201"/>
      <c r="P24" s="201"/>
      <c r="Q24" s="201"/>
      <c r="R24" s="201"/>
      <c r="S24" s="201"/>
      <c r="T24" s="208"/>
    </row>
    <row r="25" spans="2:20" x14ac:dyDescent="0.3">
      <c r="B25" s="205"/>
      <c r="C25" s="204"/>
      <c r="D25" s="204"/>
      <c r="E25" s="204"/>
      <c r="F25" s="204"/>
      <c r="G25" s="204"/>
      <c r="H25" s="204"/>
      <c r="I25" s="204"/>
      <c r="J25" s="204"/>
      <c r="K25" s="204"/>
      <c r="L25" s="204"/>
      <c r="M25" s="204"/>
      <c r="N25" s="204"/>
      <c r="O25" s="204"/>
      <c r="P25" s="204"/>
      <c r="Q25" s="204"/>
      <c r="R25" s="204"/>
      <c r="S25" s="204"/>
      <c r="T25" s="206"/>
    </row>
  </sheetData>
  <sheetProtection algorithmName="SHA-512" hashValue="KeoZcOG+gOW1dqoevirazTr3ANhIKfEqqGGOAMRxPxSqNTuRCnHdyf8GnjEvY2n46LHINN8DOzWsK+3acM0D0w==" saltValue="IxC39UFYb4JGsjNkr2BnpQ=="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87"/>
  <sheetViews>
    <sheetView showGridLines="0" zoomScale="55" zoomScaleNormal="55" zoomScaleSheetLayoutView="25" workbookViewId="0"/>
  </sheetViews>
  <sheetFormatPr defaultRowHeight="14.4" x14ac:dyDescent="0.3"/>
  <cols>
    <col min="1" max="1" width="2.44140625" customWidth="1"/>
    <col min="2" max="2" width="5.77734375" customWidth="1"/>
    <col min="3" max="3" width="63" customWidth="1"/>
    <col min="4" max="4" width="18" customWidth="1"/>
    <col min="5" max="5" width="13.21875" customWidth="1"/>
    <col min="6" max="8" width="13.44140625" customWidth="1"/>
    <col min="9" max="9" width="13.77734375" customWidth="1"/>
    <col min="10" max="10" width="15.21875" customWidth="1"/>
    <col min="11" max="16" width="13.44140625" customWidth="1"/>
    <col min="17" max="17" width="3.44140625" customWidth="1"/>
  </cols>
  <sheetData>
    <row r="1" spans="2:22" ht="30" customHeight="1" x14ac:dyDescent="0.3">
      <c r="B1" s="445" t="s">
        <v>1879</v>
      </c>
    </row>
    <row r="2" spans="2:22" ht="30" customHeight="1" x14ac:dyDescent="0.3">
      <c r="B2" s="143" t="s">
        <v>1880</v>
      </c>
      <c r="C2" s="143"/>
      <c r="D2" s="157"/>
      <c r="E2" s="142"/>
      <c r="F2" s="142"/>
      <c r="G2" s="142"/>
      <c r="H2" s="142"/>
      <c r="I2" s="142"/>
      <c r="J2" s="142"/>
      <c r="K2" s="142"/>
      <c r="L2" s="142"/>
      <c r="M2" s="142"/>
      <c r="N2" s="142"/>
      <c r="O2" s="142"/>
      <c r="P2" s="142"/>
      <c r="Q2" s="142"/>
      <c r="R2" s="142"/>
      <c r="S2" s="142"/>
      <c r="T2" s="142"/>
      <c r="U2" s="142"/>
      <c r="V2" s="142"/>
    </row>
    <row r="4" spans="2:22" x14ac:dyDescent="0.3">
      <c r="B4" s="144" t="s">
        <v>1881</v>
      </c>
      <c r="C4" s="755"/>
      <c r="D4" s="755"/>
      <c r="E4" s="755"/>
      <c r="F4" s="755"/>
      <c r="G4" s="755"/>
      <c r="H4" s="755"/>
      <c r="I4" s="755"/>
      <c r="J4" s="755"/>
      <c r="K4" s="755"/>
      <c r="L4" s="755"/>
      <c r="M4" s="755"/>
      <c r="N4" s="755"/>
      <c r="O4" s="755"/>
      <c r="P4" s="755"/>
      <c r="Q4" s="755"/>
      <c r="R4" s="755"/>
      <c r="S4" s="755"/>
      <c r="T4" s="755"/>
      <c r="U4" s="755"/>
      <c r="V4" s="720"/>
    </row>
    <row r="5" spans="2:22" x14ac:dyDescent="0.3">
      <c r="B5" s="147"/>
      <c r="C5" t="s">
        <v>1882</v>
      </c>
      <c r="V5" s="146"/>
    </row>
    <row r="6" spans="2:22" x14ac:dyDescent="0.3">
      <c r="B6" s="147"/>
      <c r="C6" t="s">
        <v>1883</v>
      </c>
      <c r="V6" s="146"/>
    </row>
    <row r="7" spans="2:22" x14ac:dyDescent="0.3">
      <c r="B7" s="147"/>
      <c r="C7" t="s">
        <v>1884</v>
      </c>
      <c r="V7" s="146"/>
    </row>
    <row r="8" spans="2:22" x14ac:dyDescent="0.3">
      <c r="B8" s="148"/>
      <c r="C8" s="149"/>
      <c r="D8" s="149"/>
      <c r="E8" s="149"/>
      <c r="F8" s="149"/>
      <c r="G8" s="149"/>
      <c r="H8" s="149"/>
      <c r="I8" s="149"/>
      <c r="J8" s="149"/>
      <c r="K8" s="149"/>
      <c r="L8" s="149"/>
      <c r="M8" s="149"/>
      <c r="N8" s="149"/>
      <c r="O8" s="149"/>
      <c r="P8" s="149"/>
      <c r="V8" s="146"/>
    </row>
    <row r="9" spans="2:22" x14ac:dyDescent="0.3">
      <c r="Q9" s="176"/>
      <c r="R9" s="176"/>
      <c r="S9" s="176"/>
      <c r="T9" s="176"/>
      <c r="U9" s="176"/>
      <c r="V9" s="176"/>
    </row>
    <row r="10" spans="2:22" x14ac:dyDescent="0.3">
      <c r="B10" s="144" t="s">
        <v>1885</v>
      </c>
      <c r="C10" s="755"/>
      <c r="D10" s="755"/>
      <c r="E10" s="755"/>
      <c r="F10" s="755"/>
      <c r="G10" s="755"/>
      <c r="H10" s="755"/>
      <c r="I10" s="755"/>
      <c r="J10" s="755"/>
      <c r="K10" s="755"/>
      <c r="L10" s="755"/>
      <c r="M10" s="755"/>
      <c r="N10" s="755"/>
      <c r="O10" s="755"/>
      <c r="P10" s="755"/>
      <c r="V10" s="146"/>
    </row>
    <row r="11" spans="2:22" x14ac:dyDescent="0.3">
      <c r="B11" s="145"/>
      <c r="C11" s="140" t="s">
        <v>1886</v>
      </c>
      <c r="D11" s="138" t="s">
        <v>21</v>
      </c>
      <c r="V11" s="146"/>
    </row>
    <row r="12" spans="2:22" x14ac:dyDescent="0.3">
      <c r="B12" s="145"/>
      <c r="C12" s="140" t="s">
        <v>41</v>
      </c>
      <c r="D12" s="138" t="s">
        <v>62</v>
      </c>
      <c r="E12" s="116">
        <f>'Population selection'!F14</f>
        <v>45691677</v>
      </c>
      <c r="F12" s="744" t="s">
        <v>1887</v>
      </c>
      <c r="V12" s="146"/>
    </row>
    <row r="13" spans="2:22" x14ac:dyDescent="0.3">
      <c r="B13" s="145"/>
      <c r="C13" s="140"/>
      <c r="E13" s="783">
        <v>2.5222393017283001E-2</v>
      </c>
      <c r="F13" s="171" t="s">
        <v>1888</v>
      </c>
      <c r="V13" s="146"/>
    </row>
    <row r="14" spans="2:22" x14ac:dyDescent="0.3">
      <c r="B14" s="145"/>
      <c r="C14" s="136"/>
      <c r="E14" s="163">
        <f>(100%+E13)*E12</f>
        <v>46844130.434912749</v>
      </c>
      <c r="F14" t="s">
        <v>1889</v>
      </c>
      <c r="V14" s="146"/>
    </row>
    <row r="15" spans="2:22" x14ac:dyDescent="0.3">
      <c r="B15" s="145"/>
      <c r="C15" s="136"/>
      <c r="F15" s="258"/>
      <c r="V15" s="146"/>
    </row>
    <row r="16" spans="2:22" x14ac:dyDescent="0.3">
      <c r="B16" s="145"/>
      <c r="C16" s="140" t="s">
        <v>1890</v>
      </c>
      <c r="D16" s="820"/>
      <c r="E16" t="s">
        <v>1891</v>
      </c>
      <c r="F16" s="258"/>
      <c r="V16" s="146"/>
    </row>
    <row r="17" spans="2:22" x14ac:dyDescent="0.3">
      <c r="B17" s="145"/>
      <c r="C17" s="136"/>
      <c r="F17" s="258"/>
      <c r="V17" s="146"/>
    </row>
    <row r="18" spans="2:22" x14ac:dyDescent="0.3">
      <c r="B18" s="147"/>
      <c r="C18" s="140" t="s">
        <v>1892</v>
      </c>
      <c r="D18" s="508">
        <v>8.7908194773067497E-3</v>
      </c>
      <c r="E18" t="str">
        <f>IF(D18=0.00879081947730675,"Enter local estimate or delete the NICE assumption if required","Local value")</f>
        <v>Enter local estimate or delete the NICE assumption if required</v>
      </c>
      <c r="V18" s="146"/>
    </row>
    <row r="19" spans="2:22" x14ac:dyDescent="0.3">
      <c r="B19" s="147"/>
      <c r="C19" s="140" t="s">
        <v>1893</v>
      </c>
      <c r="D19" s="508">
        <v>0</v>
      </c>
      <c r="E19" t="str">
        <f>IF(D19=0,"Enter local estimate or delete the NICE assumption if required","Local value")</f>
        <v>Enter local estimate or delete the NICE assumption if required</v>
      </c>
      <c r="V19" s="146"/>
    </row>
    <row r="20" spans="2:22" x14ac:dyDescent="0.3">
      <c r="B20" s="148"/>
      <c r="C20" s="149"/>
      <c r="D20" s="149"/>
      <c r="E20" s="149"/>
      <c r="F20" s="149"/>
      <c r="G20" s="149"/>
      <c r="H20" s="149"/>
      <c r="I20" s="149"/>
      <c r="J20" s="149"/>
      <c r="K20" s="149"/>
      <c r="L20" s="149"/>
      <c r="M20" s="149"/>
      <c r="N20" s="149"/>
      <c r="O20" s="149"/>
      <c r="P20" s="149"/>
      <c r="Q20" s="149"/>
      <c r="R20" s="149"/>
      <c r="S20" s="149"/>
      <c r="T20" s="149"/>
      <c r="U20" s="149"/>
      <c r="V20" s="150"/>
    </row>
    <row r="22" spans="2:22" x14ac:dyDescent="0.3">
      <c r="B22" s="144" t="s">
        <v>1894</v>
      </c>
      <c r="C22" s="755"/>
      <c r="D22" s="755"/>
      <c r="E22" s="755"/>
      <c r="F22" s="755"/>
      <c r="G22" s="755"/>
      <c r="H22" s="755"/>
      <c r="I22" s="755"/>
      <c r="J22" s="755"/>
      <c r="K22" s="755"/>
      <c r="L22" s="755"/>
      <c r="M22" s="755"/>
      <c r="N22" s="755"/>
      <c r="O22" s="755"/>
      <c r="P22" s="755"/>
      <c r="Q22" s="755"/>
      <c r="R22" s="755"/>
      <c r="S22" s="755"/>
      <c r="T22" s="755"/>
      <c r="U22" s="755"/>
      <c r="V22" s="720"/>
    </row>
    <row r="23" spans="2:22" ht="88.5" customHeight="1" x14ac:dyDescent="0.3">
      <c r="B23" s="145"/>
      <c r="E23" s="213" t="s">
        <v>1895</v>
      </c>
      <c r="F23" s="152" t="s">
        <v>1896</v>
      </c>
      <c r="G23" s="152" t="s">
        <v>1897</v>
      </c>
      <c r="H23" s="211" t="s">
        <v>1898</v>
      </c>
      <c r="I23" s="152" t="s">
        <v>1899</v>
      </c>
      <c r="J23" s="152" t="s">
        <v>1900</v>
      </c>
      <c r="K23" s="804"/>
      <c r="L23" s="804"/>
      <c r="M23" s="804"/>
      <c r="N23" s="804"/>
      <c r="O23" s="804"/>
      <c r="P23" s="804"/>
      <c r="Q23" s="804"/>
      <c r="R23" s="804"/>
      <c r="S23" s="804"/>
      <c r="T23" s="804"/>
      <c r="U23" s="804"/>
      <c r="V23" s="805"/>
    </row>
    <row r="24" spans="2:22" x14ac:dyDescent="0.3">
      <c r="B24" s="145"/>
      <c r="C24" s="212" t="s">
        <v>1901</v>
      </c>
      <c r="D24" s="155"/>
      <c r="E24" s="186"/>
      <c r="F24" s="306">
        <f>IF(D18&lt;&gt;"",D18+100%,100%)</f>
        <v>1.0087908194773068</v>
      </c>
      <c r="G24" s="306">
        <f>IF($D$18&lt;&gt;"",F24*(100%+$D$18),100%)</f>
        <v>1.0176589174616961</v>
      </c>
      <c r="H24" s="306">
        <f>IF($D$18&lt;&gt;"",G24*(100%+$D$18),100%)</f>
        <v>1.0266049732945732</v>
      </c>
      <c r="I24" s="306">
        <f>IF($D$18&lt;&gt;"",H24*(100%+$D$18),100%)</f>
        <v>1.0356296722893112</v>
      </c>
      <c r="J24" s="306">
        <f>IF($D$18&lt;&gt;"",I24*(100%+$D$18),100%)</f>
        <v>1.0447337057837489</v>
      </c>
      <c r="K24" s="176" t="s">
        <v>1902</v>
      </c>
      <c r="L24" s="176"/>
      <c r="M24" s="176"/>
      <c r="N24" s="176"/>
      <c r="O24" s="176"/>
      <c r="P24" s="176"/>
      <c r="Q24" s="176"/>
      <c r="R24" s="176"/>
      <c r="S24" s="176"/>
      <c r="T24" s="176"/>
      <c r="U24" s="176"/>
      <c r="V24" s="155"/>
    </row>
    <row r="25" spans="2:22" x14ac:dyDescent="0.3">
      <c r="B25" s="145"/>
      <c r="C25" s="212" t="s">
        <v>1903</v>
      </c>
      <c r="D25" s="155"/>
      <c r="E25" s="186"/>
      <c r="F25" s="306">
        <f>IF(D19&lt;&gt;"",D19+100%,100%)</f>
        <v>1</v>
      </c>
      <c r="G25" s="306">
        <f>IF($D$19&lt;&gt;"",F25*(100%+$D$19),100%)</f>
        <v>1</v>
      </c>
      <c r="H25" s="306">
        <f>IF($D$19&lt;&gt;"",G25*(100%+$D$19),100%)</f>
        <v>1</v>
      </c>
      <c r="I25" s="306">
        <f>IF($D$19&lt;&gt;"",H25*(100%+$D$19),100%)</f>
        <v>1</v>
      </c>
      <c r="J25" s="306">
        <f>IF($D$19&lt;&gt;"",I25*(100%+$D$19),100%)</f>
        <v>1</v>
      </c>
      <c r="K25" s="149" t="s">
        <v>1902</v>
      </c>
      <c r="L25" s="149"/>
      <c r="M25" s="149"/>
      <c r="N25" s="149"/>
      <c r="O25" s="149"/>
      <c r="P25" s="149"/>
      <c r="Q25" s="149"/>
      <c r="R25" s="149"/>
      <c r="S25" s="149"/>
      <c r="T25" s="149"/>
      <c r="U25" s="149"/>
      <c r="V25" s="150"/>
    </row>
    <row r="26" spans="2:22" x14ac:dyDescent="0.3">
      <c r="B26" s="147"/>
      <c r="C26" s="347" t="str">
        <f>"Baseline population (inflated by growth(s))"</f>
        <v>Baseline population (inflated by growth(s))</v>
      </c>
      <c r="D26" s="155"/>
      <c r="E26" s="116">
        <f>IF(ISBLANK(D16),E14,D16)</f>
        <v>46844130.434912749</v>
      </c>
      <c r="F26" s="116">
        <f>E26*F24</f>
        <v>47255928.72913748</v>
      </c>
      <c r="G26" s="116">
        <f>E26*G24</f>
        <v>47671347.067827798</v>
      </c>
      <c r="H26" s="116">
        <f>E26*H24</f>
        <v>48090417.27414111</v>
      </c>
      <c r="I26" s="116">
        <f>E26*I24</f>
        <v>48513171.450986437</v>
      </c>
      <c r="J26" s="116">
        <f>E26*J24</f>
        <v>48939641.983483694</v>
      </c>
      <c r="K26" s="778" t="s">
        <v>1904</v>
      </c>
      <c r="L26" s="176"/>
      <c r="M26" s="176"/>
      <c r="N26" s="176"/>
      <c r="O26" s="176"/>
      <c r="P26" s="176"/>
      <c r="Q26" s="176"/>
      <c r="R26" s="176"/>
      <c r="S26" s="176"/>
      <c r="T26" s="176"/>
      <c r="U26" s="176"/>
      <c r="V26" s="155"/>
    </row>
    <row r="27" spans="2:22" x14ac:dyDescent="0.3">
      <c r="B27" s="147"/>
      <c r="C27" s="154" t="s">
        <v>1905</v>
      </c>
      <c r="D27" s="508">
        <v>1.1299999999999999E-3</v>
      </c>
      <c r="E27" s="777">
        <f>E26*$D27</f>
        <v>52933.8673914514</v>
      </c>
      <c r="F27" s="777">
        <f t="shared" ref="F27:J32" si="0">F26*$D27</f>
        <v>53399.199463925346</v>
      </c>
      <c r="G27" s="777">
        <f t="shared" si="0"/>
        <v>53868.622186645407</v>
      </c>
      <c r="H27" s="777">
        <f t="shared" si="0"/>
        <v>54342.171519779455</v>
      </c>
      <c r="I27" s="777">
        <f t="shared" si="0"/>
        <v>54819.88373961467</v>
      </c>
      <c r="J27" s="777">
        <f t="shared" si="0"/>
        <v>55301.795441336573</v>
      </c>
      <c r="K27" s="867" t="s">
        <v>1906</v>
      </c>
      <c r="L27" s="214"/>
      <c r="M27" s="214"/>
      <c r="N27" s="214"/>
      <c r="O27" s="214"/>
      <c r="P27" s="214"/>
      <c r="Q27" s="214"/>
      <c r="R27" s="214"/>
      <c r="S27" s="214"/>
      <c r="T27" s="214"/>
      <c r="U27" s="214"/>
      <c r="V27" s="742"/>
    </row>
    <row r="28" spans="2:22" x14ac:dyDescent="0.3">
      <c r="B28" s="147"/>
      <c r="C28" s="154" t="s">
        <v>1907</v>
      </c>
      <c r="D28" s="508">
        <v>0.94279999999999997</v>
      </c>
      <c r="E28" s="777">
        <f>E27*$D28</f>
        <v>49906.050176660377</v>
      </c>
      <c r="F28" s="777">
        <f t="shared" si="0"/>
        <v>50344.765254588812</v>
      </c>
      <c r="G28" s="777">
        <f t="shared" si="0"/>
        <v>50787.336997569291</v>
      </c>
      <c r="H28" s="777">
        <f t="shared" si="0"/>
        <v>51233.799308848065</v>
      </c>
      <c r="I28" s="777">
        <f t="shared" si="0"/>
        <v>51684.18638970871</v>
      </c>
      <c r="J28" s="777">
        <f t="shared" si="0"/>
        <v>52138.532742092117</v>
      </c>
      <c r="K28" s="860" t="s">
        <v>1908</v>
      </c>
      <c r="L28" s="214"/>
      <c r="M28" s="214"/>
      <c r="N28" s="214"/>
      <c r="O28" s="214"/>
      <c r="P28" s="214"/>
      <c r="Q28" s="214"/>
      <c r="R28" s="214"/>
      <c r="S28" s="214"/>
      <c r="T28" s="214"/>
      <c r="U28" s="214"/>
      <c r="V28" s="742"/>
    </row>
    <row r="29" spans="2:22" x14ac:dyDescent="0.3">
      <c r="B29" s="147"/>
      <c r="C29" s="154" t="s">
        <v>1909</v>
      </c>
      <c r="D29" s="508">
        <v>0.56000000000000005</v>
      </c>
      <c r="E29" s="777">
        <f t="shared" ref="E29:E32" si="1">E28*$D29</f>
        <v>27947.388098929812</v>
      </c>
      <c r="F29" s="777">
        <f t="shared" si="0"/>
        <v>28193.068542569737</v>
      </c>
      <c r="G29" s="777">
        <f t="shared" si="0"/>
        <v>28440.908718638806</v>
      </c>
      <c r="H29" s="777">
        <f t="shared" si="0"/>
        <v>28690.927612954918</v>
      </c>
      <c r="I29" s="777">
        <f t="shared" si="0"/>
        <v>28943.144378236881</v>
      </c>
      <c r="J29" s="777">
        <f t="shared" si="0"/>
        <v>29197.578335571587</v>
      </c>
      <c r="K29" s="176" t="s">
        <v>1910</v>
      </c>
      <c r="L29" s="176"/>
      <c r="M29" s="176"/>
      <c r="N29" s="176"/>
      <c r="O29" s="176"/>
      <c r="P29" s="176"/>
      <c r="Q29" s="176"/>
      <c r="R29" s="176"/>
      <c r="S29" s="176"/>
      <c r="T29" s="176"/>
      <c r="U29" s="176"/>
      <c r="V29" s="155"/>
    </row>
    <row r="30" spans="2:22" x14ac:dyDescent="0.3">
      <c r="B30" s="147"/>
      <c r="C30" s="154" t="s">
        <v>1911</v>
      </c>
      <c r="D30" s="508">
        <v>0.95</v>
      </c>
      <c r="E30" s="777">
        <f t="shared" si="1"/>
        <v>26550.018693983322</v>
      </c>
      <c r="F30" s="777">
        <f t="shared" si="0"/>
        <v>26783.41511544125</v>
      </c>
      <c r="G30" s="777">
        <f t="shared" si="0"/>
        <v>27018.863282706865</v>
      </c>
      <c r="H30" s="777">
        <f t="shared" si="0"/>
        <v>27256.381232307172</v>
      </c>
      <c r="I30" s="777">
        <f t="shared" si="0"/>
        <v>27495.987159325035</v>
      </c>
      <c r="J30" s="777">
        <f t="shared" si="0"/>
        <v>27737.699418793007</v>
      </c>
      <c r="K30" s="176" t="s">
        <v>1912</v>
      </c>
      <c r="L30" s="176"/>
      <c r="M30" s="176"/>
      <c r="N30" s="176"/>
      <c r="O30" s="176"/>
      <c r="P30" s="176"/>
      <c r="Q30" s="176"/>
      <c r="R30" s="176"/>
      <c r="S30" s="176"/>
      <c r="T30" s="176"/>
      <c r="U30" s="176"/>
      <c r="V30" s="155"/>
    </row>
    <row r="31" spans="2:22" x14ac:dyDescent="0.3">
      <c r="B31" s="147"/>
      <c r="C31" s="154" t="s">
        <v>1913</v>
      </c>
      <c r="D31" s="508">
        <v>1</v>
      </c>
      <c r="E31" s="777">
        <f t="shared" si="1"/>
        <v>26550.018693983322</v>
      </c>
      <c r="F31" s="777">
        <f t="shared" si="0"/>
        <v>26783.41511544125</v>
      </c>
      <c r="G31" s="777">
        <f t="shared" si="0"/>
        <v>27018.863282706865</v>
      </c>
      <c r="H31" s="777">
        <f t="shared" si="0"/>
        <v>27256.381232307172</v>
      </c>
      <c r="I31" s="777">
        <f t="shared" si="0"/>
        <v>27495.987159325035</v>
      </c>
      <c r="J31" s="777">
        <f t="shared" si="0"/>
        <v>27737.699418793007</v>
      </c>
      <c r="K31" s="176" t="s">
        <v>1914</v>
      </c>
      <c r="L31" s="176"/>
      <c r="M31" s="176"/>
      <c r="N31" s="176"/>
      <c r="O31" s="176"/>
      <c r="P31" s="176"/>
      <c r="Q31" s="176"/>
      <c r="R31" s="176"/>
      <c r="S31" s="176"/>
      <c r="T31" s="176"/>
      <c r="U31" s="176"/>
      <c r="V31" s="176"/>
    </row>
    <row r="32" spans="2:22" x14ac:dyDescent="0.3">
      <c r="B32" s="147"/>
      <c r="C32" s="859" t="s">
        <v>1915</v>
      </c>
      <c r="D32" s="508">
        <v>0.30599999999999999</v>
      </c>
      <c r="E32" s="777">
        <f t="shared" si="1"/>
        <v>8124.305720358896</v>
      </c>
      <c r="F32" s="777">
        <f t="shared" si="0"/>
        <v>8195.7250253250222</v>
      </c>
      <c r="G32" s="777">
        <f t="shared" si="0"/>
        <v>8267.7721645083002</v>
      </c>
      <c r="H32" s="777">
        <f t="shared" si="0"/>
        <v>8340.4526570859944</v>
      </c>
      <c r="I32" s="777">
        <f t="shared" si="0"/>
        <v>8413.7720707534609</v>
      </c>
      <c r="J32" s="777">
        <f t="shared" si="0"/>
        <v>8487.7360221506606</v>
      </c>
      <c r="K32" s="897" t="s">
        <v>1916</v>
      </c>
      <c r="L32" s="898"/>
      <c r="M32" s="898"/>
      <c r="N32" s="898"/>
      <c r="O32" s="898"/>
      <c r="P32" s="898"/>
      <c r="Q32" s="898"/>
      <c r="R32" s="898"/>
      <c r="S32" s="898"/>
      <c r="T32" s="898"/>
      <c r="U32" s="898"/>
      <c r="V32" s="899"/>
    </row>
    <row r="33" spans="2:22" x14ac:dyDescent="0.3">
      <c r="B33" s="147"/>
      <c r="C33" s="747" t="s">
        <v>1917</v>
      </c>
      <c r="D33" s="748"/>
      <c r="E33" s="884">
        <f>E32</f>
        <v>8124.305720358896</v>
      </c>
      <c r="F33" s="884">
        <f t="shared" ref="F33:J33" si="2">F32</f>
        <v>8195.7250253250222</v>
      </c>
      <c r="G33" s="884">
        <f t="shared" si="2"/>
        <v>8267.7721645083002</v>
      </c>
      <c r="H33" s="884">
        <f t="shared" si="2"/>
        <v>8340.4526570859944</v>
      </c>
      <c r="I33" s="884">
        <f t="shared" si="2"/>
        <v>8413.7720707534609</v>
      </c>
      <c r="J33" s="884">
        <f t="shared" si="2"/>
        <v>8487.7360221506606</v>
      </c>
      <c r="K33" s="176" t="s">
        <v>1918</v>
      </c>
      <c r="L33" s="176"/>
      <c r="M33" s="176"/>
      <c r="N33" s="176"/>
      <c r="O33" s="176"/>
      <c r="P33" s="176"/>
      <c r="Q33" s="176"/>
      <c r="R33" s="176"/>
      <c r="S33" s="176"/>
      <c r="T33" s="176"/>
      <c r="U33" s="176"/>
      <c r="V33" s="155"/>
    </row>
    <row r="34" spans="2:22" x14ac:dyDescent="0.3">
      <c r="B34" s="147"/>
      <c r="C34" s="749" t="s">
        <v>1919</v>
      </c>
      <c r="D34" s="750"/>
      <c r="E34" s="746">
        <f>E33</f>
        <v>8124.305720358896</v>
      </c>
      <c r="F34" s="745">
        <f>F33*F25</f>
        <v>8195.7250253250222</v>
      </c>
      <c r="G34" s="745">
        <f t="shared" ref="G34:J34" si="3">G33*G25</f>
        <v>8267.7721645083002</v>
      </c>
      <c r="H34" s="745">
        <f t="shared" si="3"/>
        <v>8340.4526570859944</v>
      </c>
      <c r="I34" s="745">
        <f t="shared" si="3"/>
        <v>8413.7720707534609</v>
      </c>
      <c r="J34" s="745">
        <f t="shared" si="3"/>
        <v>8487.7360221506606</v>
      </c>
      <c r="V34" s="146"/>
    </row>
    <row r="35" spans="2:22" x14ac:dyDescent="0.3">
      <c r="B35" s="148"/>
      <c r="C35" s="779"/>
      <c r="D35" s="780"/>
      <c r="E35" s="781"/>
      <c r="F35" s="781"/>
      <c r="G35" s="782"/>
      <c r="H35" s="149"/>
      <c r="I35" s="149"/>
      <c r="J35" s="149"/>
      <c r="K35" s="149"/>
      <c r="L35" s="149"/>
      <c r="M35" s="149"/>
      <c r="N35" s="149"/>
      <c r="O35" s="149"/>
      <c r="P35" s="149"/>
      <c r="Q35" s="149"/>
      <c r="R35" s="149"/>
      <c r="S35" s="149"/>
      <c r="T35" s="149"/>
      <c r="U35" s="149"/>
      <c r="V35" s="150"/>
    </row>
    <row r="37" spans="2:22" x14ac:dyDescent="0.3">
      <c r="B37" s="144" t="s">
        <v>1920</v>
      </c>
      <c r="C37" s="755"/>
      <c r="D37" s="755"/>
      <c r="E37" s="755"/>
      <c r="F37" s="755"/>
      <c r="G37" s="755"/>
      <c r="H37" s="755"/>
      <c r="I37" s="755"/>
      <c r="J37" s="755"/>
      <c r="K37" s="755"/>
      <c r="L37" s="755"/>
      <c r="M37" s="755"/>
      <c r="N37" s="755"/>
      <c r="O37" s="755"/>
      <c r="P37" s="755"/>
      <c r="Q37" s="720"/>
    </row>
    <row r="38" spans="2:22" ht="39.75" customHeight="1" x14ac:dyDescent="0.3">
      <c r="B38" s="147"/>
      <c r="D38" s="152" t="s">
        <v>1921</v>
      </c>
      <c r="E38" s="211" t="s">
        <v>1922</v>
      </c>
      <c r="F38" s="152" t="s">
        <v>1923</v>
      </c>
      <c r="G38" s="152" t="s">
        <v>1924</v>
      </c>
      <c r="H38" s="152" t="s">
        <v>1925</v>
      </c>
      <c r="I38" s="211" t="s">
        <v>1926</v>
      </c>
      <c r="J38" s="211" t="s">
        <v>1927</v>
      </c>
      <c r="K38" s="211" t="s">
        <v>1928</v>
      </c>
      <c r="L38" s="152" t="s">
        <v>1929</v>
      </c>
      <c r="N38" s="460"/>
      <c r="O38" s="460"/>
      <c r="P38" s="460"/>
      <c r="Q38" s="146"/>
    </row>
    <row r="39" spans="2:22" x14ac:dyDescent="0.3">
      <c r="B39" s="147"/>
      <c r="C39" s="179" t="s">
        <v>1930</v>
      </c>
      <c r="D39" s="759">
        <v>28</v>
      </c>
      <c r="E39" s="693" t="s">
        <v>1931</v>
      </c>
      <c r="F39" s="506">
        <v>21</v>
      </c>
      <c r="G39" s="511">
        <v>0</v>
      </c>
      <c r="H39" s="539">
        <v>13</v>
      </c>
      <c r="I39" s="743">
        <v>13</v>
      </c>
      <c r="J39" s="743">
        <v>13</v>
      </c>
      <c r="K39" s="743"/>
      <c r="L39" s="511"/>
      <c r="Q39" s="146"/>
    </row>
    <row r="40" spans="2:22" x14ac:dyDescent="0.3">
      <c r="B40" s="147"/>
      <c r="C40" s="179" t="s">
        <v>1932</v>
      </c>
      <c r="D40" s="516">
        <v>28</v>
      </c>
      <c r="E40" s="694" t="s">
        <v>1933</v>
      </c>
      <c r="F40" s="506">
        <v>28</v>
      </c>
      <c r="G40" s="511">
        <v>13</v>
      </c>
      <c r="H40" s="540">
        <v>13</v>
      </c>
      <c r="I40" s="743">
        <v>13</v>
      </c>
      <c r="J40" s="743">
        <v>13</v>
      </c>
      <c r="K40" s="743">
        <v>13</v>
      </c>
      <c r="L40" s="511">
        <v>13</v>
      </c>
      <c r="N40" s="458"/>
      <c r="O40" s="458"/>
      <c r="P40" s="458"/>
      <c r="Q40" s="146"/>
    </row>
    <row r="41" spans="2:22" x14ac:dyDescent="0.3">
      <c r="B41" s="147"/>
      <c r="C41" s="179" t="s">
        <v>1934</v>
      </c>
      <c r="D41" s="516">
        <v>28</v>
      </c>
      <c r="E41" s="694" t="s">
        <v>1935</v>
      </c>
      <c r="F41" s="506">
        <v>28</v>
      </c>
      <c r="G41" s="511">
        <v>13</v>
      </c>
      <c r="H41" s="540">
        <v>13</v>
      </c>
      <c r="I41" s="743">
        <v>13</v>
      </c>
      <c r="J41" s="743"/>
      <c r="K41" s="743"/>
      <c r="L41" s="511"/>
      <c r="N41" s="458"/>
      <c r="O41" s="458"/>
      <c r="P41" s="458"/>
      <c r="Q41" s="146"/>
    </row>
    <row r="42" spans="2:22" hidden="1" x14ac:dyDescent="0.3">
      <c r="B42" s="147"/>
      <c r="C42" s="179" t="s">
        <v>1936</v>
      </c>
      <c r="D42" s="516"/>
      <c r="E42" s="694"/>
      <c r="F42" s="506"/>
      <c r="G42" s="511"/>
      <c r="H42" s="540"/>
      <c r="I42" s="743"/>
      <c r="J42" s="743"/>
      <c r="K42" s="743"/>
      <c r="L42" s="511"/>
      <c r="N42" s="458"/>
      <c r="O42" s="458"/>
      <c r="P42" s="458"/>
      <c r="Q42" s="146"/>
    </row>
    <row r="43" spans="2:22" hidden="1" x14ac:dyDescent="0.3">
      <c r="B43" s="147"/>
      <c r="C43" s="179" t="s">
        <v>1937</v>
      </c>
      <c r="D43" s="516"/>
      <c r="E43" s="694"/>
      <c r="F43" s="506"/>
      <c r="G43" s="511"/>
      <c r="H43" s="540"/>
      <c r="I43" s="743"/>
      <c r="J43" s="743"/>
      <c r="K43" s="743"/>
      <c r="L43" s="511"/>
      <c r="N43" s="458"/>
      <c r="O43" s="458"/>
      <c r="P43" s="458"/>
      <c r="Q43" s="146"/>
    </row>
    <row r="44" spans="2:22" x14ac:dyDescent="0.3">
      <c r="B44" s="147"/>
      <c r="D44" s="140"/>
      <c r="E44" s="140"/>
      <c r="F44" s="140"/>
      <c r="Q44" s="146"/>
    </row>
    <row r="45" spans="2:22" x14ac:dyDescent="0.3">
      <c r="B45" s="147"/>
      <c r="D45" s="786"/>
      <c r="E45" s="785"/>
      <c r="F45" s="369" t="s">
        <v>1938</v>
      </c>
      <c r="G45" s="371"/>
      <c r="H45" s="538"/>
      <c r="I45" s="231"/>
      <c r="J45" s="371" t="s">
        <v>1939</v>
      </c>
      <c r="K45" s="538"/>
      <c r="L45" s="148"/>
      <c r="Q45" s="146"/>
    </row>
    <row r="46" spans="2:22" ht="42" customHeight="1" x14ac:dyDescent="0.3">
      <c r="B46" s="147"/>
      <c r="C46" s="279" t="s">
        <v>1940</v>
      </c>
      <c r="D46" s="787" t="s">
        <v>1941</v>
      </c>
      <c r="E46" s="787" t="s">
        <v>1942</v>
      </c>
      <c r="F46" s="787" t="s">
        <v>1943</v>
      </c>
      <c r="G46" s="787" t="s">
        <v>1944</v>
      </c>
      <c r="H46" s="787" t="s">
        <v>1945</v>
      </c>
      <c r="I46" s="788" t="s">
        <v>1946</v>
      </c>
      <c r="J46" s="789" t="s">
        <v>1947</v>
      </c>
      <c r="K46" s="790" t="s">
        <v>1948</v>
      </c>
      <c r="L46" s="769" t="s">
        <v>1949</v>
      </c>
      <c r="M46" s="768" t="s">
        <v>1950</v>
      </c>
      <c r="Q46" s="146"/>
    </row>
    <row r="47" spans="2:22" x14ac:dyDescent="0.3">
      <c r="B47" s="147"/>
      <c r="C47" s="179" t="s">
        <v>1951</v>
      </c>
      <c r="D47" s="519" t="s">
        <v>1850</v>
      </c>
      <c r="E47" s="519" t="s">
        <v>1952</v>
      </c>
      <c r="F47" s="520">
        <v>200</v>
      </c>
      <c r="G47" s="520">
        <v>42</v>
      </c>
      <c r="H47" s="520">
        <f>F47*G47</f>
        <v>8400</v>
      </c>
      <c r="I47" s="784">
        <f>2*200</f>
        <v>400</v>
      </c>
      <c r="J47" s="760">
        <v>21</v>
      </c>
      <c r="K47" s="510"/>
      <c r="L47" s="767">
        <v>0.2</v>
      </c>
      <c r="M47" s="308"/>
      <c r="Q47" s="146"/>
    </row>
    <row r="48" spans="2:22" x14ac:dyDescent="0.3">
      <c r="B48" s="147"/>
      <c r="C48" s="179" t="s">
        <v>1953</v>
      </c>
      <c r="D48" s="519" t="s">
        <v>1954</v>
      </c>
      <c r="E48" s="861"/>
      <c r="F48" s="862"/>
      <c r="G48" s="862"/>
      <c r="H48" s="862"/>
      <c r="I48" s="863"/>
      <c r="J48" s="864"/>
      <c r="K48" s="865"/>
      <c r="L48" s="866"/>
      <c r="M48" s="308"/>
      <c r="P48" s="459"/>
      <c r="Q48" s="766"/>
    </row>
    <row r="49" spans="2:17" x14ac:dyDescent="0.3">
      <c r="B49" s="147"/>
      <c r="C49" s="179" t="s">
        <v>1932</v>
      </c>
      <c r="D49" s="519" t="s">
        <v>1954</v>
      </c>
      <c r="E49" s="861"/>
      <c r="F49" s="862"/>
      <c r="G49" s="862"/>
      <c r="H49" s="862"/>
      <c r="I49" s="863"/>
      <c r="J49" s="864"/>
      <c r="K49" s="865"/>
      <c r="L49" s="866"/>
      <c r="M49" s="308"/>
      <c r="P49" s="459"/>
      <c r="Q49" s="766"/>
    </row>
    <row r="50" spans="2:17" x14ac:dyDescent="0.3">
      <c r="B50" s="147"/>
      <c r="C50" s="179" t="s">
        <v>1955</v>
      </c>
      <c r="D50" s="519" t="s">
        <v>1956</v>
      </c>
      <c r="E50" s="519" t="s">
        <v>1952</v>
      </c>
      <c r="F50" s="520">
        <v>150</v>
      </c>
      <c r="G50" s="520">
        <v>56</v>
      </c>
      <c r="H50" s="520">
        <f>F50*G50</f>
        <v>8400</v>
      </c>
      <c r="I50" s="784">
        <v>150</v>
      </c>
      <c r="J50" s="760">
        <v>56</v>
      </c>
      <c r="K50" s="510"/>
      <c r="L50" s="767">
        <v>0.2</v>
      </c>
      <c r="M50" s="308"/>
      <c r="P50" s="459"/>
      <c r="Q50" s="766"/>
    </row>
    <row r="51" spans="2:17" hidden="1" x14ac:dyDescent="0.3">
      <c r="B51" s="147"/>
      <c r="C51" s="179" t="s">
        <v>1957</v>
      </c>
      <c r="D51" s="519"/>
      <c r="E51" s="519"/>
      <c r="F51" s="520"/>
      <c r="G51" s="520"/>
      <c r="H51" s="520"/>
      <c r="I51" s="784"/>
      <c r="J51" s="760"/>
      <c r="K51" s="510"/>
      <c r="L51" s="767"/>
      <c r="M51" s="308"/>
      <c r="P51" s="459"/>
      <c r="Q51" s="766"/>
    </row>
    <row r="52" spans="2:17" hidden="1" x14ac:dyDescent="0.3">
      <c r="B52" s="147"/>
      <c r="C52" s="179" t="s">
        <v>1958</v>
      </c>
      <c r="D52" s="519"/>
      <c r="E52" s="519"/>
      <c r="F52" s="520"/>
      <c r="G52" s="520"/>
      <c r="H52" s="520"/>
      <c r="I52" s="784"/>
      <c r="J52" s="760"/>
      <c r="K52" s="510"/>
      <c r="L52" s="767"/>
      <c r="M52" s="308"/>
      <c r="P52" s="459"/>
      <c r="Q52" s="766"/>
    </row>
    <row r="53" spans="2:17" x14ac:dyDescent="0.3">
      <c r="B53" s="147"/>
      <c r="C53" s="871" t="s">
        <v>1959</v>
      </c>
      <c r="D53" s="140"/>
      <c r="E53" s="140"/>
      <c r="F53" s="140"/>
      <c r="Q53" s="146"/>
    </row>
    <row r="54" spans="2:17" x14ac:dyDescent="0.3">
      <c r="B54" s="147"/>
      <c r="C54" s="871" t="s">
        <v>1960</v>
      </c>
      <c r="D54" s="140"/>
      <c r="E54" s="140"/>
      <c r="F54" s="140"/>
      <c r="Q54" s="146"/>
    </row>
    <row r="55" spans="2:17" hidden="1" x14ac:dyDescent="0.3">
      <c r="B55" s="147"/>
      <c r="C55" s="178" t="s">
        <v>1961</v>
      </c>
      <c r="D55" s="511">
        <v>79.3</v>
      </c>
      <c r="E55" s="695" t="s">
        <v>1962</v>
      </c>
      <c r="F55" s="140"/>
      <c r="Q55" s="146"/>
    </row>
    <row r="56" spans="2:17" ht="16.2" hidden="1" x14ac:dyDescent="0.3">
      <c r="B56" s="147"/>
      <c r="C56" s="178" t="s">
        <v>1963</v>
      </c>
      <c r="D56" s="509">
        <v>1.79</v>
      </c>
      <c r="E56" s="695" t="s">
        <v>1964</v>
      </c>
      <c r="F56" s="140"/>
      <c r="Q56" s="146"/>
    </row>
    <row r="57" spans="2:17" hidden="1" x14ac:dyDescent="0.3">
      <c r="B57" s="147"/>
      <c r="C57" s="220"/>
      <c r="E57" s="695" t="s">
        <v>1965</v>
      </c>
      <c r="F57" s="140"/>
      <c r="Q57" s="146"/>
    </row>
    <row r="58" spans="2:17" x14ac:dyDescent="0.3">
      <c r="B58" s="147"/>
      <c r="Q58" s="146"/>
    </row>
    <row r="59" spans="2:17" x14ac:dyDescent="0.3">
      <c r="B59" s="147"/>
      <c r="C59" s="136" t="s">
        <v>1966</v>
      </c>
      <c r="Q59" s="146"/>
    </row>
    <row r="60" spans="2:17" x14ac:dyDescent="0.3">
      <c r="B60" s="147"/>
      <c r="D60" s="189" t="s">
        <v>1967</v>
      </c>
      <c r="E60" s="189" t="s">
        <v>1968</v>
      </c>
      <c r="F60" s="189" t="s">
        <v>1969</v>
      </c>
      <c r="G60" s="189" t="s">
        <v>1970</v>
      </c>
      <c r="H60" s="188" t="s">
        <v>1971</v>
      </c>
      <c r="I60" s="188" t="s">
        <v>1972</v>
      </c>
      <c r="K60" s="188" t="s">
        <v>1967</v>
      </c>
      <c r="L60" s="464" t="s">
        <v>1968</v>
      </c>
      <c r="M60" s="189" t="s">
        <v>1969</v>
      </c>
      <c r="N60" s="189" t="s">
        <v>1970</v>
      </c>
      <c r="O60" s="188" t="s">
        <v>1971</v>
      </c>
      <c r="P60" s="188" t="s">
        <v>1972</v>
      </c>
      <c r="Q60" s="146"/>
    </row>
    <row r="61" spans="2:17" x14ac:dyDescent="0.3">
      <c r="B61" s="147"/>
      <c r="C61" s="302" t="s">
        <v>1973</v>
      </c>
      <c r="D61" s="512">
        <v>0</v>
      </c>
      <c r="E61" s="513">
        <v>0.42</v>
      </c>
      <c r="F61" s="513">
        <v>0.48</v>
      </c>
      <c r="G61" s="513">
        <v>0.52</v>
      </c>
      <c r="H61" s="513">
        <v>0.52</v>
      </c>
      <c r="I61" s="513">
        <v>0.52</v>
      </c>
      <c r="K61" s="885">
        <f>E$34*D61</f>
        <v>0</v>
      </c>
      <c r="L61" s="885">
        <f t="shared" ref="L61:P63" si="4">F$34*E61</f>
        <v>3442.204510636509</v>
      </c>
      <c r="M61" s="885">
        <f t="shared" si="4"/>
        <v>3968.5306389639841</v>
      </c>
      <c r="N61" s="885">
        <f t="shared" si="4"/>
        <v>4337.0353816847173</v>
      </c>
      <c r="O61" s="885">
        <f t="shared" si="4"/>
        <v>4375.1614767917999</v>
      </c>
      <c r="P61" s="885">
        <f t="shared" si="4"/>
        <v>4413.6227315183432</v>
      </c>
      <c r="Q61" s="146"/>
    </row>
    <row r="62" spans="2:17" x14ac:dyDescent="0.3">
      <c r="B62" s="147"/>
      <c r="C62" s="302" t="s">
        <v>1932</v>
      </c>
      <c r="D62" s="868">
        <v>0.47</v>
      </c>
      <c r="E62" s="513">
        <v>0.08</v>
      </c>
      <c r="F62" s="513">
        <v>7.0000000000000007E-2</v>
      </c>
      <c r="G62" s="513">
        <v>0.06</v>
      </c>
      <c r="H62" s="513">
        <v>0.06</v>
      </c>
      <c r="I62" s="513">
        <v>0.06</v>
      </c>
      <c r="K62" s="885">
        <f t="shared" ref="K62:K63" si="5">E$34*D62</f>
        <v>3818.423688568681</v>
      </c>
      <c r="L62" s="885">
        <f t="shared" si="4"/>
        <v>655.65800202600178</v>
      </c>
      <c r="M62" s="885">
        <f t="shared" si="4"/>
        <v>578.74405151558108</v>
      </c>
      <c r="N62" s="885">
        <f t="shared" si="4"/>
        <v>500.42715942515963</v>
      </c>
      <c r="O62" s="885">
        <f t="shared" si="4"/>
        <v>504.82632424520762</v>
      </c>
      <c r="P62" s="885">
        <f t="shared" si="4"/>
        <v>509.26416132903961</v>
      </c>
      <c r="Q62" s="146"/>
    </row>
    <row r="63" spans="2:17" x14ac:dyDescent="0.3">
      <c r="B63" s="147"/>
      <c r="C63" s="179" t="s">
        <v>1934</v>
      </c>
      <c r="D63" s="870">
        <v>0.53</v>
      </c>
      <c r="E63" s="512">
        <v>0.5</v>
      </c>
      <c r="F63" s="513">
        <v>0.45</v>
      </c>
      <c r="G63" s="513">
        <v>0.42</v>
      </c>
      <c r="H63" s="513">
        <v>0.42</v>
      </c>
      <c r="I63" s="513">
        <v>0.42</v>
      </c>
      <c r="K63" s="885">
        <f t="shared" si="5"/>
        <v>4305.8820317902155</v>
      </c>
      <c r="L63" s="885">
        <f t="shared" si="4"/>
        <v>4097.8625126625111</v>
      </c>
      <c r="M63" s="885">
        <f t="shared" si="4"/>
        <v>3720.4974740287353</v>
      </c>
      <c r="N63" s="885">
        <f t="shared" si="4"/>
        <v>3502.9901159761175</v>
      </c>
      <c r="O63" s="885">
        <f t="shared" si="4"/>
        <v>3533.7842697164533</v>
      </c>
      <c r="P63" s="885">
        <f t="shared" si="4"/>
        <v>3564.8491293032771</v>
      </c>
      <c r="Q63" s="146"/>
    </row>
    <row r="64" spans="2:17" hidden="1" x14ac:dyDescent="0.3">
      <c r="B64" s="147"/>
      <c r="C64" s="302" t="s">
        <v>1974</v>
      </c>
      <c r="D64" s="869"/>
      <c r="E64" s="513"/>
      <c r="F64" s="513"/>
      <c r="G64" s="513"/>
      <c r="H64" s="513"/>
      <c r="I64" s="513"/>
      <c r="K64" s="465">
        <f t="shared" ref="K64:K65" si="6">E$34*D64</f>
        <v>0</v>
      </c>
      <c r="L64" s="465">
        <f t="shared" ref="L64:L65" si="7">F$34*E64</f>
        <v>0</v>
      </c>
      <c r="M64" s="465">
        <f t="shared" ref="M64:M65" si="8">G$34*F64</f>
        <v>0</v>
      </c>
      <c r="N64" s="465">
        <f t="shared" ref="N64:N65" si="9">H$34*G64</f>
        <v>0</v>
      </c>
      <c r="O64" s="465">
        <f t="shared" ref="O64:O65" si="10">I$34*H64</f>
        <v>0</v>
      </c>
      <c r="P64" s="465">
        <f t="shared" ref="P64:P65" si="11">J$34*I64</f>
        <v>0</v>
      </c>
      <c r="Q64" s="146"/>
    </row>
    <row r="65" spans="2:17" hidden="1" x14ac:dyDescent="0.3">
      <c r="B65" s="147"/>
      <c r="C65" s="302" t="s">
        <v>1975</v>
      </c>
      <c r="D65" s="512"/>
      <c r="E65" s="513"/>
      <c r="F65" s="513"/>
      <c r="G65" s="513"/>
      <c r="H65" s="513"/>
      <c r="I65" s="513"/>
      <c r="K65" s="465">
        <f t="shared" si="6"/>
        <v>0</v>
      </c>
      <c r="L65" s="465">
        <f t="shared" si="7"/>
        <v>0</v>
      </c>
      <c r="M65" s="465">
        <f t="shared" si="8"/>
        <v>0</v>
      </c>
      <c r="N65" s="465">
        <f t="shared" si="9"/>
        <v>0</v>
      </c>
      <c r="O65" s="465">
        <f t="shared" si="10"/>
        <v>0</v>
      </c>
      <c r="P65" s="465">
        <f t="shared" si="11"/>
        <v>0</v>
      </c>
      <c r="Q65" s="146"/>
    </row>
    <row r="66" spans="2:17" x14ac:dyDescent="0.3">
      <c r="B66" s="147"/>
      <c r="D66" s="139">
        <f>SUM(D61:D65)</f>
        <v>1</v>
      </c>
      <c r="E66" s="139">
        <f t="shared" ref="E66:I66" si="12">SUM(E61:E65)</f>
        <v>1</v>
      </c>
      <c r="F66" s="139">
        <f t="shared" si="12"/>
        <v>1</v>
      </c>
      <c r="G66" s="139">
        <f t="shared" si="12"/>
        <v>1</v>
      </c>
      <c r="H66" s="139">
        <f t="shared" si="12"/>
        <v>1</v>
      </c>
      <c r="I66" s="139">
        <f t="shared" si="12"/>
        <v>1</v>
      </c>
      <c r="K66" s="307">
        <f>SUM(K61:K65)</f>
        <v>8124.305720358896</v>
      </c>
      <c r="L66" s="307">
        <f t="shared" ref="L66:P66" si="13">SUM(L61:L65)</f>
        <v>8195.7250253250222</v>
      </c>
      <c r="M66" s="307">
        <f t="shared" si="13"/>
        <v>8267.7721645083002</v>
      </c>
      <c r="N66" s="307">
        <f t="shared" si="13"/>
        <v>8340.4526570859944</v>
      </c>
      <c r="O66" s="307">
        <f t="shared" si="13"/>
        <v>8413.7720707534609</v>
      </c>
      <c r="P66" s="307">
        <f t="shared" si="13"/>
        <v>8487.7360221506606</v>
      </c>
      <c r="Q66" s="146"/>
    </row>
    <row r="67" spans="2:17" x14ac:dyDescent="0.3">
      <c r="B67" s="147"/>
      <c r="D67" s="842"/>
      <c r="E67" s="842"/>
      <c r="F67" s="842"/>
      <c r="G67" s="842"/>
      <c r="H67" s="842"/>
      <c r="I67" s="842"/>
      <c r="Q67" s="146"/>
    </row>
    <row r="68" spans="2:17" x14ac:dyDescent="0.3">
      <c r="B68" s="147"/>
      <c r="C68" t="s">
        <v>1976</v>
      </c>
      <c r="D68" s="443"/>
      <c r="E68" s="443"/>
      <c r="F68" s="443"/>
      <c r="G68" s="443"/>
      <c r="H68" s="443"/>
      <c r="I68" s="443"/>
      <c r="Q68" s="146"/>
    </row>
    <row r="69" spans="2:17" x14ac:dyDescent="0.3">
      <c r="B69" s="147"/>
      <c r="C69" t="s">
        <v>1977</v>
      </c>
      <c r="Q69" s="146"/>
    </row>
    <row r="70" spans="2:17" x14ac:dyDescent="0.3">
      <c r="B70" s="148"/>
      <c r="C70" s="149"/>
      <c r="D70" s="149"/>
      <c r="E70" s="149"/>
      <c r="F70" s="149"/>
      <c r="G70" s="149"/>
      <c r="H70" s="149"/>
      <c r="I70" s="149"/>
      <c r="J70" s="149"/>
      <c r="K70" s="149"/>
      <c r="L70" s="149"/>
      <c r="M70" s="149"/>
      <c r="N70" s="149"/>
      <c r="O70" s="149"/>
      <c r="P70" s="149"/>
      <c r="Q70" s="150"/>
    </row>
    <row r="71" spans="2:17" x14ac:dyDescent="0.3">
      <c r="J71" s="149"/>
    </row>
    <row r="72" spans="2:17" x14ac:dyDescent="0.3">
      <c r="B72" s="349" t="s">
        <v>1978</v>
      </c>
      <c r="C72" s="804"/>
      <c r="D72" s="804"/>
      <c r="E72" s="804"/>
      <c r="F72" s="804"/>
      <c r="G72" s="804"/>
      <c r="H72" s="804"/>
      <c r="I72" s="804"/>
      <c r="J72" s="804"/>
      <c r="K72" s="804"/>
      <c r="L72" s="804"/>
      <c r="M72" s="804"/>
      <c r="N72" s="804"/>
      <c r="O72" s="804"/>
      <c r="P72" s="804"/>
      <c r="Q72" s="805"/>
    </row>
    <row r="73" spans="2:17" x14ac:dyDescent="0.3">
      <c r="B73" s="207"/>
      <c r="C73" s="201"/>
      <c r="D73" s="201"/>
      <c r="E73" s="201"/>
      <c r="F73" s="201"/>
      <c r="G73" s="201"/>
      <c r="H73" s="201"/>
      <c r="I73" s="201"/>
      <c r="J73" s="201"/>
      <c r="K73" s="201"/>
      <c r="L73" s="201"/>
      <c r="M73" s="201"/>
      <c r="N73" s="201"/>
      <c r="O73" s="201"/>
      <c r="P73" s="201"/>
      <c r="Q73" s="208"/>
    </row>
    <row r="74" spans="2:17" x14ac:dyDescent="0.3">
      <c r="B74" s="207"/>
      <c r="C74" s="552" t="s">
        <v>1979</v>
      </c>
      <c r="D74" s="201"/>
      <c r="E74" s="201"/>
      <c r="F74" s="201"/>
      <c r="G74" s="201"/>
      <c r="H74" s="201"/>
      <c r="I74" s="201"/>
      <c r="J74" s="201"/>
      <c r="K74" s="201"/>
      <c r="L74" s="201"/>
      <c r="M74" s="201"/>
      <c r="N74" s="201"/>
      <c r="O74" s="201"/>
      <c r="P74" s="201"/>
      <c r="Q74" s="208"/>
    </row>
    <row r="75" spans="2:17" x14ac:dyDescent="0.3">
      <c r="B75" s="207"/>
      <c r="C75" s="549" t="s">
        <v>1980</v>
      </c>
      <c r="D75" s="201"/>
      <c r="E75" s="201"/>
      <c r="F75" s="201"/>
      <c r="G75" s="201"/>
      <c r="H75" s="201"/>
      <c r="I75" s="201"/>
      <c r="J75" s="201"/>
      <c r="K75" s="201"/>
      <c r="L75" s="201"/>
      <c r="M75" s="201"/>
      <c r="N75" s="201"/>
      <c r="O75" s="201"/>
      <c r="P75" s="201"/>
      <c r="Q75" s="208"/>
    </row>
    <row r="76" spans="2:17" x14ac:dyDescent="0.3">
      <c r="B76" s="207"/>
      <c r="C76" s="549" t="s">
        <v>1981</v>
      </c>
      <c r="D76" s="201"/>
      <c r="E76" s="201"/>
      <c r="F76" s="201"/>
      <c r="G76" s="201"/>
      <c r="H76" s="201"/>
      <c r="I76" s="201"/>
      <c r="J76" s="201"/>
      <c r="K76" s="201"/>
      <c r="L76" s="201"/>
      <c r="M76" s="201"/>
      <c r="N76" s="201"/>
      <c r="O76" s="201"/>
      <c r="P76" s="201"/>
      <c r="Q76" s="208"/>
    </row>
    <row r="77" spans="2:17" x14ac:dyDescent="0.3">
      <c r="B77" s="207"/>
      <c r="C77" s="393" t="s">
        <v>1982</v>
      </c>
      <c r="D77" s="201"/>
      <c r="E77" s="201"/>
      <c r="F77" s="201"/>
      <c r="G77" s="201"/>
      <c r="H77" s="201"/>
      <c r="I77" s="201"/>
      <c r="J77" s="201"/>
      <c r="K77" s="201"/>
      <c r="L77" s="201"/>
      <c r="M77" s="201"/>
      <c r="N77" s="201"/>
      <c r="O77" s="201"/>
      <c r="P77" s="201"/>
      <c r="Q77" s="208"/>
    </row>
    <row r="78" spans="2:17" x14ac:dyDescent="0.3">
      <c r="B78" s="207"/>
      <c r="C78" s="393" t="s">
        <v>1983</v>
      </c>
      <c r="D78" s="201"/>
      <c r="E78" s="201"/>
      <c r="F78" s="201"/>
      <c r="G78" s="201"/>
      <c r="H78" s="201"/>
      <c r="I78" s="201"/>
      <c r="J78" s="201"/>
      <c r="K78" s="201"/>
      <c r="L78" s="201"/>
      <c r="M78" s="201"/>
      <c r="N78" s="201"/>
      <c r="O78" s="201"/>
      <c r="P78" s="201"/>
      <c r="Q78" s="208"/>
    </row>
    <row r="79" spans="2:17" x14ac:dyDescent="0.3">
      <c r="B79" s="207"/>
      <c r="C79" s="854" t="s">
        <v>1984</v>
      </c>
      <c r="D79" s="201"/>
      <c r="E79" s="201"/>
      <c r="F79" s="201"/>
      <c r="G79" s="201"/>
      <c r="H79" s="201"/>
      <c r="I79" s="201"/>
      <c r="J79" s="201"/>
      <c r="K79" s="201"/>
      <c r="L79" s="201"/>
      <c r="M79" s="201"/>
      <c r="N79" s="201"/>
      <c r="O79" s="201"/>
      <c r="P79" s="201"/>
      <c r="Q79" s="208"/>
    </row>
    <row r="80" spans="2:17" x14ac:dyDescent="0.3">
      <c r="B80" s="207"/>
      <c r="C80" s="393" t="s">
        <v>1985</v>
      </c>
      <c r="D80" s="201"/>
      <c r="E80" s="201"/>
      <c r="F80" s="201"/>
      <c r="G80" s="201"/>
      <c r="H80" s="201"/>
      <c r="I80" s="201"/>
      <c r="J80" s="201"/>
      <c r="K80" s="201"/>
      <c r="L80" s="201"/>
      <c r="M80" s="201"/>
      <c r="N80" s="201"/>
      <c r="O80" s="201"/>
      <c r="P80" s="201"/>
      <c r="Q80" s="208"/>
    </row>
    <row r="81" spans="2:17" x14ac:dyDescent="0.3">
      <c r="B81" s="207"/>
      <c r="C81" s="393" t="s">
        <v>1986</v>
      </c>
      <c r="D81" s="201"/>
      <c r="E81" s="201"/>
      <c r="F81" s="201"/>
      <c r="G81" s="201"/>
      <c r="H81" s="201"/>
      <c r="I81" s="201"/>
      <c r="J81" s="201"/>
      <c r="K81" s="201"/>
      <c r="L81" s="201"/>
      <c r="M81" s="201"/>
      <c r="N81" s="201"/>
      <c r="O81" s="201"/>
      <c r="P81" s="201"/>
      <c r="Q81" s="208"/>
    </row>
    <row r="82" spans="2:17" x14ac:dyDescent="0.3">
      <c r="B82" s="207"/>
      <c r="C82" s="393"/>
      <c r="D82" s="201"/>
      <c r="E82" s="201"/>
      <c r="F82" s="201"/>
      <c r="G82" s="201"/>
      <c r="H82" s="201"/>
      <c r="I82" s="201"/>
      <c r="J82" s="201"/>
      <c r="K82" s="201"/>
      <c r="L82" s="201"/>
      <c r="M82" s="201"/>
      <c r="N82" s="201"/>
      <c r="O82" s="201"/>
      <c r="P82" s="201"/>
      <c r="Q82" s="208"/>
    </row>
    <row r="83" spans="2:17" x14ac:dyDescent="0.3">
      <c r="B83" s="207"/>
      <c r="C83" s="551" t="s">
        <v>1987</v>
      </c>
      <c r="D83" s="201"/>
      <c r="E83" s="201"/>
      <c r="F83" s="201"/>
      <c r="G83" s="201"/>
      <c r="H83" s="201"/>
      <c r="I83" s="201"/>
      <c r="J83" s="201"/>
      <c r="K83" s="201"/>
      <c r="L83" s="201"/>
      <c r="M83" s="201"/>
      <c r="N83" s="201"/>
      <c r="O83" s="201"/>
      <c r="P83" s="201"/>
      <c r="Q83" s="208"/>
    </row>
    <row r="84" spans="2:17" x14ac:dyDescent="0.3">
      <c r="B84" s="207"/>
      <c r="C84" s="549" t="s">
        <v>1988</v>
      </c>
      <c r="D84" s="201"/>
      <c r="E84" s="201"/>
      <c r="F84" s="201"/>
      <c r="G84" s="201"/>
      <c r="H84" s="201"/>
      <c r="I84" s="201"/>
      <c r="J84" s="201"/>
      <c r="K84" s="201"/>
      <c r="L84" s="201"/>
      <c r="M84" s="201"/>
      <c r="N84" s="201"/>
      <c r="O84" s="201"/>
      <c r="P84" s="201"/>
      <c r="Q84" s="208"/>
    </row>
    <row r="85" spans="2:17" x14ac:dyDescent="0.3">
      <c r="B85" s="207"/>
      <c r="C85" s="393" t="s">
        <v>1989</v>
      </c>
      <c r="D85" s="201"/>
      <c r="E85" s="201"/>
      <c r="F85" s="201"/>
      <c r="G85" s="201"/>
      <c r="H85" s="201"/>
      <c r="I85" s="201"/>
      <c r="J85" s="201"/>
      <c r="K85" s="201"/>
      <c r="L85" s="201"/>
      <c r="M85" s="201"/>
      <c r="N85" s="201"/>
      <c r="O85" s="201"/>
      <c r="P85" s="201"/>
      <c r="Q85" s="208"/>
    </row>
    <row r="86" spans="2:17" x14ac:dyDescent="0.3">
      <c r="B86" s="207"/>
      <c r="C86" s="393" t="s">
        <v>1990</v>
      </c>
      <c r="D86" s="201"/>
      <c r="E86" s="201"/>
      <c r="F86" s="201"/>
      <c r="G86" s="201"/>
      <c r="H86" s="201"/>
      <c r="I86" s="201"/>
      <c r="J86" s="201"/>
      <c r="K86" s="201"/>
      <c r="L86" s="201"/>
      <c r="M86" s="201"/>
      <c r="N86" s="201"/>
      <c r="O86" s="201"/>
      <c r="P86" s="201"/>
      <c r="Q86" s="208"/>
    </row>
    <row r="87" spans="2:17" x14ac:dyDescent="0.3">
      <c r="B87" s="205"/>
      <c r="C87" s="209"/>
      <c r="D87" s="204"/>
      <c r="E87" s="204"/>
      <c r="F87" s="204"/>
      <c r="G87" s="204"/>
      <c r="H87" s="204"/>
      <c r="I87" s="204"/>
      <c r="J87" s="204"/>
      <c r="K87" s="204"/>
      <c r="L87" s="204"/>
      <c r="M87" s="204"/>
      <c r="N87" s="204"/>
      <c r="O87" s="204"/>
      <c r="P87" s="204"/>
      <c r="Q87" s="206"/>
    </row>
  </sheetData>
  <sheetProtection algorithmName="SHA-512" hashValue="IMwMx+XTQJ+a7BILIC+CoeJ5r8khbL4zBkObh0nNglPmuBJWhbBQ8d2qQSAmatIC+7GYRBgPiY1KXWFAAxAF7g==" saltValue="PeMLyhMg588TybdaRg4eOQ==" spinCount="100000" sheet="1" objects="1" scenarios="1"/>
  <protectedRanges>
    <protectedRange sqref="D35 D11:D12 D18:D19 D55:D56 E34:F35 G34:J34 K61:P65 D61:I65 D27:J32 E33:J33 K47:L52 D39:L43" name="Range1"/>
  </protectedRanges>
  <mergeCells count="1">
    <mergeCell ref="K32:V32"/>
  </mergeCell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55" r:id="rId1" display="Source; Health Survey for England, 2021." xr:uid="{30C307A3-B67F-4AA8-B13C-E89ABD5FA86B}"/>
    <hyperlink ref="E56" r:id="rId2" display="Source: https://pmc.ncbi.nlm.nih.gov/articles/PMC2812484/" xr:uid="{7AAAE1FD-3721-4715-86B1-492170D088BF}"/>
    <hyperlink ref="E57" r:id="rId3" display="Source: https://pmc.ncbi.nlm.nih.gov/articles/PMC2812484/" xr:uid="{60E081D6-1AD0-4CFA-9AD2-00C5AC10995B}"/>
    <hyperlink ref="C75" r:id="rId4" xr:uid="{9E6038DB-C4EC-431A-B5C3-A48009ECA9D3}"/>
    <hyperlink ref="C76" r:id="rId5" xr:uid="{F90404C9-B340-4E9B-AA51-58D791264704}"/>
    <hyperlink ref="C84" r:id="rId6" xr:uid="{FC9107BA-DC63-4474-BE80-C70D0B07C108}"/>
    <hyperlink ref="C79" r:id="rId7" xr:uid="{D457B1CB-8B19-4A1D-996E-899FA025186B}"/>
    <hyperlink ref="K27" r:id="rId8" display="NHS Digital. Cancer Registration Statistics, England 2022" xr:uid="{60053F48-D9DD-4264-8309-3F259E1A47C7}"/>
    <hyperlink ref="K28" r:id="rId9" xr:uid="{5561FDEF-6D19-4156-BECC-4DE9400FF5BD}"/>
  </hyperlinks>
  <pageMargins left="0.7" right="0.7" top="0.75" bottom="0.75" header="0.3" footer="0.3"/>
  <pageSetup paperSize="9" scale="34" fitToHeight="0" orientation="portrait"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O60"/>
  <sheetViews>
    <sheetView showGridLines="0" zoomScale="70" zoomScaleNormal="70" workbookViewId="0"/>
  </sheetViews>
  <sheetFormatPr defaultRowHeight="14.4" x14ac:dyDescent="0.3"/>
  <cols>
    <col min="1" max="1" width="2.44140625" customWidth="1"/>
    <col min="2" max="2" width="5.77734375" customWidth="1"/>
    <col min="3" max="3" width="41.21875" customWidth="1"/>
    <col min="4" max="4" width="46.77734375" customWidth="1"/>
    <col min="5" max="5" width="20.44140625" customWidth="1"/>
    <col min="6" max="6" width="12.21875" customWidth="1"/>
    <col min="7" max="9" width="16.21875" customWidth="1"/>
    <col min="10" max="11" width="16.21875" hidden="1" customWidth="1"/>
    <col min="12" max="12" width="2.77734375" customWidth="1"/>
    <col min="13" max="13" width="18.77734375" customWidth="1"/>
    <col min="14" max="14" width="13.44140625" customWidth="1"/>
    <col min="15" max="15" width="12.21875" customWidth="1"/>
  </cols>
  <sheetData>
    <row r="1" spans="2:15" ht="30" customHeight="1" x14ac:dyDescent="0.3">
      <c r="B1" s="445" t="str">
        <f>'Inputs and population'!B1</f>
        <v>Ribociclib with an aromatase inhibitor for adjuvant treatment of hormone receptor-positive, HER2-negative early breast cancer</v>
      </c>
    </row>
    <row r="2" spans="2:15" ht="30" customHeight="1" x14ac:dyDescent="0.3">
      <c r="B2" s="143" t="s">
        <v>1855</v>
      </c>
      <c r="C2" s="143"/>
      <c r="D2" s="142"/>
      <c r="E2" s="157"/>
      <c r="F2" s="157"/>
      <c r="G2" s="157"/>
      <c r="H2" s="157"/>
      <c r="I2" s="142"/>
      <c r="J2" s="142"/>
      <c r="K2" s="142"/>
      <c r="L2" s="142"/>
      <c r="M2" s="142"/>
      <c r="N2" s="142"/>
      <c r="O2" s="142"/>
    </row>
    <row r="4" spans="2:15" ht="18" x14ac:dyDescent="0.35">
      <c r="B4" s="696" t="s">
        <v>1991</v>
      </c>
      <c r="C4" s="755"/>
      <c r="D4" s="755"/>
      <c r="E4" s="755"/>
      <c r="F4" s="755"/>
      <c r="G4" s="755"/>
      <c r="H4" s="755"/>
      <c r="I4" s="755"/>
      <c r="J4" s="755"/>
      <c r="K4" s="755"/>
      <c r="L4" s="755"/>
      <c r="M4" s="755"/>
      <c r="N4" s="755"/>
      <c r="O4" s="720"/>
    </row>
    <row r="5" spans="2:15" x14ac:dyDescent="0.3">
      <c r="B5" s="147" t="s">
        <v>1992</v>
      </c>
      <c r="O5" s="146"/>
    </row>
    <row r="6" spans="2:15" x14ac:dyDescent="0.3">
      <c r="B6" s="147" t="s">
        <v>1993</v>
      </c>
      <c r="O6" s="146"/>
    </row>
    <row r="7" spans="2:15" x14ac:dyDescent="0.3">
      <c r="B7" s="145" t="s">
        <v>1994</v>
      </c>
      <c r="O7" s="146"/>
    </row>
    <row r="8" spans="2:15" x14ac:dyDescent="0.3">
      <c r="B8" s="697"/>
      <c r="C8" s="149"/>
      <c r="D8" s="149"/>
      <c r="E8" s="149"/>
      <c r="F8" s="149"/>
      <c r="G8" s="149"/>
      <c r="H8" s="149"/>
      <c r="I8" s="149"/>
      <c r="J8" s="149"/>
      <c r="K8" s="149"/>
      <c r="L8" s="149"/>
      <c r="M8" s="149"/>
      <c r="N8" s="149"/>
      <c r="O8" s="150"/>
    </row>
    <row r="9" spans="2:15" x14ac:dyDescent="0.3">
      <c r="B9" s="136"/>
      <c r="D9" s="176"/>
    </row>
    <row r="10" spans="2:15" x14ac:dyDescent="0.3">
      <c r="B10" s="144" t="s">
        <v>1995</v>
      </c>
      <c r="C10" s="755"/>
      <c r="E10" s="755"/>
      <c r="F10" s="755"/>
      <c r="G10" s="755"/>
      <c r="H10" s="755"/>
      <c r="I10" s="755"/>
      <c r="J10" s="755"/>
      <c r="K10" s="755"/>
      <c r="L10" s="755"/>
      <c r="M10" s="755"/>
      <c r="N10" s="755"/>
      <c r="O10" s="720"/>
    </row>
    <row r="11" spans="2:15" x14ac:dyDescent="0.3">
      <c r="B11" s="147"/>
      <c r="C11" s="309"/>
      <c r="D11" s="190"/>
      <c r="E11" s="190"/>
      <c r="F11" s="190"/>
      <c r="G11" s="190"/>
      <c r="H11" s="190"/>
      <c r="I11" s="190"/>
      <c r="J11" s="190"/>
      <c r="K11" s="190"/>
      <c r="O11" s="146"/>
    </row>
    <row r="12" spans="2:15" ht="72.599999999999994" customHeight="1" x14ac:dyDescent="0.3">
      <c r="B12" s="147"/>
      <c r="C12" s="352" t="s">
        <v>1996</v>
      </c>
      <c r="D12" s="352" t="s">
        <v>1997</v>
      </c>
      <c r="E12" s="698" t="s">
        <v>1998</v>
      </c>
      <c r="F12" s="222" t="s">
        <v>1999</v>
      </c>
      <c r="G12" s="222" t="s">
        <v>1973</v>
      </c>
      <c r="H12" s="222" t="s">
        <v>2000</v>
      </c>
      <c r="I12" s="222" t="s">
        <v>1934</v>
      </c>
      <c r="J12" s="222" t="s">
        <v>2001</v>
      </c>
      <c r="K12" s="222" t="s">
        <v>2002</v>
      </c>
      <c r="M12" s="352" t="s">
        <v>2003</v>
      </c>
      <c r="N12" s="352" t="s">
        <v>2004</v>
      </c>
      <c r="O12" s="146"/>
    </row>
    <row r="13" spans="2:15" x14ac:dyDescent="0.3">
      <c r="B13" s="147"/>
      <c r="C13" s="700" t="s">
        <v>2005</v>
      </c>
      <c r="D13" s="701" t="s">
        <v>2006</v>
      </c>
      <c r="E13" s="752" t="s">
        <v>2007</v>
      </c>
      <c r="F13" s="793">
        <v>30</v>
      </c>
      <c r="G13" s="791">
        <v>0</v>
      </c>
      <c r="H13" s="514">
        <v>0</v>
      </c>
      <c r="I13" s="514">
        <v>0</v>
      </c>
      <c r="J13" s="514"/>
      <c r="K13" s="514"/>
      <c r="L13" s="886"/>
      <c r="M13" s="705" t="s">
        <v>2008</v>
      </c>
      <c r="N13" s="797">
        <f>VLOOKUP(M13,payscales!B:K,10,0)</f>
        <v>127.43</v>
      </c>
      <c r="O13" s="146"/>
    </row>
    <row r="14" spans="2:15" x14ac:dyDescent="0.3">
      <c r="B14" s="147"/>
      <c r="C14" s="700" t="s">
        <v>2005</v>
      </c>
      <c r="D14" s="701" t="s">
        <v>2009</v>
      </c>
      <c r="E14" s="752" t="s">
        <v>2007</v>
      </c>
      <c r="F14" s="793">
        <v>20</v>
      </c>
      <c r="G14" s="509">
        <v>4</v>
      </c>
      <c r="H14" s="509">
        <v>4</v>
      </c>
      <c r="I14" s="509">
        <v>4</v>
      </c>
      <c r="J14" s="509"/>
      <c r="K14" s="509"/>
      <c r="L14" s="886"/>
      <c r="M14" s="705" t="s">
        <v>2008</v>
      </c>
      <c r="N14" s="797">
        <f>VLOOKUP(M14,payscales!B:K,10,0)</f>
        <v>127.43</v>
      </c>
      <c r="O14" s="146"/>
    </row>
    <row r="15" spans="2:15" x14ac:dyDescent="0.3">
      <c r="B15" s="147"/>
      <c r="C15" s="702" t="s">
        <v>2010</v>
      </c>
      <c r="D15" s="701" t="s">
        <v>2011</v>
      </c>
      <c r="E15" s="752" t="s">
        <v>2007</v>
      </c>
      <c r="F15" s="793">
        <v>0</v>
      </c>
      <c r="G15" s="792">
        <v>0</v>
      </c>
      <c r="H15" s="515">
        <v>0</v>
      </c>
      <c r="I15" s="514">
        <v>0</v>
      </c>
      <c r="J15" s="514"/>
      <c r="K15" s="514"/>
      <c r="L15" s="886"/>
      <c r="M15" s="705" t="s">
        <v>2012</v>
      </c>
      <c r="N15" s="797">
        <f>VLOOKUP(M15,payscales!B:K,10,0)</f>
        <v>44.4</v>
      </c>
      <c r="O15" s="146"/>
    </row>
    <row r="16" spans="2:15" x14ac:dyDescent="0.3">
      <c r="B16" s="147"/>
      <c r="C16" s="702" t="s">
        <v>2010</v>
      </c>
      <c r="D16" s="701" t="s">
        <v>2013</v>
      </c>
      <c r="E16" s="752" t="s">
        <v>2007</v>
      </c>
      <c r="F16" s="793">
        <v>0</v>
      </c>
      <c r="G16" s="792">
        <v>0</v>
      </c>
      <c r="H16" s="751">
        <v>0</v>
      </c>
      <c r="I16" s="509">
        <v>0</v>
      </c>
      <c r="J16" s="509"/>
      <c r="K16" s="509"/>
      <c r="L16" s="886"/>
      <c r="M16" s="705" t="s">
        <v>2012</v>
      </c>
      <c r="N16" s="797">
        <f>VLOOKUP(M16,payscales!B:K,10,0)</f>
        <v>44.4</v>
      </c>
      <c r="O16" s="146"/>
    </row>
    <row r="17" spans="2:15" x14ac:dyDescent="0.3">
      <c r="B17" s="147"/>
      <c r="C17" s="702" t="s">
        <v>2010</v>
      </c>
      <c r="D17" s="701" t="s">
        <v>2014</v>
      </c>
      <c r="E17" s="752" t="s">
        <v>2007</v>
      </c>
      <c r="F17" s="793">
        <v>0</v>
      </c>
      <c r="G17" s="792">
        <v>0</v>
      </c>
      <c r="H17" s="751">
        <v>0</v>
      </c>
      <c r="I17" s="509">
        <v>0</v>
      </c>
      <c r="J17" s="509"/>
      <c r="K17" s="509"/>
      <c r="L17" s="886"/>
      <c r="M17" s="705" t="s">
        <v>2012</v>
      </c>
      <c r="N17" s="797">
        <f>VLOOKUP(M17,payscales!B:K,10,0)</f>
        <v>44.4</v>
      </c>
      <c r="O17" s="146"/>
    </row>
    <row r="18" spans="2:15" x14ac:dyDescent="0.3">
      <c r="B18" s="147"/>
      <c r="C18" s="703" t="s">
        <v>2015</v>
      </c>
      <c r="D18" s="701" t="s">
        <v>2016</v>
      </c>
      <c r="E18" s="752" t="s">
        <v>2017</v>
      </c>
      <c r="F18" s="793">
        <v>2</v>
      </c>
      <c r="G18" s="793">
        <v>0</v>
      </c>
      <c r="H18" s="516">
        <v>0</v>
      </c>
      <c r="I18" s="509">
        <v>0</v>
      </c>
      <c r="J18" s="509"/>
      <c r="K18" s="509"/>
      <c r="L18" s="886"/>
      <c r="M18" s="705" t="s">
        <v>2018</v>
      </c>
      <c r="N18" s="797">
        <f>VLOOKUP(M18,payscales!B:K,10,0)</f>
        <v>49.24</v>
      </c>
      <c r="O18" s="146"/>
    </row>
    <row r="19" spans="2:15" x14ac:dyDescent="0.3">
      <c r="B19" s="147"/>
      <c r="C19" s="704" t="s">
        <v>2019</v>
      </c>
      <c r="D19" s="701" t="s">
        <v>2020</v>
      </c>
      <c r="E19" s="752" t="s">
        <v>2021</v>
      </c>
      <c r="F19" s="793">
        <v>20</v>
      </c>
      <c r="G19" s="792">
        <v>2</v>
      </c>
      <c r="H19" s="515">
        <v>0</v>
      </c>
      <c r="I19" s="515">
        <v>0</v>
      </c>
      <c r="J19" s="515"/>
      <c r="K19" s="515"/>
      <c r="L19" s="886"/>
      <c r="M19" s="705" t="s">
        <v>2012</v>
      </c>
      <c r="N19" s="797">
        <f>VLOOKUP(M19,payscales!B:K,10,0)</f>
        <v>44.4</v>
      </c>
      <c r="O19" s="146"/>
    </row>
    <row r="20" spans="2:15" x14ac:dyDescent="0.3">
      <c r="B20" s="147"/>
      <c r="C20" s="704" t="s">
        <v>2022</v>
      </c>
      <c r="D20" s="701" t="s">
        <v>2023</v>
      </c>
      <c r="E20" s="752" t="s">
        <v>2021</v>
      </c>
      <c r="F20" s="793">
        <v>20</v>
      </c>
      <c r="G20" s="792">
        <v>9</v>
      </c>
      <c r="H20" s="517">
        <v>0</v>
      </c>
      <c r="I20" s="517">
        <v>7</v>
      </c>
      <c r="J20" s="517"/>
      <c r="K20" s="517"/>
      <c r="L20" s="886"/>
      <c r="M20" s="705" t="s">
        <v>2024</v>
      </c>
      <c r="N20" s="797">
        <f>VLOOKUP(M20,payscales!B:K,10,0)</f>
        <v>35.97</v>
      </c>
      <c r="O20" s="146"/>
    </row>
    <row r="21" spans="2:15" x14ac:dyDescent="0.3">
      <c r="B21" s="147"/>
      <c r="C21" s="704" t="s">
        <v>2025</v>
      </c>
      <c r="D21" s="701" t="s">
        <v>2023</v>
      </c>
      <c r="E21" s="752" t="s">
        <v>2021</v>
      </c>
      <c r="F21" s="877">
        <v>20</v>
      </c>
      <c r="G21" s="878">
        <v>9</v>
      </c>
      <c r="H21" s="876">
        <v>0</v>
      </c>
      <c r="I21" s="876">
        <v>7</v>
      </c>
      <c r="J21" s="876"/>
      <c r="K21" s="876"/>
      <c r="L21" s="886"/>
      <c r="M21" s="705" t="s">
        <v>2024</v>
      </c>
      <c r="N21" s="797">
        <f>VLOOKUP(M21,payscales!B:K,10,0)</f>
        <v>35.97</v>
      </c>
      <c r="O21" s="146"/>
    </row>
    <row r="22" spans="2:15" x14ac:dyDescent="0.3">
      <c r="B22" s="147"/>
      <c r="C22" s="704" t="s">
        <v>2026</v>
      </c>
      <c r="D22" s="701" t="s">
        <v>2023</v>
      </c>
      <c r="E22" s="752" t="s">
        <v>2021</v>
      </c>
      <c r="F22" s="796">
        <v>20</v>
      </c>
      <c r="G22" s="794">
        <v>7</v>
      </c>
      <c r="H22" s="795">
        <v>0</v>
      </c>
      <c r="I22" s="795">
        <v>0</v>
      </c>
      <c r="J22" s="795"/>
      <c r="K22" s="795"/>
      <c r="L22" s="886"/>
      <c r="M22" s="705" t="s">
        <v>2024</v>
      </c>
      <c r="N22" s="797">
        <f>VLOOKUP(M22,payscales!B:K,10,0)</f>
        <v>35.97</v>
      </c>
      <c r="O22" s="146"/>
    </row>
    <row r="23" spans="2:15" x14ac:dyDescent="0.3">
      <c r="B23" s="147"/>
      <c r="C23" s="309"/>
      <c r="D23" s="190"/>
      <c r="E23" s="190"/>
      <c r="F23" s="190"/>
      <c r="G23" s="190"/>
      <c r="M23" s="753" t="s">
        <v>2027</v>
      </c>
      <c r="O23" s="146"/>
    </row>
    <row r="24" spans="2:15" x14ac:dyDescent="0.3">
      <c r="B24" s="147"/>
      <c r="C24" s="177" t="s">
        <v>2028</v>
      </c>
      <c r="D24" s="140"/>
      <c r="O24" s="146"/>
    </row>
    <row r="25" spans="2:15" x14ac:dyDescent="0.3">
      <c r="B25" s="147"/>
      <c r="C25" t="s">
        <v>2029</v>
      </c>
      <c r="D25" s="140"/>
      <c r="O25" s="146"/>
    </row>
    <row r="26" spans="2:15" x14ac:dyDescent="0.3">
      <c r="B26" s="147"/>
      <c r="C26" s="171" t="s">
        <v>2030</v>
      </c>
      <c r="D26" s="140"/>
      <c r="O26" s="146"/>
    </row>
    <row r="27" spans="2:15" x14ac:dyDescent="0.3">
      <c r="B27" s="147"/>
      <c r="C27" s="879" t="s">
        <v>2031</v>
      </c>
      <c r="D27" s="140"/>
      <c r="O27" s="146"/>
    </row>
    <row r="28" spans="2:15" x14ac:dyDescent="0.3">
      <c r="B28" s="147"/>
      <c r="C28" s="171" t="s">
        <v>2032</v>
      </c>
      <c r="D28" s="140"/>
      <c r="O28" s="146"/>
    </row>
    <row r="29" spans="2:15" x14ac:dyDescent="0.3">
      <c r="B29" s="147"/>
      <c r="C29" s="171" t="s">
        <v>2033</v>
      </c>
      <c r="D29" s="140"/>
      <c r="O29" s="146"/>
    </row>
    <row r="30" spans="2:15" x14ac:dyDescent="0.3">
      <c r="B30" s="147"/>
      <c r="C30" s="171" t="s">
        <v>2034</v>
      </c>
      <c r="D30" s="140"/>
      <c r="O30" s="146"/>
    </row>
    <row r="31" spans="2:15" x14ac:dyDescent="0.3">
      <c r="B31" s="147"/>
      <c r="C31" s="171" t="s">
        <v>2035</v>
      </c>
      <c r="D31" s="140"/>
      <c r="O31" s="146"/>
    </row>
    <row r="32" spans="2:15" x14ac:dyDescent="0.3">
      <c r="B32" s="147"/>
      <c r="C32" s="874" t="s">
        <v>2036</v>
      </c>
      <c r="D32" s="140"/>
      <c r="O32" s="146"/>
    </row>
    <row r="33" spans="2:15" x14ac:dyDescent="0.3">
      <c r="B33" s="147"/>
      <c r="C33" s="881" t="s">
        <v>2037</v>
      </c>
      <c r="D33" s="140"/>
      <c r="O33" s="146"/>
    </row>
    <row r="34" spans="2:15" x14ac:dyDescent="0.3">
      <c r="B34" s="147"/>
      <c r="C34" s="881" t="s">
        <v>2038</v>
      </c>
      <c r="D34" s="140"/>
      <c r="O34" s="146"/>
    </row>
    <row r="35" spans="2:15" x14ac:dyDescent="0.3">
      <c r="B35" s="148"/>
      <c r="C35" s="149"/>
      <c r="D35" s="151"/>
      <c r="E35" s="151"/>
      <c r="F35" s="151"/>
      <c r="G35" s="151"/>
      <c r="H35" s="151"/>
      <c r="I35" s="151"/>
      <c r="J35" s="151"/>
      <c r="K35" s="151"/>
      <c r="L35" s="149"/>
      <c r="M35" s="149"/>
      <c r="N35" s="149"/>
      <c r="O35" s="150"/>
    </row>
    <row r="36" spans="2:15" x14ac:dyDescent="0.3">
      <c r="D36" s="140"/>
      <c r="E36" s="140"/>
      <c r="F36" s="140"/>
      <c r="G36" s="140"/>
      <c r="H36" s="140"/>
      <c r="I36" s="140"/>
      <c r="J36" s="140"/>
      <c r="K36" s="140"/>
    </row>
    <row r="60" spans="2:15" x14ac:dyDescent="0.3">
      <c r="B60" s="755"/>
      <c r="C60" s="755"/>
      <c r="D60" s="755"/>
      <c r="E60" s="755"/>
      <c r="F60" s="755"/>
      <c r="G60" s="755"/>
      <c r="H60" s="755"/>
      <c r="I60" s="755"/>
      <c r="J60" s="755"/>
      <c r="K60" s="755"/>
      <c r="L60" s="755"/>
      <c r="M60" s="755"/>
      <c r="N60" s="755"/>
      <c r="O60" s="755"/>
    </row>
  </sheetData>
  <sheetProtection algorithmName="SHA-512" hashValue="129mRvpr41ueiA44L00Tf2I5c55e0x79qXmto3k5igZQta/AOldDsobvCVsuwHj0FBSCoSIS6gOIn1T5qi5twA==" saltValue="+WE81kTROFK4iAEY33bM9w==" spinCount="100000" sheet="1" objects="1" scenarios="1"/>
  <protectedRanges>
    <protectedRange sqref="I23:K23 F13:K22" name="Range1"/>
  </protectedRanges>
  <hyperlinks>
    <hyperlink ref="C27" r:id="rId1" xr:uid="{04EE0235-EFCB-4ED4-B19C-8EF65437AE92}"/>
    <hyperlink ref="C32" r:id="rId2" display="Dosing as per Summary of Product Characteristics" xr:uid="{EA35C3E2-2CE2-4D0B-84C4-3CE2E440B324}"/>
  </hyperlinks>
  <pageMargins left="0.7" right="0.7" top="0.75" bottom="0.75" header="0.3" footer="0.3"/>
  <pageSetup paperSize="9" scale="38" fitToHeight="0"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M13:M22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32"/>
  <sheetViews>
    <sheetView showGridLines="0" zoomScale="70" zoomScaleNormal="70" workbookViewId="0">
      <selection activeCell="J5" sqref="J5"/>
    </sheetView>
  </sheetViews>
  <sheetFormatPr defaultRowHeight="14.4" x14ac:dyDescent="0.3"/>
  <cols>
    <col min="1" max="1" width="3.21875" customWidth="1"/>
    <col min="2" max="2" width="30.77734375" customWidth="1"/>
    <col min="3" max="3" width="10.21875" customWidth="1"/>
    <col min="4" max="4" width="11.21875" customWidth="1"/>
    <col min="5" max="7" width="10.77734375" customWidth="1"/>
    <col min="9" max="9" width="2.21875" customWidth="1"/>
    <col min="10" max="14" width="11.77734375" customWidth="1"/>
    <col min="15" max="15" width="2.44140625" customWidth="1"/>
  </cols>
  <sheetData>
    <row r="1" spans="2:15" ht="30" customHeight="1" x14ac:dyDescent="0.3">
      <c r="B1" s="445" t="str">
        <f>'Inputs and population'!B1</f>
        <v>Ribociclib with an aromatase inhibitor for adjuvant treatment of hormone receptor-positive, HER2-negative early breast cancer</v>
      </c>
    </row>
    <row r="2" spans="2:15" ht="30" customHeight="1" x14ac:dyDescent="0.3">
      <c r="B2" s="143" t="s">
        <v>2039</v>
      </c>
      <c r="C2" s="142"/>
      <c r="D2" s="157"/>
      <c r="E2" s="157"/>
      <c r="F2" s="157"/>
      <c r="G2" s="157"/>
      <c r="H2" s="142"/>
      <c r="I2" s="142"/>
      <c r="J2" s="142"/>
      <c r="K2" s="142"/>
      <c r="L2" s="142"/>
      <c r="M2" s="142"/>
      <c r="N2" s="142"/>
      <c r="O2" s="142"/>
    </row>
    <row r="3" spans="2:15" x14ac:dyDescent="0.3">
      <c r="B3" s="799"/>
      <c r="C3" s="754"/>
      <c r="D3" s="754"/>
      <c r="E3" s="754"/>
      <c r="F3" s="755"/>
      <c r="G3" s="755"/>
      <c r="I3" s="755"/>
      <c r="J3" s="755"/>
      <c r="K3" s="755"/>
      <c r="L3" s="755"/>
    </row>
    <row r="4" spans="2:15" x14ac:dyDescent="0.3">
      <c r="C4" s="800"/>
      <c r="D4" s="802" t="s">
        <v>2040</v>
      </c>
      <c r="E4" s="803"/>
    </row>
    <row r="5" spans="2:15" ht="28.8" x14ac:dyDescent="0.3">
      <c r="B5" s="222" t="s">
        <v>2041</v>
      </c>
      <c r="C5" s="222" t="s">
        <v>1951</v>
      </c>
      <c r="D5" s="222" t="s">
        <v>2000</v>
      </c>
      <c r="E5" s="222" t="s">
        <v>2042</v>
      </c>
      <c r="F5" s="222" t="s">
        <v>2043</v>
      </c>
    </row>
    <row r="6" spans="2:15" x14ac:dyDescent="0.3">
      <c r="B6" s="535" t="s">
        <v>2044</v>
      </c>
      <c r="C6" s="536"/>
      <c r="D6" s="536"/>
      <c r="E6" s="536"/>
      <c r="F6" s="263">
        <v>153</v>
      </c>
    </row>
    <row r="7" spans="2:15" x14ac:dyDescent="0.3">
      <c r="B7" s="535" t="s">
        <v>2045</v>
      </c>
      <c r="C7" s="536"/>
      <c r="D7" s="536"/>
      <c r="E7" s="536"/>
      <c r="F7" s="263">
        <v>153</v>
      </c>
    </row>
    <row r="8" spans="2:15" x14ac:dyDescent="0.3">
      <c r="B8" s="535" t="s">
        <v>2046</v>
      </c>
      <c r="C8" s="536"/>
      <c r="D8" s="536"/>
      <c r="E8" s="536"/>
      <c r="F8" s="263">
        <v>153</v>
      </c>
    </row>
    <row r="9" spans="2:15" x14ac:dyDescent="0.3">
      <c r="B9" s="535" t="s">
        <v>2047</v>
      </c>
      <c r="C9" s="536"/>
      <c r="D9" s="536"/>
      <c r="E9" s="536"/>
      <c r="F9" s="263">
        <v>153</v>
      </c>
    </row>
    <row r="10" spans="2:15" x14ac:dyDescent="0.3">
      <c r="B10" s="535" t="s">
        <v>2048</v>
      </c>
      <c r="C10" s="536"/>
      <c r="D10" s="536"/>
      <c r="E10" s="536"/>
      <c r="F10" s="263">
        <v>153</v>
      </c>
    </row>
    <row r="11" spans="2:15" x14ac:dyDescent="0.3">
      <c r="B11" s="5"/>
      <c r="C11" s="313">
        <f>SUM(C6:C10)</f>
        <v>0</v>
      </c>
      <c r="D11" s="313">
        <f>SUM(D6:D10)</f>
        <v>0</v>
      </c>
      <c r="E11" s="313">
        <f>SUM(E6:E10)</f>
        <v>0</v>
      </c>
      <c r="F11" s="754"/>
    </row>
    <row r="12" spans="2:15" x14ac:dyDescent="0.3">
      <c r="B12" s="220" t="s">
        <v>2049</v>
      </c>
      <c r="C12" s="798"/>
      <c r="D12" s="798"/>
      <c r="E12" s="798"/>
    </row>
    <row r="13" spans="2:15" x14ac:dyDescent="0.3">
      <c r="B13" s="220" t="s">
        <v>2050</v>
      </c>
      <c r="C13" s="798"/>
      <c r="D13" s="798"/>
      <c r="E13" s="798"/>
    </row>
    <row r="14" spans="2:15" x14ac:dyDescent="0.3">
      <c r="B14" s="872" t="s">
        <v>2051</v>
      </c>
      <c r="C14" s="798"/>
      <c r="D14" s="798"/>
      <c r="E14" s="798"/>
    </row>
    <row r="15" spans="2:15" x14ac:dyDescent="0.3">
      <c r="C15" s="798"/>
      <c r="D15" s="798"/>
      <c r="E15" s="798"/>
    </row>
    <row r="16" spans="2:15" x14ac:dyDescent="0.3">
      <c r="C16" s="800" t="s">
        <v>2052</v>
      </c>
      <c r="D16" s="801"/>
      <c r="E16" s="801"/>
      <c r="F16" s="371"/>
      <c r="G16" s="371"/>
      <c r="H16" s="538"/>
      <c r="J16" s="800" t="s">
        <v>2053</v>
      </c>
      <c r="K16" s="230"/>
      <c r="L16" s="230"/>
      <c r="M16" s="230"/>
      <c r="N16" s="187"/>
    </row>
    <row r="17" spans="2:14" ht="43.2" x14ac:dyDescent="0.3">
      <c r="C17" s="152" t="s">
        <v>2054</v>
      </c>
      <c r="D17" s="152" t="s">
        <v>1896</v>
      </c>
      <c r="E17" s="152" t="s">
        <v>1897</v>
      </c>
      <c r="F17" s="211" t="s">
        <v>1898</v>
      </c>
      <c r="G17" s="152" t="s">
        <v>1899</v>
      </c>
      <c r="H17" s="152" t="s">
        <v>1900</v>
      </c>
      <c r="J17" s="152" t="s">
        <v>1896</v>
      </c>
      <c r="K17" s="152" t="s">
        <v>1897</v>
      </c>
      <c r="L17" s="211" t="s">
        <v>1898</v>
      </c>
      <c r="M17" s="152" t="s">
        <v>1899</v>
      </c>
      <c r="N17" s="152" t="s">
        <v>1900</v>
      </c>
    </row>
    <row r="18" spans="2:14" x14ac:dyDescent="0.3">
      <c r="B18" s="535" t="s">
        <v>2044</v>
      </c>
      <c r="C18" s="116">
        <f>($C$6*('Financial impact (cash)'!D$13+'Financial impact (cash)'!D14+'Financial impact (cash)'!D15))+(Events!$D$6*('Financial impact (cash)'!D$16+'Financial impact (cash)'!D17+'Financial impact (cash)'!D18+'Financial impact (cash)'!D19+'Financial impact (cash)'!D20))+(Events!$E$6*('Financial impact (cash)'!D$21+'Financial impact (cash)'!D22))</f>
        <v>0</v>
      </c>
      <c r="D18" s="116">
        <f>($C$6*('Financial impact (cash)'!E$13+'Financial impact (cash)'!E14+'Financial impact (cash)'!E15))+(Events!$D$6*('Financial impact (cash)'!E$16+'Financial impact (cash)'!E17+'Financial impact (cash)'!E18+'Financial impact (cash)'!E19+'Financial impact (cash)'!E20))+(Events!$E$6*('Financial impact (cash)'!E$21+'Financial impact (cash)'!E22))</f>
        <v>0</v>
      </c>
      <c r="E18" s="116">
        <f>($C$6*('Financial impact (cash)'!F$13+'Financial impact (cash)'!F14+'Financial impact (cash)'!F15))+(Events!$D$6*('Financial impact (cash)'!F$16+'Financial impact (cash)'!F17+'Financial impact (cash)'!F18+'Financial impact (cash)'!F19+'Financial impact (cash)'!F20))+(Events!$E$6*('Financial impact (cash)'!F$21+'Financial impact (cash)'!F22))</f>
        <v>0</v>
      </c>
      <c r="F18" s="116">
        <f>($C$6*('Financial impact (cash)'!G$13+'Financial impact (cash)'!G14+'Financial impact (cash)'!G15))+(Events!$D$6*('Financial impact (cash)'!G$16+'Financial impact (cash)'!G17+'Financial impact (cash)'!G18+'Financial impact (cash)'!G19+'Financial impact (cash)'!G20))+(Events!$E$6*('Financial impact (cash)'!G$21+'Financial impact (cash)'!G22))</f>
        <v>0</v>
      </c>
      <c r="G18" s="116">
        <f>($C$6*('Financial impact (cash)'!H$13+'Financial impact (cash)'!H14+'Financial impact (cash)'!H15))+(Events!$D$6*('Financial impact (cash)'!H$16+'Financial impact (cash)'!H17+'Financial impact (cash)'!H18+'Financial impact (cash)'!H19+'Financial impact (cash)'!H20))+(Events!$E$6*('Financial impact (cash)'!H$21+'Financial impact (cash)'!H22))</f>
        <v>0</v>
      </c>
      <c r="H18" s="116">
        <f>($C$6*('Financial impact (cash)'!I$13+'Financial impact (cash)'!I14+'Financial impact (cash)'!I15))+(Events!$D$6*('Financial impact (cash)'!I$16+'Financial impact (cash)'!I17+'Financial impact (cash)'!I18+'Financial impact (cash)'!I19+'Financial impact (cash)'!I20))+(Events!$E$6*('Financial impact (cash)'!I$21+'Financial impact (cash)'!I22))</f>
        <v>0</v>
      </c>
      <c r="J18" s="116">
        <f>D18-$C18</f>
        <v>0</v>
      </c>
      <c r="K18" s="116">
        <f>E18-$C18</f>
        <v>0</v>
      </c>
      <c r="L18" s="116">
        <f t="shared" ref="L18:N18" si="0">F18-$C18</f>
        <v>0</v>
      </c>
      <c r="M18" s="116">
        <f t="shared" si="0"/>
        <v>0</v>
      </c>
      <c r="N18" s="116">
        <f t="shared" si="0"/>
        <v>0</v>
      </c>
    </row>
    <row r="19" spans="2:14" x14ac:dyDescent="0.3">
      <c r="B19" s="535" t="s">
        <v>2045</v>
      </c>
      <c r="C19" s="116">
        <f>($C$7*('Financial impact (cash)'!D$13+'Financial impact (cash)'!D14+'Financial impact (cash)'!D15))+(Events!$D$7*('Financial impact (cash)'!D$16+'Financial impact (cash)'!D17+'Financial impact (cash)'!D18+'Financial impact (cash)'!D19+'Financial impact (cash)'!D20))+(Events!$E$7*('Financial impact (cash)'!D$21+'Financial impact (cash)'!D22))</f>
        <v>0</v>
      </c>
      <c r="D19" s="116">
        <f>($C$7*('Financial impact (cash)'!E$13+'Financial impact (cash)'!E14+'Financial impact (cash)'!E15))+(Events!$D$7*('Financial impact (cash)'!E$16+'Financial impact (cash)'!E17+'Financial impact (cash)'!E18+'Financial impact (cash)'!E19+'Financial impact (cash)'!E20))+(Events!$E$7*('Financial impact (cash)'!E$21+'Financial impact (cash)'!E22))</f>
        <v>0</v>
      </c>
      <c r="E19" s="116">
        <f>($C$7*('Financial impact (cash)'!F$13+'Financial impact (cash)'!F14+'Financial impact (cash)'!F15))+(Events!$D$7*('Financial impact (cash)'!F$16+'Financial impact (cash)'!F17+'Financial impact (cash)'!F18+'Financial impact (cash)'!F19+'Financial impact (cash)'!F20))+(Events!$E$7*('Financial impact (cash)'!F$21+'Financial impact (cash)'!F22))</f>
        <v>0</v>
      </c>
      <c r="F19" s="116">
        <f>($C$7*('Financial impact (cash)'!G$13+'Financial impact (cash)'!G14+'Financial impact (cash)'!G15))+(Events!$D$7*('Financial impact (cash)'!G$16+'Financial impact (cash)'!G17+'Financial impact (cash)'!G18+'Financial impact (cash)'!G19+'Financial impact (cash)'!G20))+(Events!$E$7*('Financial impact (cash)'!G$21+'Financial impact (cash)'!G22))</f>
        <v>0</v>
      </c>
      <c r="G19" s="116">
        <f>($C$7*('Financial impact (cash)'!H$13+'Financial impact (cash)'!H14+'Financial impact (cash)'!H15))+(Events!$D$7*('Financial impact (cash)'!H$16+'Financial impact (cash)'!H17+'Financial impact (cash)'!H18+'Financial impact (cash)'!H19+'Financial impact (cash)'!H20))+(Events!$E$7*('Financial impact (cash)'!H$21+'Financial impact (cash)'!H22))</f>
        <v>0</v>
      </c>
      <c r="H19" s="116">
        <f>($C$7*('Financial impact (cash)'!I$13+'Financial impact (cash)'!I14+'Financial impact (cash)'!I15))+(Events!$D$7*('Financial impact (cash)'!I$16+'Financial impact (cash)'!I17+'Financial impact (cash)'!I18+'Financial impact (cash)'!I19+'Financial impact (cash)'!I20))+(Events!$E$7*('Financial impact (cash)'!I$21+'Financial impact (cash)'!I22))</f>
        <v>0</v>
      </c>
      <c r="J19" s="116">
        <f t="shared" ref="J19:J22" si="1">D19-$C19</f>
        <v>0</v>
      </c>
      <c r="K19" s="116">
        <f t="shared" ref="K19:K22" si="2">E19-$C19</f>
        <v>0</v>
      </c>
      <c r="L19" s="116">
        <f t="shared" ref="L19:L22" si="3">F19-$C19</f>
        <v>0</v>
      </c>
      <c r="M19" s="116">
        <f t="shared" ref="M19:M22" si="4">G19-$C19</f>
        <v>0</v>
      </c>
      <c r="N19" s="116">
        <f t="shared" ref="N19:N22" si="5">H19-$C19</f>
        <v>0</v>
      </c>
    </row>
    <row r="20" spans="2:14" x14ac:dyDescent="0.3">
      <c r="B20" s="535" t="s">
        <v>2046</v>
      </c>
      <c r="C20" s="116">
        <f>($C$8*('Financial impact (cash)'!D$13+'Financial impact (cash)'!D14+'Financial impact (cash)'!D15))+(Events!$D$8*('Financial impact (cash)'!D$16+'Financial impact (cash)'!D17+'Financial impact (cash)'!D18+'Financial impact (cash)'!D19+'Financial impact (cash)'!D20))+(Events!$E$8*('Financial impact (cash)'!D$21+'Financial impact (cash)'!D22))</f>
        <v>0</v>
      </c>
      <c r="D20" s="116">
        <f>($C$8*('Financial impact (cash)'!E$13+'Financial impact (cash)'!E14+'Financial impact (cash)'!E15))+(Events!$D$8*('Financial impact (cash)'!E$16+'Financial impact (cash)'!E17+'Financial impact (cash)'!E18+'Financial impact (cash)'!E19+'Financial impact (cash)'!E20))+(Events!$E$8*('Financial impact (cash)'!E$21+'Financial impact (cash)'!E22))</f>
        <v>0</v>
      </c>
      <c r="E20" s="116">
        <f>($C$8*('Financial impact (cash)'!F$13+'Financial impact (cash)'!F14+'Financial impact (cash)'!F15))+(Events!$D$8*('Financial impact (cash)'!F$16+'Financial impact (cash)'!F17+'Financial impact (cash)'!F18+'Financial impact (cash)'!F19+'Financial impact (cash)'!F20))+(Events!$E$8*('Financial impact (cash)'!F$21+'Financial impact (cash)'!F22))</f>
        <v>0</v>
      </c>
      <c r="F20" s="116">
        <f>($C$8*('Financial impact (cash)'!G$13+'Financial impact (cash)'!G14+'Financial impact (cash)'!G15))+(Events!$D$8*('Financial impact (cash)'!G$16+'Financial impact (cash)'!G17+'Financial impact (cash)'!G18+'Financial impact (cash)'!G19+'Financial impact (cash)'!G20))+(Events!$E$8*('Financial impact (cash)'!G$21+'Financial impact (cash)'!G22))</f>
        <v>0</v>
      </c>
      <c r="G20" s="116">
        <f>($C$8*('Financial impact (cash)'!H$13+'Financial impact (cash)'!H14+'Financial impact (cash)'!H15))+(Events!$D$8*('Financial impact (cash)'!H$16+'Financial impact (cash)'!H17+'Financial impact (cash)'!H18+'Financial impact (cash)'!H19+'Financial impact (cash)'!H20))+(Events!$E$8*('Financial impact (cash)'!H$21+'Financial impact (cash)'!H22))</f>
        <v>0</v>
      </c>
      <c r="H20" s="116">
        <f>($C$8*('Financial impact (cash)'!I$13+'Financial impact (cash)'!I14+'Financial impact (cash)'!I15))+(Events!$D$8*('Financial impact (cash)'!I$16+'Financial impact (cash)'!I17+'Financial impact (cash)'!I18+'Financial impact (cash)'!I19+'Financial impact (cash)'!I20))+(Events!$E$8*('Financial impact (cash)'!I$21+'Financial impact (cash)'!I22))</f>
        <v>0</v>
      </c>
      <c r="J20" s="116">
        <f t="shared" si="1"/>
        <v>0</v>
      </c>
      <c r="K20" s="116">
        <f t="shared" si="2"/>
        <v>0</v>
      </c>
      <c r="L20" s="116">
        <f t="shared" si="3"/>
        <v>0</v>
      </c>
      <c r="M20" s="116">
        <f t="shared" si="4"/>
        <v>0</v>
      </c>
      <c r="N20" s="116">
        <f t="shared" si="5"/>
        <v>0</v>
      </c>
    </row>
    <row r="21" spans="2:14" x14ac:dyDescent="0.3">
      <c r="B21" s="535" t="s">
        <v>2047</v>
      </c>
      <c r="C21" s="116">
        <f>($C$9*('Financial impact (cash)'!D$13+'Financial impact (cash)'!D14+'Financial impact (cash)'!D15))+(Events!$D$9*('Financial impact (cash)'!D$16+'Financial impact (cash)'!D17+'Financial impact (cash)'!D18+'Financial impact (cash)'!D19+'Financial impact (cash)'!D20))+(Events!$E$9*('Financial impact (cash)'!D$21+'Financial impact (cash)'!D22))</f>
        <v>0</v>
      </c>
      <c r="D21" s="116">
        <f>($C$9*('Financial impact (cash)'!E$13+'Financial impact (cash)'!E14+'Financial impact (cash)'!E15))+(Events!$D$9*('Financial impact (cash)'!E$16+'Financial impact (cash)'!E17+'Financial impact (cash)'!E18+'Financial impact (cash)'!E19+'Financial impact (cash)'!E20))+(Events!$E$9*('Financial impact (cash)'!E$21+'Financial impact (cash)'!E22))</f>
        <v>0</v>
      </c>
      <c r="E21" s="116">
        <f>($C$9*('Financial impact (cash)'!F$13+'Financial impact (cash)'!F14+'Financial impact (cash)'!F15))+(Events!$D$9*('Financial impact (cash)'!F$16+'Financial impact (cash)'!F17+'Financial impact (cash)'!F18+'Financial impact (cash)'!F19+'Financial impact (cash)'!F20))+(Events!$E$9*('Financial impact (cash)'!F$21+'Financial impact (cash)'!F22))</f>
        <v>0</v>
      </c>
      <c r="F21" s="116">
        <f>($C$9*('Financial impact (cash)'!G$13+'Financial impact (cash)'!G14+'Financial impact (cash)'!G15))+(Events!$D$9*('Financial impact (cash)'!G$16+'Financial impact (cash)'!G17+'Financial impact (cash)'!G18+'Financial impact (cash)'!G19+'Financial impact (cash)'!G20))+(Events!$E$9*('Financial impact (cash)'!G$21+'Financial impact (cash)'!G22))</f>
        <v>0</v>
      </c>
      <c r="G21" s="116">
        <f>($C$9*('Financial impact (cash)'!H$13+'Financial impact (cash)'!H14+'Financial impact (cash)'!H15))+(Events!$D$9*('Financial impact (cash)'!H$16+'Financial impact (cash)'!H17+'Financial impact (cash)'!H18+'Financial impact (cash)'!H19+'Financial impact (cash)'!H20))+(Events!$E$9*('Financial impact (cash)'!H$21+'Financial impact (cash)'!H22))</f>
        <v>0</v>
      </c>
      <c r="H21" s="116">
        <f>($C$9*('Financial impact (cash)'!I$13+'Financial impact (cash)'!I14+'Financial impact (cash)'!I15))+(Events!$D$9*('Financial impact (cash)'!I$16+'Financial impact (cash)'!I17+'Financial impact (cash)'!I18+'Financial impact (cash)'!I19+'Financial impact (cash)'!I20))+(Events!$E$9*('Financial impact (cash)'!I$21+'Financial impact (cash)'!I22))</f>
        <v>0</v>
      </c>
      <c r="J21" s="116">
        <f t="shared" si="1"/>
        <v>0</v>
      </c>
      <c r="K21" s="116">
        <f t="shared" si="2"/>
        <v>0</v>
      </c>
      <c r="L21" s="116">
        <f t="shared" si="3"/>
        <v>0</v>
      </c>
      <c r="M21" s="116">
        <f t="shared" si="4"/>
        <v>0</v>
      </c>
      <c r="N21" s="116">
        <f t="shared" si="5"/>
        <v>0</v>
      </c>
    </row>
    <row r="22" spans="2:14" x14ac:dyDescent="0.3">
      <c r="B22" s="535" t="s">
        <v>2048</v>
      </c>
      <c r="C22" s="116">
        <f>($C$10*('Financial impact (cash)'!D$13+'Financial impact (cash)'!D14+'Financial impact (cash)'!D15))+(Events!$D$10*('Financial impact (cash)'!D$16+'Financial impact (cash)'!D17+'Financial impact (cash)'!D18+'Financial impact (cash)'!D19+'Financial impact (cash)'!D20))+(Events!$E$10*('Financial impact (cash)'!D$21+'Financial impact (cash)'!D22))</f>
        <v>0</v>
      </c>
      <c r="D22" s="116">
        <f>($C$10*('Financial impact (cash)'!E$13+'Financial impact (cash)'!E14+'Financial impact (cash)'!E15))+(Events!$D$10*('Financial impact (cash)'!E$16+'Financial impact (cash)'!E17+'Financial impact (cash)'!E18+'Financial impact (cash)'!E19+'Financial impact (cash)'!E20))+(Events!$E$10*('Financial impact (cash)'!E$21+'Financial impact (cash)'!E22))</f>
        <v>0</v>
      </c>
      <c r="E22" s="116">
        <f>($C$10*('Financial impact (cash)'!F$13+'Financial impact (cash)'!F14+'Financial impact (cash)'!F15))+(Events!$D$10*('Financial impact (cash)'!F$16+'Financial impact (cash)'!F17+'Financial impact (cash)'!F18+'Financial impact (cash)'!F19+'Financial impact (cash)'!F20))+(Events!$E$10*('Financial impact (cash)'!F$21+'Financial impact (cash)'!F22))</f>
        <v>0</v>
      </c>
      <c r="F22" s="116">
        <f>($C$10*('Financial impact (cash)'!G$13+'Financial impact (cash)'!G14+'Financial impact (cash)'!G15))+(Events!$D$10*('Financial impact (cash)'!G$16+'Financial impact (cash)'!G17+'Financial impact (cash)'!G18+'Financial impact (cash)'!G19+'Financial impact (cash)'!G20))+(Events!$E$10*('Financial impact (cash)'!G$21+'Financial impact (cash)'!G22))</f>
        <v>0</v>
      </c>
      <c r="G22" s="116">
        <f>($C$10*('Financial impact (cash)'!H$13+'Financial impact (cash)'!H14+'Financial impact (cash)'!H15))+(Events!$D$10*('Financial impact (cash)'!H$16+'Financial impact (cash)'!H17+'Financial impact (cash)'!H18+'Financial impact (cash)'!H19+'Financial impact (cash)'!H20))+(Events!$E$10*('Financial impact (cash)'!H$21+'Financial impact (cash)'!H22))</f>
        <v>0</v>
      </c>
      <c r="H22" s="116">
        <f>($C$10*('Financial impact (cash)'!I$13+'Financial impact (cash)'!I14+'Financial impact (cash)'!I15))+(Events!$D$10*('Financial impact (cash)'!I$16+'Financial impact (cash)'!I17+'Financial impact (cash)'!I18+'Financial impact (cash)'!I19+'Financial impact (cash)'!I20))+(Events!$E$10*('Financial impact (cash)'!I$21+'Financial impact (cash)'!I22))</f>
        <v>0</v>
      </c>
      <c r="J22" s="116">
        <f t="shared" si="1"/>
        <v>0</v>
      </c>
      <c r="K22" s="116">
        <f t="shared" si="2"/>
        <v>0</v>
      </c>
      <c r="L22" s="116">
        <f t="shared" si="3"/>
        <v>0</v>
      </c>
      <c r="M22" s="116">
        <f t="shared" si="4"/>
        <v>0</v>
      </c>
      <c r="N22" s="116">
        <f t="shared" si="5"/>
        <v>0</v>
      </c>
    </row>
    <row r="23" spans="2:14" s="136" customFormat="1" x14ac:dyDescent="0.3">
      <c r="B23" s="819"/>
      <c r="C23" s="163">
        <f t="shared" ref="C23:H23" si="6">SUM(C18:C22)</f>
        <v>0</v>
      </c>
      <c r="D23" s="163">
        <f t="shared" si="6"/>
        <v>0</v>
      </c>
      <c r="E23" s="163">
        <f t="shared" si="6"/>
        <v>0</v>
      </c>
      <c r="F23" s="163">
        <f t="shared" si="6"/>
        <v>0</v>
      </c>
      <c r="G23" s="163">
        <f t="shared" si="6"/>
        <v>0</v>
      </c>
      <c r="H23" s="163">
        <f t="shared" si="6"/>
        <v>0</v>
      </c>
      <c r="J23" s="163">
        <f>SUM(J18:J22)</f>
        <v>0</v>
      </c>
      <c r="K23" s="163">
        <f>SUM(K18:K22)</f>
        <v>0</v>
      </c>
      <c r="L23" s="163">
        <f>SUM(L18:L22)</f>
        <v>0</v>
      </c>
      <c r="M23" s="163">
        <f>SUM(M18:M22)</f>
        <v>0</v>
      </c>
      <c r="N23" s="163">
        <f>SUM(N18:N22)</f>
        <v>0</v>
      </c>
    </row>
    <row r="24" spans="2:14" x14ac:dyDescent="0.3">
      <c r="J24" s="755"/>
    </row>
    <row r="25" spans="2:14" x14ac:dyDescent="0.3">
      <c r="C25" s="800" t="s">
        <v>2055</v>
      </c>
      <c r="D25" s="801"/>
      <c r="E25" s="801"/>
      <c r="F25" s="371"/>
      <c r="G25" s="371"/>
      <c r="H25" s="538"/>
      <c r="J25" s="800" t="s">
        <v>2056</v>
      </c>
      <c r="K25" s="230"/>
      <c r="L25" s="230"/>
      <c r="M25" s="230"/>
      <c r="N25" s="187"/>
    </row>
    <row r="26" spans="2:14" ht="43.2" x14ac:dyDescent="0.3">
      <c r="C26" s="152" t="s">
        <v>2054</v>
      </c>
      <c r="D26" s="152" t="s">
        <v>1896</v>
      </c>
      <c r="E26" s="152" t="s">
        <v>1897</v>
      </c>
      <c r="F26" s="211" t="s">
        <v>1898</v>
      </c>
      <c r="G26" s="152" t="s">
        <v>1899</v>
      </c>
      <c r="H26" s="152" t="s">
        <v>1900</v>
      </c>
      <c r="J26" s="152" t="s">
        <v>1896</v>
      </c>
      <c r="K26" s="152" t="s">
        <v>1897</v>
      </c>
      <c r="L26" s="211" t="s">
        <v>1898</v>
      </c>
      <c r="M26" s="152" t="s">
        <v>1899</v>
      </c>
      <c r="N26" s="152" t="s">
        <v>1900</v>
      </c>
    </row>
    <row r="27" spans="2:14" x14ac:dyDescent="0.3">
      <c r="B27" s="535" t="s">
        <v>2044</v>
      </c>
      <c r="C27" s="263">
        <f>C18*$F$6/1000</f>
        <v>0</v>
      </c>
      <c r="D27" s="263">
        <f t="shared" ref="D27:H27" si="7">D18*$F$6/1000</f>
        <v>0</v>
      </c>
      <c r="E27" s="263">
        <f t="shared" si="7"/>
        <v>0</v>
      </c>
      <c r="F27" s="263">
        <f t="shared" si="7"/>
        <v>0</v>
      </c>
      <c r="G27" s="263">
        <f t="shared" si="7"/>
        <v>0</v>
      </c>
      <c r="H27" s="263">
        <f t="shared" si="7"/>
        <v>0</v>
      </c>
      <c r="J27" s="263">
        <f>D27-$C27</f>
        <v>0</v>
      </c>
      <c r="K27" s="263">
        <f>E27-$C27</f>
        <v>0</v>
      </c>
      <c r="L27" s="263">
        <f>F27-$C27</f>
        <v>0</v>
      </c>
      <c r="M27" s="263">
        <f>G27-$C27</f>
        <v>0</v>
      </c>
      <c r="N27" s="263">
        <f>H27-$C27</f>
        <v>0</v>
      </c>
    </row>
    <row r="28" spans="2:14" x14ac:dyDescent="0.3">
      <c r="B28" s="535" t="s">
        <v>2045</v>
      </c>
      <c r="C28" s="263">
        <f>C19*$F$7/1000</f>
        <v>0</v>
      </c>
      <c r="D28" s="263">
        <f t="shared" ref="D28:H28" si="8">D19*$F$7/1000</f>
        <v>0</v>
      </c>
      <c r="E28" s="263">
        <f t="shared" si="8"/>
        <v>0</v>
      </c>
      <c r="F28" s="263">
        <f t="shared" si="8"/>
        <v>0</v>
      </c>
      <c r="G28" s="263">
        <f t="shared" si="8"/>
        <v>0</v>
      </c>
      <c r="H28" s="263">
        <f t="shared" si="8"/>
        <v>0</v>
      </c>
      <c r="J28" s="263">
        <f t="shared" ref="J28:J31" si="9">D28-$C28</f>
        <v>0</v>
      </c>
      <c r="K28" s="263">
        <f t="shared" ref="K28:K31" si="10">E28-$C28</f>
        <v>0</v>
      </c>
      <c r="L28" s="263">
        <f t="shared" ref="L28:L31" si="11">F28-$C28</f>
        <v>0</v>
      </c>
      <c r="M28" s="263">
        <f t="shared" ref="M28:M31" si="12">G28-$C28</f>
        <v>0</v>
      </c>
      <c r="N28" s="263">
        <f t="shared" ref="N28:N31" si="13">H28-$C28</f>
        <v>0</v>
      </c>
    </row>
    <row r="29" spans="2:14" x14ac:dyDescent="0.3">
      <c r="B29" s="535" t="s">
        <v>2046</v>
      </c>
      <c r="C29" s="263">
        <f>C20*$F$8/1000</f>
        <v>0</v>
      </c>
      <c r="D29" s="263">
        <f t="shared" ref="D29:H29" si="14">D20*$F$8/1000</f>
        <v>0</v>
      </c>
      <c r="E29" s="263">
        <f t="shared" si="14"/>
        <v>0</v>
      </c>
      <c r="F29" s="263">
        <f t="shared" si="14"/>
        <v>0</v>
      </c>
      <c r="G29" s="263">
        <f t="shared" si="14"/>
        <v>0</v>
      </c>
      <c r="H29" s="263">
        <f t="shared" si="14"/>
        <v>0</v>
      </c>
      <c r="J29" s="263">
        <f t="shared" si="9"/>
        <v>0</v>
      </c>
      <c r="K29" s="263">
        <f t="shared" si="10"/>
        <v>0</v>
      </c>
      <c r="L29" s="263">
        <f t="shared" si="11"/>
        <v>0</v>
      </c>
      <c r="M29" s="263">
        <f t="shared" si="12"/>
        <v>0</v>
      </c>
      <c r="N29" s="263">
        <f t="shared" si="13"/>
        <v>0</v>
      </c>
    </row>
    <row r="30" spans="2:14" x14ac:dyDescent="0.3">
      <c r="B30" s="535" t="s">
        <v>2047</v>
      </c>
      <c r="C30" s="263">
        <f>C21*$F$9/1000</f>
        <v>0</v>
      </c>
      <c r="D30" s="263">
        <f t="shared" ref="D30:H30" si="15">D21*$F$9/1000</f>
        <v>0</v>
      </c>
      <c r="E30" s="263">
        <f t="shared" si="15"/>
        <v>0</v>
      </c>
      <c r="F30" s="263">
        <f t="shared" si="15"/>
        <v>0</v>
      </c>
      <c r="G30" s="263">
        <f t="shared" si="15"/>
        <v>0</v>
      </c>
      <c r="H30" s="263">
        <f t="shared" si="15"/>
        <v>0</v>
      </c>
      <c r="J30" s="263">
        <f t="shared" si="9"/>
        <v>0</v>
      </c>
      <c r="K30" s="263">
        <f t="shared" si="10"/>
        <v>0</v>
      </c>
      <c r="L30" s="263">
        <f t="shared" si="11"/>
        <v>0</v>
      </c>
      <c r="M30" s="263">
        <f t="shared" si="12"/>
        <v>0</v>
      </c>
      <c r="N30" s="263">
        <f t="shared" si="13"/>
        <v>0</v>
      </c>
    </row>
    <row r="31" spans="2:14" x14ac:dyDescent="0.3">
      <c r="B31" s="535" t="s">
        <v>2048</v>
      </c>
      <c r="C31" s="263">
        <f>C22*$F$10/1000</f>
        <v>0</v>
      </c>
      <c r="D31" s="263">
        <f t="shared" ref="D31:H31" si="16">D22*$F$10/1000</f>
        <v>0</v>
      </c>
      <c r="E31" s="263">
        <f t="shared" si="16"/>
        <v>0</v>
      </c>
      <c r="F31" s="263">
        <f t="shared" si="16"/>
        <v>0</v>
      </c>
      <c r="G31" s="263">
        <f t="shared" si="16"/>
        <v>0</v>
      </c>
      <c r="H31" s="263">
        <f t="shared" si="16"/>
        <v>0</v>
      </c>
      <c r="J31" s="263">
        <f t="shared" si="9"/>
        <v>0</v>
      </c>
      <c r="K31" s="263">
        <f t="shared" si="10"/>
        <v>0</v>
      </c>
      <c r="L31" s="263">
        <f t="shared" si="11"/>
        <v>0</v>
      </c>
      <c r="M31" s="263">
        <f t="shared" si="12"/>
        <v>0</v>
      </c>
      <c r="N31" s="263">
        <f t="shared" si="13"/>
        <v>0</v>
      </c>
    </row>
    <row r="32" spans="2:14" x14ac:dyDescent="0.3">
      <c r="C32" s="264">
        <f t="shared" ref="C32:H32" si="17">SUM(C27:C31)</f>
        <v>0</v>
      </c>
      <c r="D32" s="264">
        <f t="shared" si="17"/>
        <v>0</v>
      </c>
      <c r="E32" s="264">
        <f t="shared" si="17"/>
        <v>0</v>
      </c>
      <c r="F32" s="264">
        <f t="shared" si="17"/>
        <v>0</v>
      </c>
      <c r="G32" s="264">
        <f t="shared" si="17"/>
        <v>0</v>
      </c>
      <c r="H32" s="264">
        <f t="shared" si="17"/>
        <v>0</v>
      </c>
      <c r="J32" s="264">
        <f>SUM(J27:J31)</f>
        <v>0</v>
      </c>
      <c r="K32" s="264">
        <f>SUM(K27:K31)</f>
        <v>0</v>
      </c>
      <c r="L32" s="264">
        <f>SUM(L27:L31)</f>
        <v>0</v>
      </c>
      <c r="M32" s="264">
        <f>SUM(M27:M31)</f>
        <v>0</v>
      </c>
      <c r="N32" s="264">
        <f>SUM(N27:N31)</f>
        <v>0</v>
      </c>
    </row>
  </sheetData>
  <sheetProtection algorithmName="SHA-512" hashValue="8URx/d4GVRd13xG/AZcfOVbw5I0MvWpfLen3qhd21dS2Su2/o/EeinpHjg2QNcRa9ibAQG13XekBt2Tmzz2TjA==" saltValue="l/cEe19VkQu/hXvYTY4btA==" spinCount="100000" sheet="1" objects="1" scenarios="1"/>
  <protectedRanges>
    <protectedRange sqref="B18:B23 B6:E10 B27:B31" name="Range1_1"/>
  </protectedRange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Q91"/>
  <sheetViews>
    <sheetView showGridLines="0" zoomScale="55" zoomScaleNormal="55" workbookViewId="0"/>
  </sheetViews>
  <sheetFormatPr defaultColWidth="9.21875" defaultRowHeight="13.2" x14ac:dyDescent="0.25"/>
  <cols>
    <col min="1" max="1" width="3.5546875" style="3" customWidth="1"/>
    <col min="2" max="2" width="30.21875" style="3" customWidth="1"/>
    <col min="3" max="3" width="29.77734375" style="3" bestFit="1" customWidth="1"/>
    <col min="4" max="4" width="11.77734375" style="3" customWidth="1"/>
    <col min="5" max="5" width="11.44140625" style="3" customWidth="1"/>
    <col min="6" max="6" width="10.77734375" style="3" customWidth="1"/>
    <col min="7" max="7" width="10.44140625" style="3" bestFit="1" customWidth="1"/>
    <col min="8" max="8" width="12.21875" style="3" customWidth="1"/>
    <col min="9" max="10" width="10.5546875" style="3" customWidth="1"/>
    <col min="11" max="11" width="12.5546875" style="3" customWidth="1"/>
    <col min="12" max="14" width="12.44140625" style="3" customWidth="1"/>
    <col min="15" max="16" width="12.21875" style="3" customWidth="1"/>
    <col min="17" max="17" width="3.77734375" style="3" customWidth="1"/>
    <col min="18" max="18" width="9.44140625" style="3" customWidth="1"/>
    <col min="19" max="16384" width="9.21875" style="3"/>
  </cols>
  <sheetData>
    <row r="1" spans="1:17" ht="30" customHeight="1" x14ac:dyDescent="0.4">
      <c r="A1" s="173"/>
      <c r="B1" s="445" t="str">
        <f>'Inputs and population'!B1</f>
        <v>Ribociclib with an aromatase inhibitor for adjuvant treatment of hormone receptor-positive, HER2-negative early breast cancer</v>
      </c>
      <c r="C1" s="135"/>
      <c r="D1" s="119"/>
      <c r="E1" s="119"/>
      <c r="F1" s="119"/>
      <c r="G1" s="119"/>
      <c r="H1" s="119"/>
      <c r="I1" s="119" t="s">
        <v>1904</v>
      </c>
      <c r="J1" s="119" t="s">
        <v>1904</v>
      </c>
      <c r="K1" s="119" t="s">
        <v>1904</v>
      </c>
      <c r="L1" s="141"/>
      <c r="M1" s="141"/>
      <c r="N1" s="141"/>
      <c r="O1" s="173"/>
      <c r="P1" s="173"/>
      <c r="Q1" s="173"/>
    </row>
    <row r="2" spans="1:17" ht="26.25" customHeight="1" x14ac:dyDescent="0.4">
      <c r="A2" s="173"/>
      <c r="B2" s="133" t="s">
        <v>7</v>
      </c>
      <c r="C2" s="134" t="s">
        <v>1904</v>
      </c>
      <c r="D2" s="119" t="s">
        <v>1904</v>
      </c>
      <c r="E2" s="119" t="s">
        <v>1904</v>
      </c>
      <c r="F2" s="119" t="s">
        <v>1904</v>
      </c>
      <c r="G2" s="119" t="s">
        <v>1904</v>
      </c>
      <c r="H2" s="119" t="s">
        <v>1904</v>
      </c>
      <c r="I2" s="120" t="s">
        <v>1904</v>
      </c>
      <c r="J2" s="120"/>
      <c r="K2" s="120"/>
      <c r="L2" s="120"/>
      <c r="M2" s="120"/>
      <c r="N2" s="120"/>
      <c r="O2" s="173"/>
      <c r="P2" s="173"/>
      <c r="Q2" s="173"/>
    </row>
    <row r="3" spans="1:17" ht="14.55" customHeight="1" x14ac:dyDescent="0.4">
      <c r="A3" s="173"/>
      <c r="B3" s="117"/>
      <c r="C3" s="135"/>
      <c r="D3" s="119"/>
      <c r="E3" s="119"/>
      <c r="F3" s="119"/>
      <c r="G3" s="119" t="s">
        <v>1904</v>
      </c>
      <c r="H3" s="119" t="s">
        <v>1904</v>
      </c>
      <c r="I3" s="120" t="s">
        <v>1904</v>
      </c>
      <c r="J3" s="120"/>
      <c r="K3" s="120"/>
      <c r="L3" s="120"/>
      <c r="M3" s="120"/>
      <c r="N3" s="120"/>
      <c r="O3" s="173"/>
      <c r="P3" s="173"/>
      <c r="Q3" s="173"/>
    </row>
    <row r="4" spans="1:17" ht="14.55" customHeight="1" x14ac:dyDescent="0.4">
      <c r="A4" s="173"/>
      <c r="B4" t="s">
        <v>2057</v>
      </c>
      <c r="C4" s="135"/>
      <c r="D4" s="119"/>
      <c r="E4" s="119"/>
      <c r="F4" s="119"/>
      <c r="G4" s="119" t="s">
        <v>1904</v>
      </c>
      <c r="H4" s="119" t="s">
        <v>1904</v>
      </c>
      <c r="I4" s="120" t="s">
        <v>1904</v>
      </c>
      <c r="J4" s="119"/>
      <c r="K4" s="120"/>
      <c r="L4" s="120"/>
      <c r="M4" s="120"/>
      <c r="N4" s="120"/>
      <c r="O4" s="120"/>
      <c r="P4" s="120"/>
      <c r="Q4" s="120"/>
    </row>
    <row r="5" spans="1:17" ht="14.55" customHeight="1" x14ac:dyDescent="0.4">
      <c r="A5" s="173"/>
      <c r="B5" t="s">
        <v>1883</v>
      </c>
      <c r="C5" s="135"/>
      <c r="D5" s="119"/>
      <c r="E5" s="119"/>
      <c r="F5" s="119"/>
      <c r="G5" s="119"/>
      <c r="H5" s="119" t="s">
        <v>1904</v>
      </c>
      <c r="I5" s="120" t="s">
        <v>1904</v>
      </c>
      <c r="J5" s="119"/>
      <c r="K5" s="120"/>
      <c r="L5" s="120"/>
      <c r="M5" s="120"/>
      <c r="N5" s="120"/>
      <c r="O5" s="120"/>
      <c r="P5" s="120"/>
      <c r="Q5" s="120"/>
    </row>
    <row r="6" spans="1:17" ht="14.55" hidden="1" customHeight="1" x14ac:dyDescent="0.4">
      <c r="A6" s="173"/>
      <c r="B6"/>
      <c r="C6" s="135"/>
      <c r="D6" s="119"/>
      <c r="E6" s="119"/>
      <c r="F6" s="119"/>
      <c r="G6" s="119"/>
      <c r="H6" s="119"/>
      <c r="I6" s="120"/>
      <c r="J6" s="119"/>
      <c r="K6" s="120"/>
      <c r="L6" s="120"/>
      <c r="M6" s="120"/>
      <c r="N6" s="120"/>
      <c r="O6" s="120"/>
      <c r="P6" s="120"/>
      <c r="Q6" s="120"/>
    </row>
    <row r="7" spans="1:17" ht="14.55" hidden="1" customHeight="1" x14ac:dyDescent="0.4">
      <c r="A7" s="173"/>
      <c r="B7" s="136" t="s">
        <v>2058</v>
      </c>
      <c r="C7" s="135"/>
      <c r="D7" s="119"/>
      <c r="E7" s="119"/>
      <c r="F7" s="119"/>
      <c r="G7" s="119"/>
      <c r="H7" s="119"/>
      <c r="I7" s="120"/>
      <c r="J7" s="119"/>
      <c r="K7" s="120"/>
      <c r="L7" s="120"/>
      <c r="M7" s="120"/>
      <c r="N7" s="120"/>
      <c r="O7" s="120"/>
      <c r="P7" s="120"/>
      <c r="Q7" s="120"/>
    </row>
    <row r="8" spans="1:17" ht="45" hidden="1" customHeight="1" x14ac:dyDescent="0.3">
      <c r="A8" s="173"/>
      <c r="B8" s="721"/>
      <c r="C8" s="722"/>
      <c r="D8" s="690" t="s">
        <v>2059</v>
      </c>
      <c r="E8" s="690" t="s">
        <v>2060</v>
      </c>
      <c r="F8" s="690" t="s">
        <v>2061</v>
      </c>
      <c r="G8" s="690" t="s">
        <v>1974</v>
      </c>
      <c r="H8" s="690" t="s">
        <v>1975</v>
      </c>
      <c r="I8" s="120"/>
      <c r="J8" s="119"/>
      <c r="K8" s="120"/>
      <c r="L8" s="120"/>
      <c r="M8" s="120"/>
      <c r="N8" s="120"/>
      <c r="O8" s="120"/>
      <c r="P8" s="120"/>
      <c r="Q8" s="120"/>
    </row>
    <row r="9" spans="1:17" ht="14.55" hidden="1" customHeight="1" x14ac:dyDescent="0.3">
      <c r="A9" s="173"/>
      <c r="B9" s="680" t="s">
        <v>2062</v>
      </c>
      <c r="C9" s="681"/>
      <c r="D9" s="682">
        <f>I26</f>
        <v>400</v>
      </c>
      <c r="E9" s="682">
        <f>I43</f>
        <v>0</v>
      </c>
      <c r="F9" s="682">
        <f>I59</f>
        <v>150</v>
      </c>
      <c r="G9" s="682" t="e">
        <f>#REF!</f>
        <v>#REF!</v>
      </c>
      <c r="H9" s="682" t="e">
        <f>#REF!</f>
        <v>#REF!</v>
      </c>
      <c r="I9" s="120"/>
      <c r="J9" s="119"/>
      <c r="K9" s="120"/>
      <c r="L9" s="120"/>
      <c r="M9" s="120"/>
      <c r="N9" s="120"/>
      <c r="O9" s="120"/>
      <c r="P9" s="120"/>
      <c r="Q9" s="120"/>
    </row>
    <row r="10" spans="1:17" ht="14.55" hidden="1" customHeight="1" x14ac:dyDescent="0.3">
      <c r="A10" s="173"/>
      <c r="B10" s="680" t="s">
        <v>2063</v>
      </c>
      <c r="C10" s="681"/>
      <c r="D10" s="684">
        <f>((P26/(100%+O26))/M26)/(G26/I26)</f>
        <v>0</v>
      </c>
      <c r="E10" s="684" t="e">
        <f>((P43/(100%+O43))/M43)/(G43/I43)</f>
        <v>#DIV/0!</v>
      </c>
      <c r="F10" s="684">
        <f>((P59/(100%+O59))/M59)/(G59/I59)</f>
        <v>0</v>
      </c>
      <c r="G10" s="684" t="e">
        <f>((#REF!/(100%+#REF!))/#REF!)/(#REF!/#REF!)</f>
        <v>#REF!</v>
      </c>
      <c r="H10" s="684" t="e">
        <f>((#REF!/(100%+#REF!))/#REF!)/(#REF!/#REF!)</f>
        <v>#REF!</v>
      </c>
      <c r="I10" s="120"/>
      <c r="J10" s="119"/>
      <c r="K10" s="120"/>
      <c r="L10" s="120"/>
      <c r="M10" s="120"/>
      <c r="N10" s="120"/>
      <c r="O10" s="120"/>
      <c r="P10" s="120"/>
      <c r="Q10" s="120"/>
    </row>
    <row r="11" spans="1:17" ht="14.55" hidden="1" customHeight="1" x14ac:dyDescent="0.25">
      <c r="A11" s="119"/>
      <c r="B11" s="119"/>
      <c r="C11" s="119"/>
      <c r="D11" s="119"/>
      <c r="E11" s="119"/>
      <c r="F11" s="119"/>
      <c r="G11" s="119"/>
      <c r="H11" s="119"/>
      <c r="I11" s="120"/>
      <c r="J11" s="119"/>
      <c r="K11" s="120"/>
      <c r="L11" s="120"/>
      <c r="M11" s="120"/>
      <c r="N11" s="120"/>
      <c r="O11" s="120"/>
      <c r="P11" s="120"/>
      <c r="Q11" s="120"/>
    </row>
    <row r="12" spans="1:17" ht="14.55" hidden="1" customHeight="1" x14ac:dyDescent="0.25">
      <c r="A12" s="173"/>
      <c r="B12" s="686" t="s">
        <v>2064</v>
      </c>
      <c r="C12" s="687"/>
      <c r="D12" s="686" t="s">
        <v>2065</v>
      </c>
      <c r="E12" s="688"/>
      <c r="F12" s="687"/>
      <c r="G12" s="687"/>
      <c r="H12" s="689"/>
      <c r="I12" s="687"/>
      <c r="J12" s="687"/>
      <c r="K12" s="689"/>
      <c r="L12" s="686" t="s">
        <v>2066</v>
      </c>
      <c r="M12" s="688"/>
      <c r="N12" s="687"/>
      <c r="O12" s="687"/>
      <c r="P12" s="689"/>
      <c r="Q12" s="120"/>
    </row>
    <row r="13" spans="1:17" ht="14.55" hidden="1" customHeight="1" x14ac:dyDescent="0.3">
      <c r="A13" s="173"/>
      <c r="B13" s="683" t="s">
        <v>1756</v>
      </c>
      <c r="C13" s="681"/>
      <c r="D13" s="684">
        <f>((I26*J26*'Inputs and population'!G39)/G26)*((100%+O26)*N26)</f>
        <v>0</v>
      </c>
      <c r="E13" s="684" t="e">
        <f>((I43*J43*'Inputs and population'!G40)/G43)*((100%+O43)*N43)</f>
        <v>#DIV/0!</v>
      </c>
      <c r="F13" s="684">
        <f>((I59*J59*'Inputs and population'!G41)/G59)*((100%+O59)*N59)</f>
        <v>0</v>
      </c>
      <c r="G13" s="684" t="e">
        <f>((#REF!*#REF!*'Inputs and population'!G42)/#REF!)*((100%+#REF!)*#REF!)</f>
        <v>#REF!</v>
      </c>
      <c r="H13" s="684" t="e">
        <f>((#REF!*#REF!*'Inputs and population'!G43)/#REF!)*((100%+#REF!)*#REF!)</f>
        <v>#REF!</v>
      </c>
      <c r="I13" s="682">
        <f>'Inputs and population'!G41</f>
        <v>13</v>
      </c>
      <c r="J13" s="682">
        <f>'Inputs and population'!G$42</f>
        <v>0</v>
      </c>
      <c r="K13" s="682">
        <f>'Inputs and population'!G$43</f>
        <v>0</v>
      </c>
      <c r="L13" s="682">
        <f>$M$33*'Inputs and population'!G$39</f>
        <v>0</v>
      </c>
      <c r="M13" s="682">
        <f>$M50*'Inputs and population'!G$40</f>
        <v>13</v>
      </c>
      <c r="N13" s="682">
        <f>$M$66*'Inputs and population'!G$41</f>
        <v>13</v>
      </c>
      <c r="O13" s="682" t="e">
        <f>#REF!*'Inputs and population'!G$42</f>
        <v>#REF!</v>
      </c>
      <c r="P13" s="682" t="e">
        <f>#REF!*'Inputs and population'!G$43</f>
        <v>#REF!</v>
      </c>
      <c r="Q13" s="120"/>
    </row>
    <row r="14" spans="1:17" ht="14.55" hidden="1" customHeight="1" x14ac:dyDescent="0.3">
      <c r="A14" s="173"/>
      <c r="B14" s="683" t="s">
        <v>2067</v>
      </c>
      <c r="C14" s="681"/>
      <c r="D14" s="684">
        <f>((I26*J26*'Inputs and population'!H39)/G26)*((100%+O26)*N26)</f>
        <v>0</v>
      </c>
      <c r="E14" s="684" t="e">
        <f>((I43*J43*'Inputs and population'!H40)/G43)*((100%+O43)*N43)</f>
        <v>#DIV/0!</v>
      </c>
      <c r="F14" s="684">
        <f>((I59*J59*'Inputs and population'!H41)/G59)*((100%+O59)*N59)</f>
        <v>0</v>
      </c>
      <c r="G14" s="684" t="e">
        <f>((#REF!*#REF!*'Inputs and population'!H42)/#REF!)*((100%+#REF!)*#REF!)</f>
        <v>#REF!</v>
      </c>
      <c r="H14" s="684" t="e">
        <f>((#REF!*#REF!*'Inputs and population'!H43)/#REF!)*((100%+#REF!)*#REF!)</f>
        <v>#REF!</v>
      </c>
      <c r="I14" s="682">
        <f>'Inputs and population'!H41</f>
        <v>13</v>
      </c>
      <c r="J14" s="682">
        <f>'Inputs and population'!H$42</f>
        <v>0</v>
      </c>
      <c r="K14" s="682">
        <f>'Inputs and population'!H$43</f>
        <v>0</v>
      </c>
      <c r="L14" s="682">
        <f>$M$33*'Inputs and population'!H$39</f>
        <v>13</v>
      </c>
      <c r="M14" s="682">
        <f>$M50*'Inputs and population'!H$40</f>
        <v>13</v>
      </c>
      <c r="N14" s="682">
        <f>$M$66*'Inputs and population'!H$41</f>
        <v>13</v>
      </c>
      <c r="O14" s="682" t="e">
        <f>#REF!*'Inputs and population'!H$42</f>
        <v>#REF!</v>
      </c>
      <c r="P14" s="682" t="e">
        <f>#REF!*'Inputs and population'!H$43</f>
        <v>#REF!</v>
      </c>
      <c r="Q14" s="120"/>
    </row>
    <row r="15" spans="1:17" ht="14.55" hidden="1" customHeight="1" x14ac:dyDescent="0.3">
      <c r="A15" s="173"/>
      <c r="B15" s="683" t="s">
        <v>1758</v>
      </c>
      <c r="C15" s="681"/>
      <c r="D15" s="684">
        <f>((I26*J26*'Inputs and population'!I39)/G26)*((100%+O26)*N26)</f>
        <v>0</v>
      </c>
      <c r="E15" s="684" t="e">
        <f>((I43*J43*'Inputs and population'!I40)/G43)*((100%+O43)*N43)</f>
        <v>#DIV/0!</v>
      </c>
      <c r="F15" s="684">
        <f>((I59*J59*'Inputs and population'!I41)/G59)*((100%+O59)*N59)</f>
        <v>0</v>
      </c>
      <c r="G15" s="684" t="e">
        <f>((#REF!*#REF!*'Inputs and population'!I42)/#REF!)*((100%+#REF!)*#REF!)</f>
        <v>#REF!</v>
      </c>
      <c r="H15" s="684" t="e">
        <f>((#REF!*#REF!*'Inputs and population'!I43)/#REF!)*((100%+#REF!)*#REF!)</f>
        <v>#REF!</v>
      </c>
      <c r="I15" s="682">
        <f>'Inputs and population'!I41</f>
        <v>13</v>
      </c>
      <c r="J15" s="682">
        <f>'Inputs and population'!I$42</f>
        <v>0</v>
      </c>
      <c r="K15" s="682">
        <f>'Inputs and population'!I$43</f>
        <v>0</v>
      </c>
      <c r="L15" s="682">
        <f>$M$33*'Inputs and population'!I$39</f>
        <v>13</v>
      </c>
      <c r="M15" s="682">
        <f>$M50*'Inputs and population'!I$40</f>
        <v>13</v>
      </c>
      <c r="N15" s="682">
        <f>$M$66*'Inputs and population'!I$41</f>
        <v>13</v>
      </c>
      <c r="O15" s="682" t="e">
        <f>#REF!*'Inputs and population'!I$42</f>
        <v>#REF!</v>
      </c>
      <c r="P15" s="682" t="e">
        <f>#REF!*'Inputs and population'!I$43</f>
        <v>#REF!</v>
      </c>
      <c r="Q15" s="120"/>
    </row>
    <row r="16" spans="1:17" ht="14.55" hidden="1" customHeight="1" x14ac:dyDescent="0.3">
      <c r="A16" s="173"/>
      <c r="B16" s="683" t="s">
        <v>1759</v>
      </c>
      <c r="C16" s="681"/>
      <c r="D16" s="684">
        <f>((I26*J26*'Inputs and population'!J39)/G26)*((100%+O26)*N26)</f>
        <v>0</v>
      </c>
      <c r="E16" s="684" t="e">
        <f>((I43*J43*'Inputs and population'!J40)/G43)*((100%+O43)*N43)</f>
        <v>#DIV/0!</v>
      </c>
      <c r="F16" s="684">
        <f>((I59*J59*'Inputs and population'!J41)/G59)*((100%+O59)*N59)</f>
        <v>0</v>
      </c>
      <c r="G16" s="684" t="e">
        <f>((#REF!*#REF!*'Inputs and population'!J42)/#REF!)*((100%+#REF!)*#REF!)</f>
        <v>#REF!</v>
      </c>
      <c r="H16" s="684" t="e">
        <f>((#REF!*#REF!*'Inputs and population'!J43)/#REF!)*((100%+#REF!)*#REF!)</f>
        <v>#REF!</v>
      </c>
      <c r="I16" s="682">
        <f>'Inputs and population'!J41</f>
        <v>0</v>
      </c>
      <c r="J16" s="682">
        <f>'Inputs and population'!J$42</f>
        <v>0</v>
      </c>
      <c r="K16" s="682">
        <f>'Inputs and population'!J$43</f>
        <v>0</v>
      </c>
      <c r="L16" s="682">
        <f>$M$33*'Inputs and population'!J39</f>
        <v>13</v>
      </c>
      <c r="M16" s="682">
        <f>$M50*'Inputs and population'!J40</f>
        <v>13</v>
      </c>
      <c r="N16" s="682">
        <f>$M$66*'Inputs and population'!J41</f>
        <v>0</v>
      </c>
      <c r="O16" s="682" t="e">
        <f>#REF!*'Inputs and population'!J$42</f>
        <v>#REF!</v>
      </c>
      <c r="P16" s="682" t="e">
        <f>#REF!*'Inputs and population'!J$43</f>
        <v>#REF!</v>
      </c>
      <c r="Q16" s="120"/>
    </row>
    <row r="17" spans="1:17" ht="14.55" hidden="1" customHeight="1" x14ac:dyDescent="0.3">
      <c r="A17" s="173"/>
      <c r="B17" s="683" t="s">
        <v>1760</v>
      </c>
      <c r="C17" s="681"/>
      <c r="D17" s="684">
        <f>((I26*J26*'Inputs and population'!K39)/G26)*((100%+O26)*N26)</f>
        <v>0</v>
      </c>
      <c r="E17" s="684" t="e">
        <f>((I43*J43*'Inputs and population'!K40)/G43)*((100%+O43)*N43)</f>
        <v>#DIV/0!</v>
      </c>
      <c r="F17" s="684">
        <f>((I59*J59*'Inputs and population'!K41)/G59)*((100%+O59)*N59)</f>
        <v>0</v>
      </c>
      <c r="G17" s="684" t="e">
        <f>((#REF!*#REF!*'Inputs and population'!K42)/#REF!)*((100%+#REF!)*#REF!)</f>
        <v>#REF!</v>
      </c>
      <c r="H17" s="684" t="e">
        <f>((#REF!*#REF!*'Inputs and population'!K43)/#REF!)*((100%+#REF!)*#REF!)</f>
        <v>#REF!</v>
      </c>
      <c r="I17" s="682">
        <f>'Inputs and population'!K41</f>
        <v>0</v>
      </c>
      <c r="J17" s="682">
        <f>'Inputs and population'!K$42</f>
        <v>0</v>
      </c>
      <c r="K17" s="682">
        <f>'Inputs and population'!K$43</f>
        <v>0</v>
      </c>
      <c r="L17" s="682">
        <f>$M$33*'Inputs and population'!K$39</f>
        <v>0</v>
      </c>
      <c r="M17" s="682">
        <f>$M50*'Inputs and population'!K$40</f>
        <v>13</v>
      </c>
      <c r="N17" s="682">
        <f>$M$66*'Inputs and population'!K$41</f>
        <v>0</v>
      </c>
      <c r="O17" s="682" t="e">
        <f>#REF!*'Inputs and population'!K$42</f>
        <v>#REF!</v>
      </c>
      <c r="P17" s="682" t="e">
        <f>#REF!*'Inputs and population'!K$43</f>
        <v>#REF!</v>
      </c>
      <c r="Q17" s="120"/>
    </row>
    <row r="18" spans="1:17" ht="14.55" hidden="1" customHeight="1" x14ac:dyDescent="0.3">
      <c r="A18" s="173"/>
      <c r="B18" s="683" t="s">
        <v>1761</v>
      </c>
      <c r="C18" s="681"/>
      <c r="D18" s="684">
        <f>((I26*J26*'Inputs and population'!L39)/G26)*((100%+O26)*N26)</f>
        <v>0</v>
      </c>
      <c r="E18" s="684" t="e">
        <f>((I43*J43*'Inputs and population'!L40)/G43)*((100%+O43)*N43)</f>
        <v>#DIV/0!</v>
      </c>
      <c r="F18" s="684">
        <f>((I59*J59*'Inputs and population'!L41)/G59)*((100%+O59)*N59)</f>
        <v>0</v>
      </c>
      <c r="G18" s="684" t="e">
        <f>((#REF!*#REF!*'Inputs and population'!L42)/#REF!)*((100%+#REF!)*#REF!)</f>
        <v>#REF!</v>
      </c>
      <c r="H18" s="684" t="e">
        <f>((#REF!*#REF!*'Inputs and population'!K43)/#REF!)*((100%+#REF!)*#REF!)</f>
        <v>#REF!</v>
      </c>
      <c r="I18" s="682">
        <f>'Inputs and population'!L41</f>
        <v>0</v>
      </c>
      <c r="J18" s="682">
        <f>'Inputs and population'!L$42</f>
        <v>0</v>
      </c>
      <c r="K18" s="682">
        <f>'Inputs and population'!L$43</f>
        <v>0</v>
      </c>
      <c r="L18" s="682">
        <f>$M$33*'Inputs and population'!L$39</f>
        <v>0</v>
      </c>
      <c r="M18" s="682">
        <f>$M50*'Inputs and population'!L$40</f>
        <v>13</v>
      </c>
      <c r="N18" s="682">
        <f>$M$66*'Inputs and population'!L$41</f>
        <v>0</v>
      </c>
      <c r="O18" s="682" t="e">
        <f>#REF!*'Inputs and population'!L$42</f>
        <v>#REF!</v>
      </c>
      <c r="P18" s="682" t="e">
        <f>#REF!*'Inputs and population'!L$43</f>
        <v>#REF!</v>
      </c>
      <c r="Q18" s="120"/>
    </row>
    <row r="19" spans="1:17" ht="14.55" hidden="1" customHeight="1" x14ac:dyDescent="0.3">
      <c r="A19" s="173"/>
      <c r="B19" s="679" t="s">
        <v>2068</v>
      </c>
      <c r="C19" s="119"/>
      <c r="D19" s="119"/>
      <c r="E19" s="119"/>
      <c r="F19" s="119"/>
      <c r="G19" s="119"/>
      <c r="H19" s="119"/>
      <c r="I19" s="120"/>
      <c r="J19" s="119"/>
      <c r="K19" s="120"/>
      <c r="L19" s="120"/>
      <c r="M19" s="120"/>
      <c r="N19" s="120"/>
      <c r="O19" s="120"/>
      <c r="P19" s="120"/>
      <c r="Q19" s="120"/>
    </row>
    <row r="20" spans="1:17" ht="14.55" hidden="1" customHeight="1" x14ac:dyDescent="0.4">
      <c r="A20" s="173"/>
      <c r="B20" s="135"/>
      <c r="C20" s="135"/>
      <c r="D20" s="119"/>
      <c r="E20" s="119"/>
      <c r="F20" s="119"/>
      <c r="G20" s="119"/>
      <c r="H20" s="119"/>
      <c r="I20" s="120"/>
      <c r="J20" s="119"/>
      <c r="K20" s="120"/>
      <c r="L20" s="120"/>
      <c r="M20" s="120"/>
      <c r="N20" s="120"/>
      <c r="O20" s="120"/>
      <c r="P20" s="120"/>
      <c r="Q20" s="120"/>
    </row>
    <row r="21" spans="1:17" ht="14.55" customHeight="1" x14ac:dyDescent="0.4">
      <c r="A21" s="173"/>
      <c r="B21" s="679"/>
      <c r="C21" s="135"/>
      <c r="D21" s="119"/>
      <c r="E21" s="119"/>
      <c r="F21" s="119"/>
      <c r="G21" s="119"/>
      <c r="H21" s="119"/>
      <c r="I21" s="120"/>
      <c r="J21" s="119"/>
      <c r="K21" s="120"/>
      <c r="L21" s="120"/>
      <c r="M21" s="120"/>
      <c r="N21" s="120"/>
      <c r="O21" s="120"/>
      <c r="P21" s="120"/>
      <c r="Q21" s="120"/>
    </row>
    <row r="22" spans="1:17" ht="14.55" customHeight="1" x14ac:dyDescent="0.4">
      <c r="A22" s="173"/>
      <c r="B22" s="806" t="s">
        <v>1951</v>
      </c>
      <c r="C22" s="807"/>
      <c r="D22" s="688"/>
      <c r="E22" s="688"/>
      <c r="F22" s="688"/>
      <c r="G22" s="688"/>
      <c r="H22" s="688"/>
      <c r="I22" s="688"/>
      <c r="J22" s="688"/>
      <c r="K22" s="688"/>
      <c r="L22" s="688"/>
      <c r="M22" s="688"/>
      <c r="N22" s="688"/>
      <c r="O22" s="688"/>
      <c r="P22" s="808"/>
      <c r="Q22" s="120"/>
    </row>
    <row r="23" spans="1:17" ht="14.55" customHeight="1" x14ac:dyDescent="0.4">
      <c r="A23" s="173"/>
      <c r="B23" s="817" t="s">
        <v>2069</v>
      </c>
      <c r="C23" s="814"/>
      <c r="D23" s="815"/>
      <c r="E23" s="815"/>
      <c r="F23" s="815"/>
      <c r="G23" s="815"/>
      <c r="H23" s="815"/>
      <c r="I23" s="815"/>
      <c r="J23" s="815"/>
      <c r="K23" s="815"/>
      <c r="L23" s="815"/>
      <c r="M23" s="815"/>
      <c r="N23" s="815"/>
      <c r="O23" s="815"/>
      <c r="P23" s="816"/>
      <c r="Q23" s="120"/>
    </row>
    <row r="24" spans="1:17" s="218" customFormat="1" ht="14.4" x14ac:dyDescent="0.3">
      <c r="A24" s="692"/>
      <c r="B24" s="220"/>
      <c r="C24" s="810" t="s">
        <v>1938</v>
      </c>
      <c r="D24" s="811"/>
      <c r="E24" s="811"/>
      <c r="F24" s="811"/>
      <c r="G24" s="812"/>
      <c r="H24" s="810" t="s">
        <v>2070</v>
      </c>
      <c r="I24" s="811"/>
      <c r="J24" s="811"/>
      <c r="K24" s="811"/>
      <c r="L24" s="811"/>
      <c r="M24" s="811"/>
      <c r="N24" s="811"/>
      <c r="O24" s="811"/>
      <c r="P24" s="812"/>
      <c r="Q24" s="120"/>
    </row>
    <row r="25" spans="1:17" s="218" customFormat="1" ht="66" customHeight="1" x14ac:dyDescent="0.3">
      <c r="A25" s="220"/>
      <c r="B25" s="221" t="s">
        <v>2071</v>
      </c>
      <c r="C25" s="222" t="s">
        <v>1941</v>
      </c>
      <c r="D25" s="222" t="s">
        <v>1942</v>
      </c>
      <c r="E25" s="222" t="s">
        <v>1943</v>
      </c>
      <c r="F25" s="222" t="s">
        <v>1944</v>
      </c>
      <c r="G25" s="222" t="s">
        <v>1945</v>
      </c>
      <c r="H25" s="219" t="s">
        <v>2072</v>
      </c>
      <c r="I25" s="222" t="s">
        <v>2073</v>
      </c>
      <c r="J25" s="222" t="s">
        <v>2074</v>
      </c>
      <c r="K25" s="222" t="s">
        <v>2075</v>
      </c>
      <c r="L25" s="543" t="s">
        <v>2076</v>
      </c>
      <c r="M25" s="543" t="s">
        <v>2077</v>
      </c>
      <c r="N25" s="543" t="s">
        <v>2078</v>
      </c>
      <c r="O25" s="219" t="s">
        <v>2079</v>
      </c>
      <c r="P25" s="222" t="s">
        <v>2080</v>
      </c>
      <c r="Q25" s="120"/>
    </row>
    <row r="26" spans="1:17" s="218" customFormat="1" ht="14.4" x14ac:dyDescent="0.3">
      <c r="A26" s="220"/>
      <c r="B26" s="758" t="str">
        <f>'Inputs and population'!C47</f>
        <v>Ribociclib</v>
      </c>
      <c r="C26" s="756" t="str">
        <f>'Inputs and population'!D47</f>
        <v>Oral</v>
      </c>
      <c r="D26" s="756" t="str">
        <f>'Inputs and population'!E47</f>
        <v>Tablet</v>
      </c>
      <c r="E26" s="757">
        <f>'Inputs and population'!F47</f>
        <v>200</v>
      </c>
      <c r="F26" s="757">
        <f>'Inputs and population'!G47</f>
        <v>42</v>
      </c>
      <c r="G26" s="757">
        <f>'Inputs and population'!H47</f>
        <v>8400</v>
      </c>
      <c r="H26" s="757">
        <f>'Inputs and population'!I47</f>
        <v>400</v>
      </c>
      <c r="I26" s="757">
        <f>H26</f>
        <v>400</v>
      </c>
      <c r="J26" s="535">
        <f>'Inputs and population'!J47</f>
        <v>21</v>
      </c>
      <c r="K26" s="535">
        <f>'Inputs and population'!H39</f>
        <v>13</v>
      </c>
      <c r="L26" s="761">
        <f>K26*J26*I26</f>
        <v>109200</v>
      </c>
      <c r="M26" s="762">
        <f>L26/G26</f>
        <v>13</v>
      </c>
      <c r="N26" s="763">
        <f>'Inputs and population'!K47</f>
        <v>0</v>
      </c>
      <c r="O26" s="764">
        <f>'Inputs and population'!L47</f>
        <v>0.2</v>
      </c>
      <c r="P26" s="813">
        <f>M26*N26*(100%+O26)</f>
        <v>0</v>
      </c>
      <c r="Q26" s="120"/>
    </row>
    <row r="27" spans="1:17" s="218" customFormat="1" ht="14.4" x14ac:dyDescent="0.3">
      <c r="A27" s="220"/>
      <c r="B27" s="541" t="s">
        <v>2081</v>
      </c>
      <c r="C27" s="519"/>
      <c r="D27" s="519"/>
      <c r="E27" s="520"/>
      <c r="F27" s="520"/>
      <c r="G27" s="520"/>
      <c r="H27" s="520"/>
      <c r="I27" s="520"/>
      <c r="J27" s="518"/>
      <c r="K27" s="523"/>
      <c r="L27" s="544"/>
      <c r="M27" s="544"/>
      <c r="N27" s="521"/>
      <c r="O27" s="522"/>
      <c r="P27" s="532"/>
      <c r="Q27" s="120"/>
    </row>
    <row r="28" spans="1:17" s="218" customFormat="1" ht="14.4" x14ac:dyDescent="0.3">
      <c r="A28" s="220"/>
      <c r="B28" s="541" t="s">
        <v>2081</v>
      </c>
      <c r="C28" s="519"/>
      <c r="D28" s="519"/>
      <c r="E28" s="520"/>
      <c r="F28" s="520"/>
      <c r="G28" s="520"/>
      <c r="H28" s="520"/>
      <c r="I28" s="520"/>
      <c r="J28" s="518"/>
      <c r="K28" s="523"/>
      <c r="L28" s="544"/>
      <c r="M28" s="544"/>
      <c r="N28" s="521"/>
      <c r="O28" s="522"/>
      <c r="P28" s="532"/>
      <c r="Q28" s="120"/>
    </row>
    <row r="29" spans="1:17" s="218" customFormat="1" ht="14.4" x14ac:dyDescent="0.3">
      <c r="A29" s="220"/>
      <c r="B29" s="223" t="s">
        <v>2082</v>
      </c>
      <c r="C29" s="542"/>
      <c r="D29" s="542"/>
      <c r="E29" s="542"/>
      <c r="F29" s="542"/>
      <c r="G29" s="542"/>
      <c r="H29" s="542"/>
      <c r="I29" s="542"/>
      <c r="J29" s="542"/>
      <c r="K29" s="542"/>
      <c r="L29" s="542"/>
      <c r="M29" s="542"/>
      <c r="N29" s="542"/>
      <c r="O29" s="547"/>
      <c r="P29" s="887">
        <f>SUM(P26:P28)</f>
        <v>0</v>
      </c>
      <c r="Q29" s="120"/>
    </row>
    <row r="30" spans="1:17" s="218" customFormat="1" ht="14.4" x14ac:dyDescent="0.3">
      <c r="A30" s="692"/>
      <c r="B30" s="220"/>
      <c r="C30" s="220"/>
      <c r="D30" s="220"/>
      <c r="E30" s="220"/>
      <c r="F30" s="220"/>
      <c r="G30" s="220"/>
      <c r="H30" s="220"/>
      <c r="I30" s="220"/>
      <c r="J30" s="220"/>
      <c r="K30" s="220"/>
      <c r="L30" s="220"/>
      <c r="M30" s="220"/>
      <c r="N30" s="220"/>
      <c r="O30" s="220"/>
      <c r="P30" s="692"/>
      <c r="Q30" s="220"/>
    </row>
    <row r="31" spans="1:17" s="218" customFormat="1" ht="14.4" x14ac:dyDescent="0.3">
      <c r="A31" s="692"/>
      <c r="B31" s="216" t="s">
        <v>2083</v>
      </c>
      <c r="C31" s="220"/>
      <c r="D31" s="159"/>
      <c r="E31" s="102"/>
      <c r="F31" s="160"/>
      <c r="G31" s="161"/>
      <c r="H31" s="5"/>
      <c r="I31" s="161"/>
      <c r="J31" s="161"/>
      <c r="K31" s="161"/>
      <c r="L31" s="161"/>
      <c r="M31" s="220"/>
      <c r="N31" s="220"/>
      <c r="O31" s="220"/>
      <c r="P31" s="692"/>
      <c r="Q31" s="220"/>
    </row>
    <row r="32" spans="1:17" s="218" customFormat="1" ht="28.8" x14ac:dyDescent="0.3">
      <c r="A32" s="220"/>
      <c r="B32" s="219" t="s">
        <v>2084</v>
      </c>
      <c r="C32" s="221" t="s">
        <v>2085</v>
      </c>
      <c r="D32" s="224" t="s">
        <v>2086</v>
      </c>
      <c r="E32" s="382"/>
      <c r="F32" s="383"/>
      <c r="G32" s="383"/>
      <c r="H32" s="383"/>
      <c r="I32" s="383"/>
      <c r="J32" s="384"/>
      <c r="K32" s="383"/>
      <c r="L32" s="543" t="s">
        <v>2087</v>
      </c>
      <c r="M32" s="543" t="s">
        <v>2088</v>
      </c>
      <c r="N32" s="222" t="s">
        <v>2075</v>
      </c>
      <c r="O32" s="219" t="s">
        <v>2089</v>
      </c>
      <c r="P32" s="219" t="s">
        <v>2080</v>
      </c>
      <c r="Q32" s="220"/>
    </row>
    <row r="33" spans="1:17" s="218" customFormat="1" ht="14.4" x14ac:dyDescent="0.3">
      <c r="A33" s="220"/>
      <c r="B33" s="541" t="s">
        <v>1951</v>
      </c>
      <c r="C33" s="717" t="s">
        <v>2090</v>
      </c>
      <c r="D33" s="527" t="s">
        <v>2091</v>
      </c>
      <c r="E33" s="528"/>
      <c r="F33" s="529"/>
      <c r="G33" s="530"/>
      <c r="H33" s="530"/>
      <c r="I33" s="530"/>
      <c r="J33" s="529"/>
      <c r="K33" s="529"/>
      <c r="L33" s="716">
        <v>21</v>
      </c>
      <c r="M33" s="526">
        <v>1</v>
      </c>
      <c r="N33" s="518">
        <f>K26</f>
        <v>13</v>
      </c>
      <c r="O33" s="532">
        <v>146</v>
      </c>
      <c r="P33" s="532">
        <f>O33*N33</f>
        <v>1898</v>
      </c>
      <c r="Q33" s="220"/>
    </row>
    <row r="34" spans="1:17" s="218" customFormat="1" ht="14.4" x14ac:dyDescent="0.3">
      <c r="A34" s="220"/>
      <c r="B34" s="685" t="s">
        <v>2028</v>
      </c>
      <c r="C34" s="220"/>
      <c r="D34" s="220"/>
      <c r="E34" s="220"/>
      <c r="F34" s="220"/>
      <c r="G34" s="220"/>
      <c r="H34" s="220"/>
      <c r="I34" s="220"/>
      <c r="J34" s="220"/>
      <c r="K34" s="220"/>
      <c r="L34" s="220"/>
      <c r="M34" s="220"/>
      <c r="N34" s="220"/>
      <c r="O34" s="220"/>
      <c r="P34" s="220"/>
      <c r="Q34" s="220"/>
    </row>
    <row r="35" spans="1:17" s="218" customFormat="1" ht="14.4" x14ac:dyDescent="0.3">
      <c r="A35" s="220"/>
      <c r="B35" s="679" t="s">
        <v>2092</v>
      </c>
      <c r="C35" s="220"/>
      <c r="D35" s="220"/>
      <c r="E35" s="220"/>
      <c r="F35" s="220"/>
      <c r="G35" s="220"/>
      <c r="H35" s="220"/>
      <c r="I35" s="220"/>
      <c r="J35" s="220"/>
      <c r="K35" s="220"/>
      <c r="L35" s="220"/>
      <c r="M35" s="220"/>
      <c r="N35" s="220"/>
      <c r="O35" s="220"/>
      <c r="P35" s="220"/>
      <c r="Q35" s="220"/>
    </row>
    <row r="36" spans="1:17" s="218" customFormat="1" ht="14.4" x14ac:dyDescent="0.3">
      <c r="A36" s="220"/>
      <c r="B36" s="873" t="s">
        <v>2093</v>
      </c>
      <c r="C36" s="220"/>
      <c r="D36" s="220"/>
      <c r="E36" s="220"/>
      <c r="F36" s="220"/>
      <c r="G36" s="220"/>
      <c r="H36" s="220"/>
      <c r="I36" s="220"/>
      <c r="J36" s="220"/>
      <c r="K36" s="220"/>
      <c r="L36" s="220"/>
      <c r="M36" s="220"/>
      <c r="N36" s="220"/>
      <c r="O36" s="220"/>
      <c r="P36" s="220"/>
      <c r="Q36" s="537"/>
    </row>
    <row r="37" spans="1:17" s="218" customFormat="1" ht="14.4" x14ac:dyDescent="0.3">
      <c r="A37" s="220"/>
      <c r="B37" s="553" t="s">
        <v>2094</v>
      </c>
      <c r="C37" s="220"/>
      <c r="D37" s="220"/>
      <c r="E37" s="220"/>
      <c r="F37" s="220"/>
      <c r="G37" s="220"/>
      <c r="H37" s="220"/>
      <c r="I37" s="220"/>
      <c r="J37" s="220"/>
      <c r="K37" s="220"/>
      <c r="L37" s="220"/>
      <c r="M37" s="220"/>
      <c r="N37" s="220"/>
      <c r="O37" s="220"/>
      <c r="P37" s="220"/>
      <c r="Q37" s="537"/>
    </row>
    <row r="38" spans="1:17" s="218" customFormat="1" ht="14.4" x14ac:dyDescent="0.3">
      <c r="A38" s="220"/>
      <c r="B38" s="174"/>
      <c r="C38" s="220"/>
      <c r="D38" s="220"/>
      <c r="E38" s="220"/>
      <c r="F38" s="220"/>
      <c r="G38" s="220"/>
      <c r="H38" s="220"/>
      <c r="I38" s="220"/>
      <c r="J38" s="220"/>
      <c r="K38" s="220"/>
      <c r="L38" s="220"/>
      <c r="M38" s="220"/>
      <c r="N38" s="220"/>
      <c r="O38" s="220"/>
      <c r="P38" s="220"/>
      <c r="Q38" s="537"/>
    </row>
    <row r="39" spans="1:17" s="218" customFormat="1" ht="14.55" customHeight="1" x14ac:dyDescent="0.4">
      <c r="A39" s="220"/>
      <c r="B39" s="806" t="s">
        <v>1932</v>
      </c>
      <c r="C39" s="807"/>
      <c r="D39" s="688"/>
      <c r="E39" s="688"/>
      <c r="F39" s="688"/>
      <c r="G39" s="688"/>
      <c r="H39" s="688"/>
      <c r="I39" s="688"/>
      <c r="J39" s="688"/>
      <c r="K39" s="688"/>
      <c r="L39" s="688"/>
      <c r="M39" s="688"/>
      <c r="N39" s="688"/>
      <c r="O39" s="688"/>
      <c r="P39" s="808"/>
      <c r="Q39" s="537"/>
    </row>
    <row r="40" spans="1:17" s="218" customFormat="1" ht="14.55" customHeight="1" x14ac:dyDescent="0.4">
      <c r="A40" s="220"/>
      <c r="B40" s="817" t="s">
        <v>2069</v>
      </c>
      <c r="C40" s="814"/>
      <c r="D40" s="815"/>
      <c r="E40" s="815"/>
      <c r="F40" s="815"/>
      <c r="G40" s="815"/>
      <c r="H40" s="815"/>
      <c r="I40" s="815"/>
      <c r="J40" s="815"/>
      <c r="K40" s="815"/>
      <c r="L40" s="815"/>
      <c r="M40" s="815"/>
      <c r="N40" s="815"/>
      <c r="O40" s="815"/>
      <c r="P40" s="816"/>
      <c r="Q40" s="537"/>
    </row>
    <row r="41" spans="1:17" s="218" customFormat="1" ht="14.4" x14ac:dyDescent="0.3">
      <c r="A41" s="692"/>
      <c r="B41" s="220"/>
      <c r="C41" s="810" t="s">
        <v>1938</v>
      </c>
      <c r="D41" s="811"/>
      <c r="E41" s="811"/>
      <c r="F41" s="811"/>
      <c r="G41" s="812"/>
      <c r="H41" s="810" t="s">
        <v>2070</v>
      </c>
      <c r="I41" s="811"/>
      <c r="J41" s="811"/>
      <c r="K41" s="811"/>
      <c r="L41" s="811"/>
      <c r="M41" s="811"/>
      <c r="N41" s="811"/>
      <c r="O41" s="811"/>
      <c r="P41" s="812"/>
      <c r="Q41" s="537"/>
    </row>
    <row r="42" spans="1:17" s="218" customFormat="1" ht="66" customHeight="1" x14ac:dyDescent="0.3">
      <c r="A42" s="220"/>
      <c r="B42" s="221" t="s">
        <v>2071</v>
      </c>
      <c r="C42" s="222" t="s">
        <v>1941</v>
      </c>
      <c r="D42" s="222" t="s">
        <v>1942</v>
      </c>
      <c r="E42" s="222" t="s">
        <v>1943</v>
      </c>
      <c r="F42" s="222" t="s">
        <v>1944</v>
      </c>
      <c r="G42" s="222" t="s">
        <v>1945</v>
      </c>
      <c r="H42" s="818" t="s">
        <v>2095</v>
      </c>
      <c r="I42" s="222" t="s">
        <v>2073</v>
      </c>
      <c r="J42" s="222" t="s">
        <v>2074</v>
      </c>
      <c r="K42" s="222" t="s">
        <v>2075</v>
      </c>
      <c r="L42" s="543" t="s">
        <v>2076</v>
      </c>
      <c r="M42" s="543" t="s">
        <v>2077</v>
      </c>
      <c r="N42" s="543" t="s">
        <v>2078</v>
      </c>
      <c r="O42" s="219" t="s">
        <v>2079</v>
      </c>
      <c r="P42" s="222" t="s">
        <v>2080</v>
      </c>
      <c r="Q42" s="120"/>
    </row>
    <row r="43" spans="1:17" s="218" customFormat="1" ht="14.4" x14ac:dyDescent="0.3">
      <c r="A43" s="220"/>
      <c r="B43" s="541" t="str">
        <f>'Inputs and population'!C49</f>
        <v>Endocrine Therapy (ET)</v>
      </c>
      <c r="C43" s="519" t="str">
        <f>'Inputs and population'!D49</f>
        <v>Various</v>
      </c>
      <c r="D43" s="519">
        <f>'Inputs and population'!E49</f>
        <v>0</v>
      </c>
      <c r="E43" s="520">
        <f>'Inputs and population'!F49</f>
        <v>0</v>
      </c>
      <c r="F43" s="520">
        <f>'Inputs and population'!G49</f>
        <v>0</v>
      </c>
      <c r="G43" s="520">
        <f>'Inputs and population'!H49</f>
        <v>0</v>
      </c>
      <c r="H43" s="809">
        <f>'Inputs and population'!I49</f>
        <v>0</v>
      </c>
      <c r="I43" s="520">
        <f>H43</f>
        <v>0</v>
      </c>
      <c r="J43" s="518">
        <f>'Inputs and population'!J49</f>
        <v>0</v>
      </c>
      <c r="K43" s="524">
        <f>'Inputs and population'!H40</f>
        <v>13</v>
      </c>
      <c r="L43" s="518">
        <f>K43*J43*I43</f>
        <v>0</v>
      </c>
      <c r="M43" s="518">
        <v>0</v>
      </c>
      <c r="N43" s="521">
        <f>'Inputs and population'!K49</f>
        <v>0</v>
      </c>
      <c r="O43" s="522">
        <f>'Inputs and population'!L49</f>
        <v>0</v>
      </c>
      <c r="P43" s="532">
        <f>M43*N43*(100%+O43)</f>
        <v>0</v>
      </c>
      <c r="Q43" s="537"/>
    </row>
    <row r="44" spans="1:17" s="218" customFormat="1" ht="14.4" x14ac:dyDescent="0.3">
      <c r="A44" s="220"/>
      <c r="B44" s="541" t="s">
        <v>2081</v>
      </c>
      <c r="C44" s="519"/>
      <c r="D44" s="519"/>
      <c r="E44" s="520"/>
      <c r="F44" s="520"/>
      <c r="G44" s="520"/>
      <c r="H44" s="809"/>
      <c r="I44" s="520"/>
      <c r="J44" s="518"/>
      <c r="K44" s="524"/>
      <c r="L44" s="545"/>
      <c r="M44" s="545"/>
      <c r="N44" s="521"/>
      <c r="O44" s="522"/>
      <c r="P44" s="532"/>
      <c r="Q44" s="537"/>
    </row>
    <row r="45" spans="1:17" s="218" customFormat="1" ht="14.4" x14ac:dyDescent="0.3">
      <c r="A45" s="220"/>
      <c r="B45" s="541" t="s">
        <v>2081</v>
      </c>
      <c r="C45" s="519"/>
      <c r="D45" s="519"/>
      <c r="E45" s="520"/>
      <c r="F45" s="520"/>
      <c r="G45" s="520"/>
      <c r="H45" s="809"/>
      <c r="I45" s="520"/>
      <c r="J45" s="518"/>
      <c r="K45" s="524"/>
      <c r="L45" s="545"/>
      <c r="M45" s="545"/>
      <c r="N45" s="521"/>
      <c r="O45" s="522"/>
      <c r="P45" s="532"/>
      <c r="Q45" s="537"/>
    </row>
    <row r="46" spans="1:17" s="218" customFormat="1" ht="14.4" x14ac:dyDescent="0.3">
      <c r="A46" s="220"/>
      <c r="B46" s="223" t="s">
        <v>2082</v>
      </c>
      <c r="C46" s="542"/>
      <c r="D46" s="542"/>
      <c r="E46" s="542"/>
      <c r="F46" s="542"/>
      <c r="G46" s="542"/>
      <c r="H46" s="542"/>
      <c r="I46" s="542"/>
      <c r="J46" s="542"/>
      <c r="K46" s="548"/>
      <c r="L46" s="548"/>
      <c r="M46" s="548"/>
      <c r="N46" s="542"/>
      <c r="O46" s="547"/>
      <c r="P46" s="887">
        <f>SUM(P43:P45)</f>
        <v>0</v>
      </c>
      <c r="Q46" s="537"/>
    </row>
    <row r="47" spans="1:17" s="218" customFormat="1" ht="14.4" x14ac:dyDescent="0.3">
      <c r="A47" s="692"/>
      <c r="B47" s="220"/>
      <c r="C47" s="220"/>
      <c r="D47" s="220"/>
      <c r="E47" s="220"/>
      <c r="F47" s="220"/>
      <c r="G47" s="220"/>
      <c r="H47" s="220"/>
      <c r="I47" s="220"/>
      <c r="J47" s="220"/>
      <c r="K47" s="507"/>
      <c r="L47" s="507"/>
      <c r="M47" s="507"/>
      <c r="N47" s="220"/>
      <c r="O47" s="220"/>
      <c r="P47" s="692"/>
      <c r="Q47" s="537"/>
    </row>
    <row r="48" spans="1:17" s="218" customFormat="1" ht="14.4" x14ac:dyDescent="0.3">
      <c r="A48" s="692"/>
      <c r="B48" s="216" t="s">
        <v>2083</v>
      </c>
      <c r="C48" s="220"/>
      <c r="D48" s="159"/>
      <c r="E48" s="102"/>
      <c r="F48" s="160"/>
      <c r="G48" s="161"/>
      <c r="H48" s="5"/>
      <c r="I48" s="161"/>
      <c r="J48" s="161"/>
      <c r="K48" s="161"/>
      <c r="L48" s="161"/>
      <c r="M48" s="220"/>
      <c r="N48" s="220"/>
      <c r="O48" s="220"/>
      <c r="P48" s="692"/>
      <c r="Q48" s="537"/>
    </row>
    <row r="49" spans="1:17" s="218" customFormat="1" ht="28.8" x14ac:dyDescent="0.3">
      <c r="A49" s="220"/>
      <c r="B49" s="219" t="s">
        <v>2084</v>
      </c>
      <c r="C49" s="221" t="s">
        <v>2085</v>
      </c>
      <c r="D49" s="224" t="s">
        <v>2086</v>
      </c>
      <c r="E49" s="382"/>
      <c r="F49" s="383"/>
      <c r="G49" s="383"/>
      <c r="H49" s="383"/>
      <c r="I49" s="383"/>
      <c r="J49" s="384"/>
      <c r="K49" s="383"/>
      <c r="L49" s="543" t="s">
        <v>2087</v>
      </c>
      <c r="M49" s="543" t="s">
        <v>2088</v>
      </c>
      <c r="N49" s="222" t="s">
        <v>2075</v>
      </c>
      <c r="O49" s="219" t="s">
        <v>2089</v>
      </c>
      <c r="P49" s="219" t="s">
        <v>2080</v>
      </c>
      <c r="Q49" s="537"/>
    </row>
    <row r="50" spans="1:17" s="218" customFormat="1" ht="14.4" x14ac:dyDescent="0.3">
      <c r="A50" s="220"/>
      <c r="B50" s="541" t="str">
        <f>B43</f>
        <v>Endocrine Therapy (ET)</v>
      </c>
      <c r="C50" s="717" t="s">
        <v>2090</v>
      </c>
      <c r="D50" s="527" t="s">
        <v>2091</v>
      </c>
      <c r="E50" s="528"/>
      <c r="F50" s="529"/>
      <c r="G50" s="530"/>
      <c r="H50" s="530"/>
      <c r="I50" s="530"/>
      <c r="J50" s="529"/>
      <c r="K50" s="529"/>
      <c r="L50" s="716">
        <v>28</v>
      </c>
      <c r="M50" s="526">
        <v>1</v>
      </c>
      <c r="N50" s="518">
        <f>K43</f>
        <v>13</v>
      </c>
      <c r="O50" s="532">
        <v>146</v>
      </c>
      <c r="P50" s="532">
        <f>O50*N50</f>
        <v>1898</v>
      </c>
      <c r="Q50" s="537"/>
    </row>
    <row r="51" spans="1:17" s="218" customFormat="1" ht="14.4" x14ac:dyDescent="0.3">
      <c r="A51" s="220"/>
      <c r="B51" s="685" t="s">
        <v>2028</v>
      </c>
      <c r="C51" s="220"/>
      <c r="D51" s="220"/>
      <c r="E51" s="220"/>
      <c r="F51" s="220"/>
      <c r="G51" s="220"/>
      <c r="H51" s="220"/>
      <c r="I51" s="220"/>
      <c r="J51" s="220"/>
      <c r="K51" s="220"/>
      <c r="L51" s="220"/>
      <c r="M51" s="220"/>
      <c r="N51" s="220"/>
      <c r="O51" s="220"/>
      <c r="P51" s="220"/>
      <c r="Q51" s="537"/>
    </row>
    <row r="52" spans="1:17" s="218" customFormat="1" ht="14.4" x14ac:dyDescent="0.3">
      <c r="A52" s="220"/>
      <c r="B52" s="679" t="s">
        <v>2096</v>
      </c>
      <c r="C52" s="220"/>
      <c r="D52" s="220"/>
      <c r="E52" s="220"/>
      <c r="F52" s="220"/>
      <c r="G52" s="220"/>
      <c r="H52" s="220"/>
      <c r="I52" s="220"/>
      <c r="J52" s="220"/>
      <c r="K52" s="220"/>
      <c r="L52" s="507"/>
      <c r="M52" s="507"/>
      <c r="N52" s="507"/>
      <c r="O52" s="220"/>
      <c r="P52" s="220"/>
      <c r="Q52" s="537"/>
    </row>
    <row r="53" spans="1:17" s="218" customFormat="1" ht="14.4" x14ac:dyDescent="0.3">
      <c r="A53" s="220"/>
      <c r="B53" s="553" t="s">
        <v>2094</v>
      </c>
      <c r="C53" s="220"/>
      <c r="D53" s="220"/>
      <c r="E53" s="220"/>
      <c r="F53" s="220"/>
      <c r="G53" s="220"/>
      <c r="H53" s="220"/>
      <c r="I53" s="220"/>
      <c r="J53" s="220"/>
      <c r="K53" s="220"/>
      <c r="L53" s="507"/>
      <c r="M53" s="507"/>
      <c r="N53" s="507"/>
      <c r="O53" s="220"/>
      <c r="P53" s="220"/>
      <c r="Q53" s="537"/>
    </row>
    <row r="54" spans="1:17" s="218" customFormat="1" ht="14.4" x14ac:dyDescent="0.3">
      <c r="A54" s="220"/>
      <c r="B54" s="216"/>
      <c r="C54" s="216"/>
      <c r="D54" s="216"/>
      <c r="E54" s="216"/>
      <c r="F54" s="216"/>
      <c r="G54" s="216"/>
      <c r="H54" s="216"/>
      <c r="I54" s="216"/>
      <c r="J54" s="216"/>
      <c r="K54" s="216"/>
      <c r="L54" s="216"/>
      <c r="M54" s="216"/>
      <c r="N54" s="216"/>
      <c r="O54" s="216"/>
      <c r="P54" s="216"/>
      <c r="Q54" s="537"/>
    </row>
    <row r="55" spans="1:17" s="218" customFormat="1" ht="14.55" customHeight="1" x14ac:dyDescent="0.4">
      <c r="A55" s="220"/>
      <c r="B55" s="806" t="s">
        <v>1955</v>
      </c>
      <c r="C55" s="807"/>
      <c r="D55" s="688"/>
      <c r="E55" s="688"/>
      <c r="F55" s="688"/>
      <c r="G55" s="688"/>
      <c r="H55" s="688"/>
      <c r="I55" s="688"/>
      <c r="J55" s="688"/>
      <c r="K55" s="688"/>
      <c r="L55" s="688"/>
      <c r="M55" s="688"/>
      <c r="N55" s="688"/>
      <c r="O55" s="688"/>
      <c r="P55" s="808"/>
      <c r="Q55" s="537"/>
    </row>
    <row r="56" spans="1:17" s="218" customFormat="1" ht="14.55" customHeight="1" x14ac:dyDescent="0.4">
      <c r="A56" s="220"/>
      <c r="B56" s="817" t="s">
        <v>2069</v>
      </c>
      <c r="C56" s="814"/>
      <c r="D56" s="815"/>
      <c r="E56" s="815"/>
      <c r="F56" s="815"/>
      <c r="G56" s="815"/>
      <c r="H56" s="815"/>
      <c r="I56" s="815"/>
      <c r="J56" s="815"/>
      <c r="K56" s="815"/>
      <c r="L56" s="815"/>
      <c r="M56" s="815"/>
      <c r="N56" s="815"/>
      <c r="O56" s="815"/>
      <c r="P56" s="816"/>
      <c r="Q56" s="537"/>
    </row>
    <row r="57" spans="1:17" s="218" customFormat="1" ht="14.4" x14ac:dyDescent="0.3">
      <c r="A57" s="692"/>
      <c r="B57" s="220"/>
      <c r="C57" s="810" t="s">
        <v>1938</v>
      </c>
      <c r="D57" s="811"/>
      <c r="E57" s="811"/>
      <c r="F57" s="811"/>
      <c r="G57" s="812"/>
      <c r="H57" s="810" t="s">
        <v>2070</v>
      </c>
      <c r="I57" s="811"/>
      <c r="J57" s="811"/>
      <c r="K57" s="811"/>
      <c r="L57" s="811"/>
      <c r="M57" s="811"/>
      <c r="N57" s="811"/>
      <c r="O57" s="811"/>
      <c r="P57" s="812"/>
      <c r="Q57" s="537"/>
    </row>
    <row r="58" spans="1:17" s="218" customFormat="1" ht="66" customHeight="1" x14ac:dyDescent="0.3">
      <c r="A58" s="220"/>
      <c r="B58" s="221" t="s">
        <v>2071</v>
      </c>
      <c r="C58" s="222" t="s">
        <v>1941</v>
      </c>
      <c r="D58" s="222" t="s">
        <v>1942</v>
      </c>
      <c r="E58" s="222" t="s">
        <v>1943</v>
      </c>
      <c r="F58" s="222" t="s">
        <v>1944</v>
      </c>
      <c r="G58" s="222" t="s">
        <v>1945</v>
      </c>
      <c r="H58" s="219" t="s">
        <v>2072</v>
      </c>
      <c r="I58" s="222" t="s">
        <v>2073</v>
      </c>
      <c r="J58" s="222" t="s">
        <v>2074</v>
      </c>
      <c r="K58" s="222" t="s">
        <v>2075</v>
      </c>
      <c r="L58" s="543" t="s">
        <v>2076</v>
      </c>
      <c r="M58" s="543" t="s">
        <v>2077</v>
      </c>
      <c r="N58" s="543" t="s">
        <v>2078</v>
      </c>
      <c r="O58" s="219" t="s">
        <v>2079</v>
      </c>
      <c r="P58" s="222" t="s">
        <v>2080</v>
      </c>
      <c r="Q58" s="120"/>
    </row>
    <row r="59" spans="1:17" s="218" customFormat="1" ht="14.4" x14ac:dyDescent="0.3">
      <c r="A59" s="220"/>
      <c r="B59" s="758" t="str">
        <f>'Inputs and population'!C50</f>
        <v xml:space="preserve">Abemaciclib </v>
      </c>
      <c r="C59" s="756" t="str">
        <f>'Inputs and population'!D50</f>
        <v xml:space="preserve">Oral </v>
      </c>
      <c r="D59" s="756" t="str">
        <f>'Inputs and population'!E50</f>
        <v>Tablet</v>
      </c>
      <c r="E59" s="757">
        <f>'Inputs and population'!F50</f>
        <v>150</v>
      </c>
      <c r="F59" s="757">
        <f>'Inputs and population'!G50</f>
        <v>56</v>
      </c>
      <c r="G59" s="757">
        <f>'Inputs and population'!H50</f>
        <v>8400</v>
      </c>
      <c r="H59" s="757">
        <f>'Inputs and population'!I50</f>
        <v>150</v>
      </c>
      <c r="I59" s="757">
        <f>H59</f>
        <v>150</v>
      </c>
      <c r="J59" s="535">
        <f>'Inputs and population'!J50</f>
        <v>56</v>
      </c>
      <c r="K59" s="765">
        <f>'Inputs and population'!H41</f>
        <v>13</v>
      </c>
      <c r="L59" s="535">
        <f>K59*J59*I59</f>
        <v>109200</v>
      </c>
      <c r="M59" s="535">
        <f>L59/G59</f>
        <v>13</v>
      </c>
      <c r="N59" s="763">
        <f>'Inputs and population'!K50</f>
        <v>0</v>
      </c>
      <c r="O59" s="764">
        <f>'Inputs and population'!L50</f>
        <v>0.2</v>
      </c>
      <c r="P59" s="813">
        <f>M59*N59*(100%+O59)</f>
        <v>0</v>
      </c>
      <c r="Q59" s="537"/>
    </row>
    <row r="60" spans="1:17" s="218" customFormat="1" ht="14.4" x14ac:dyDescent="0.3">
      <c r="A60" s="220"/>
      <c r="B60" s="541" t="s">
        <v>2081</v>
      </c>
      <c r="C60" s="519"/>
      <c r="D60" s="519"/>
      <c r="E60" s="520"/>
      <c r="F60" s="520"/>
      <c r="G60" s="520"/>
      <c r="H60" s="520"/>
      <c r="I60" s="520"/>
      <c r="J60" s="518"/>
      <c r="K60" s="525"/>
      <c r="L60" s="546"/>
      <c r="M60" s="546"/>
      <c r="N60" s="521"/>
      <c r="O60" s="522"/>
      <c r="P60" s="532"/>
      <c r="Q60" s="537"/>
    </row>
    <row r="61" spans="1:17" s="218" customFormat="1" ht="14.4" x14ac:dyDescent="0.3">
      <c r="A61" s="220"/>
      <c r="B61" s="541" t="s">
        <v>2081</v>
      </c>
      <c r="C61" s="519"/>
      <c r="D61" s="519"/>
      <c r="E61" s="520"/>
      <c r="F61" s="520"/>
      <c r="G61" s="520"/>
      <c r="H61" s="520"/>
      <c r="I61" s="520"/>
      <c r="J61" s="518"/>
      <c r="K61" s="525"/>
      <c r="L61" s="546"/>
      <c r="M61" s="546"/>
      <c r="N61" s="521"/>
      <c r="O61" s="522"/>
      <c r="P61" s="532"/>
      <c r="Q61" s="537"/>
    </row>
    <row r="62" spans="1:17" s="218" customFormat="1" ht="14.4" x14ac:dyDescent="0.3">
      <c r="A62" s="220"/>
      <c r="B62" s="223" t="s">
        <v>2082</v>
      </c>
      <c r="C62" s="542"/>
      <c r="D62" s="542"/>
      <c r="E62" s="542"/>
      <c r="F62" s="542"/>
      <c r="G62" s="542"/>
      <c r="H62" s="542"/>
      <c r="I62" s="542"/>
      <c r="J62" s="542"/>
      <c r="K62" s="542"/>
      <c r="L62" s="542"/>
      <c r="M62" s="542"/>
      <c r="N62" s="542"/>
      <c r="O62" s="547"/>
      <c r="P62" s="887">
        <f>SUM(P59:P61)</f>
        <v>0</v>
      </c>
      <c r="Q62" s="537"/>
    </row>
    <row r="63" spans="1:17" s="218" customFormat="1" ht="14.4" x14ac:dyDescent="0.3">
      <c r="A63" s="692"/>
      <c r="B63" s="220"/>
      <c r="C63" s="220"/>
      <c r="D63" s="220"/>
      <c r="E63" s="220"/>
      <c r="F63" s="220"/>
      <c r="G63" s="220"/>
      <c r="H63" s="220"/>
      <c r="I63" s="220"/>
      <c r="J63" s="220"/>
      <c r="K63" s="220"/>
      <c r="L63" s="220"/>
      <c r="M63" s="220"/>
      <c r="N63" s="220"/>
      <c r="O63" s="220"/>
      <c r="P63" s="692"/>
      <c r="Q63" s="537"/>
    </row>
    <row r="64" spans="1:17" s="218" customFormat="1" ht="14.4" x14ac:dyDescent="0.3">
      <c r="A64" s="692"/>
      <c r="B64" s="216" t="s">
        <v>2083</v>
      </c>
      <c r="C64" s="220"/>
      <c r="D64" s="159"/>
      <c r="E64" s="102"/>
      <c r="F64" s="160"/>
      <c r="G64" s="161"/>
      <c r="H64" s="5"/>
      <c r="I64" s="161"/>
      <c r="J64" s="161"/>
      <c r="K64" s="161"/>
      <c r="L64" s="161"/>
      <c r="M64" s="220"/>
      <c r="N64" s="220"/>
      <c r="O64" s="220"/>
      <c r="P64" s="692"/>
      <c r="Q64" s="537"/>
    </row>
    <row r="65" spans="1:17" s="218" customFormat="1" ht="28.8" x14ac:dyDescent="0.3">
      <c r="A65" s="220"/>
      <c r="B65" s="219" t="s">
        <v>2084</v>
      </c>
      <c r="C65" s="221" t="s">
        <v>2085</v>
      </c>
      <c r="D65" s="224" t="s">
        <v>2086</v>
      </c>
      <c r="E65" s="382"/>
      <c r="F65" s="383"/>
      <c r="G65" s="383"/>
      <c r="H65" s="383"/>
      <c r="I65" s="383"/>
      <c r="J65" s="384"/>
      <c r="K65" s="383"/>
      <c r="L65" s="543" t="s">
        <v>2087</v>
      </c>
      <c r="M65" s="543" t="s">
        <v>2088</v>
      </c>
      <c r="N65" s="222" t="s">
        <v>2075</v>
      </c>
      <c r="O65" s="219" t="s">
        <v>2089</v>
      </c>
      <c r="P65" s="219" t="s">
        <v>2080</v>
      </c>
      <c r="Q65" s="537"/>
    </row>
    <row r="66" spans="1:17" s="218" customFormat="1" ht="14.4" x14ac:dyDescent="0.3">
      <c r="A66" s="220"/>
      <c r="B66" s="541" t="str">
        <f>B59</f>
        <v xml:space="preserve">Abemaciclib </v>
      </c>
      <c r="C66" s="717" t="s">
        <v>2090</v>
      </c>
      <c r="D66" s="527" t="s">
        <v>2091</v>
      </c>
      <c r="E66" s="528"/>
      <c r="F66" s="529"/>
      <c r="G66" s="530"/>
      <c r="H66" s="530"/>
      <c r="I66" s="530"/>
      <c r="J66" s="529"/>
      <c r="K66" s="529"/>
      <c r="L66" s="716">
        <v>28</v>
      </c>
      <c r="M66" s="526">
        <v>1</v>
      </c>
      <c r="N66" s="518">
        <f>K59</f>
        <v>13</v>
      </c>
      <c r="O66" s="532">
        <v>146</v>
      </c>
      <c r="P66" s="532">
        <f>O66*N66</f>
        <v>1898</v>
      </c>
      <c r="Q66" s="537"/>
    </row>
    <row r="67" spans="1:17" s="4" customFormat="1" ht="14.4" x14ac:dyDescent="0.3">
      <c r="A67" s="5"/>
      <c r="B67" s="685" t="s">
        <v>2028</v>
      </c>
      <c r="C67" s="220"/>
      <c r="D67" s="220"/>
      <c r="E67" s="220"/>
      <c r="F67" s="220"/>
      <c r="G67" s="220"/>
      <c r="H67" s="220"/>
      <c r="I67" s="220"/>
      <c r="J67" s="220"/>
      <c r="K67" s="220"/>
      <c r="L67" s="220"/>
      <c r="M67" s="220"/>
      <c r="N67" s="220"/>
      <c r="O67" s="220"/>
      <c r="P67" s="220"/>
      <c r="Q67" s="5"/>
    </row>
    <row r="68" spans="1:17" s="4" customFormat="1" ht="14.4" x14ac:dyDescent="0.3">
      <c r="A68" s="5"/>
      <c r="B68" s="679" t="s">
        <v>2097</v>
      </c>
      <c r="C68" s="5"/>
      <c r="D68" s="159"/>
      <c r="E68" s="102"/>
      <c r="F68" s="102"/>
      <c r="G68" s="161"/>
      <c r="H68" s="5"/>
      <c r="I68" s="161"/>
      <c r="J68" s="161"/>
      <c r="K68" s="161"/>
      <c r="L68" s="161"/>
      <c r="M68" s="161"/>
      <c r="N68" s="161"/>
      <c r="O68" s="161"/>
      <c r="P68" s="162"/>
      <c r="Q68" s="5"/>
    </row>
    <row r="69" spans="1:17" s="4" customFormat="1" ht="14.4" x14ac:dyDescent="0.3">
      <c r="A69" s="5"/>
      <c r="B69" s="874" t="s">
        <v>2093</v>
      </c>
      <c r="C69" s="5"/>
      <c r="D69" s="159"/>
      <c r="E69" s="102"/>
      <c r="F69" s="160"/>
      <c r="G69" s="161"/>
      <c r="H69" s="5"/>
      <c r="I69" s="161"/>
      <c r="J69" s="161"/>
      <c r="K69" s="161"/>
      <c r="L69" s="161"/>
      <c r="M69" s="161"/>
      <c r="N69" s="161"/>
      <c r="O69" s="161"/>
      <c r="P69" s="162"/>
      <c r="Q69" s="5"/>
    </row>
    <row r="70" spans="1:17" s="4" customFormat="1" ht="14.4" x14ac:dyDescent="0.25">
      <c r="A70" s="5"/>
      <c r="B70" s="553" t="s">
        <v>2094</v>
      </c>
      <c r="C70" s="5"/>
      <c r="D70" s="159"/>
      <c r="E70" s="102"/>
      <c r="F70" s="160"/>
      <c r="G70" s="161"/>
      <c r="H70" s="5"/>
      <c r="I70" s="161"/>
      <c r="J70" s="161"/>
      <c r="K70" s="161"/>
      <c r="L70" s="161"/>
      <c r="M70" s="161"/>
      <c r="N70" s="161"/>
      <c r="O70" s="161"/>
      <c r="P70" s="162"/>
      <c r="Q70" s="5"/>
    </row>
    <row r="71" spans="1:17" s="4" customFormat="1" ht="14.4" x14ac:dyDescent="0.3">
      <c r="A71" s="5"/>
      <c r="B71" s="174"/>
      <c r="C71" s="5"/>
      <c r="D71" s="159"/>
      <c r="E71" s="102"/>
      <c r="F71" s="160"/>
      <c r="G71" s="161"/>
      <c r="H71" s="5"/>
      <c r="I71" s="161"/>
      <c r="J71" s="161"/>
      <c r="K71" s="161"/>
      <c r="L71" s="161"/>
      <c r="M71" s="161"/>
      <c r="N71" s="161"/>
      <c r="O71" s="161"/>
      <c r="P71" s="162"/>
      <c r="Q71" s="5"/>
    </row>
    <row r="72" spans="1:17" s="4" customFormat="1" ht="14.4" x14ac:dyDescent="0.3">
      <c r="A72" s="5"/>
      <c r="B72" s="385" t="s">
        <v>2098</v>
      </c>
      <c r="C72" s="159"/>
      <c r="D72" s="159"/>
      <c r="E72" s="102"/>
      <c r="F72" s="160"/>
      <c r="G72" s="161"/>
      <c r="H72" s="5"/>
      <c r="I72" s="161"/>
      <c r="J72" s="161"/>
      <c r="K72" s="161"/>
      <c r="L72" s="161"/>
      <c r="M72" s="161"/>
      <c r="N72" s="161"/>
      <c r="O72" s="161"/>
      <c r="P72" s="162"/>
      <c r="Q72" s="5"/>
    </row>
    <row r="73" spans="1:17" s="4" customFormat="1" ht="14.4" x14ac:dyDescent="0.3">
      <c r="A73" s="5"/>
      <c r="B73" s="219" t="s">
        <v>2084</v>
      </c>
      <c r="C73" s="221" t="s">
        <v>2085</v>
      </c>
      <c r="D73" s="224" t="s">
        <v>2086</v>
      </c>
      <c r="E73" s="381"/>
      <c r="F73" s="382"/>
      <c r="G73" s="383"/>
      <c r="H73" s="384"/>
      <c r="I73" s="383"/>
      <c r="J73" s="384"/>
      <c r="K73" s="383"/>
      <c r="L73" s="386" t="s">
        <v>2089</v>
      </c>
      <c r="M73" s="161"/>
      <c r="N73" s="718" t="s">
        <v>2099</v>
      </c>
      <c r="O73" s="718" t="s">
        <v>2100</v>
      </c>
      <c r="P73" s="162"/>
      <c r="Q73" s="5"/>
    </row>
    <row r="74" spans="1:17" s="4" customFormat="1" ht="14.4" x14ac:dyDescent="0.3">
      <c r="A74" s="5"/>
      <c r="B74" s="518" t="s">
        <v>2101</v>
      </c>
      <c r="C74" s="533" t="s">
        <v>2102</v>
      </c>
      <c r="D74" s="527" t="s">
        <v>2103</v>
      </c>
      <c r="E74" s="534"/>
      <c r="F74" s="528"/>
      <c r="G74" s="529"/>
      <c r="H74" s="530"/>
      <c r="I74" s="530"/>
      <c r="J74" s="529"/>
      <c r="K74" s="531"/>
      <c r="L74" s="532">
        <v>338</v>
      </c>
      <c r="M74" s="161"/>
      <c r="N74" s="402" t="s">
        <v>2104</v>
      </c>
      <c r="O74" s="402" t="s">
        <v>2105</v>
      </c>
      <c r="P74" s="162"/>
      <c r="Q74" s="5"/>
    </row>
    <row r="75" spans="1:17" s="4" customFormat="1" ht="14.4" x14ac:dyDescent="0.3">
      <c r="A75" s="5"/>
      <c r="B75" s="518" t="s">
        <v>2106</v>
      </c>
      <c r="C75" s="533" t="s">
        <v>2107</v>
      </c>
      <c r="D75" s="527" t="s">
        <v>2108</v>
      </c>
      <c r="E75" s="534"/>
      <c r="F75" s="528"/>
      <c r="G75" s="529"/>
      <c r="H75" s="530"/>
      <c r="I75" s="530"/>
      <c r="J75" s="529"/>
      <c r="K75" s="531"/>
      <c r="L75" s="532">
        <v>153</v>
      </c>
      <c r="M75" s="161"/>
      <c r="N75" s="402" t="s">
        <v>2109</v>
      </c>
      <c r="O75" s="402" t="s">
        <v>2110</v>
      </c>
      <c r="P75" s="162"/>
      <c r="Q75" s="5"/>
    </row>
    <row r="76" spans="1:17" s="4" customFormat="1" ht="14.4" x14ac:dyDescent="0.3">
      <c r="A76" s="5"/>
      <c r="B76" s="550" t="s">
        <v>2111</v>
      </c>
      <c r="C76" s="5"/>
      <c r="D76" s="159"/>
      <c r="E76" s="102"/>
      <c r="F76" s="160"/>
      <c r="G76" s="161"/>
      <c r="H76" s="5"/>
      <c r="I76" s="161"/>
      <c r="J76" s="161"/>
      <c r="K76" s="161"/>
      <c r="L76" s="161"/>
      <c r="M76" s="161"/>
      <c r="N76" s="402" t="s">
        <v>2112</v>
      </c>
      <c r="O76" s="402" t="s">
        <v>2113</v>
      </c>
      <c r="P76" s="162"/>
      <c r="Q76" s="5"/>
    </row>
    <row r="77" spans="1:17" s="4" customFormat="1" ht="14.4" x14ac:dyDescent="0.3">
      <c r="A77" s="5"/>
      <c r="B77" s="174"/>
      <c r="C77" s="5"/>
      <c r="D77" s="159"/>
      <c r="E77" s="102"/>
      <c r="F77" s="160"/>
      <c r="G77" s="161"/>
      <c r="H77" s="5"/>
      <c r="I77" s="161"/>
      <c r="J77" s="161"/>
      <c r="K77" s="161"/>
      <c r="L77" s="161"/>
      <c r="M77" s="161"/>
      <c r="N77" s="402"/>
      <c r="O77" s="402" t="s">
        <v>2114</v>
      </c>
      <c r="P77" s="162"/>
      <c r="Q77" s="5"/>
    </row>
    <row r="78" spans="1:17" s="4" customFormat="1" ht="14.4" x14ac:dyDescent="0.3">
      <c r="A78" s="5"/>
      <c r="B78" s="174"/>
      <c r="C78" s="5"/>
      <c r="D78" s="159"/>
      <c r="E78" s="102"/>
      <c r="F78" s="160"/>
      <c r="G78" s="161"/>
      <c r="H78" s="5"/>
      <c r="I78" s="161"/>
      <c r="J78" s="161"/>
      <c r="K78" s="161"/>
      <c r="L78" s="161"/>
      <c r="M78" s="161"/>
      <c r="N78" s="691"/>
      <c r="O78" s="691" t="s">
        <v>2115</v>
      </c>
      <c r="P78" s="162"/>
      <c r="Q78" s="5"/>
    </row>
    <row r="79" spans="1:17" s="4" customFormat="1" ht="14.4" x14ac:dyDescent="0.3">
      <c r="A79" s="5"/>
      <c r="B79" s="385" t="s">
        <v>2116</v>
      </c>
      <c r="C79" s="159"/>
      <c r="D79" s="159"/>
      <c r="E79" s="102"/>
      <c r="F79" s="160"/>
      <c r="G79" s="161"/>
      <c r="H79" s="5"/>
      <c r="I79" s="161"/>
      <c r="J79" s="161"/>
      <c r="K79" s="161"/>
      <c r="L79" s="161"/>
      <c r="M79" s="161"/>
      <c r="N79" s="161"/>
      <c r="O79" s="161"/>
      <c r="P79" s="162"/>
      <c r="Q79" s="5"/>
    </row>
    <row r="80" spans="1:17" s="4" customFormat="1" ht="14.4" x14ac:dyDescent="0.3">
      <c r="A80" s="5"/>
      <c r="B80" s="219" t="s">
        <v>2084</v>
      </c>
      <c r="C80" s="221" t="s">
        <v>2085</v>
      </c>
      <c r="D80" s="224" t="s">
        <v>2086</v>
      </c>
      <c r="E80" s="381"/>
      <c r="F80" s="382"/>
      <c r="G80" s="383"/>
      <c r="H80" s="384"/>
      <c r="I80" s="383"/>
      <c r="J80" s="384"/>
      <c r="K80" s="383"/>
      <c r="L80" s="386" t="s">
        <v>2089</v>
      </c>
      <c r="M80" s="161"/>
      <c r="N80" s="161"/>
      <c r="O80" s="161"/>
      <c r="P80" s="162"/>
      <c r="Q80" s="5"/>
    </row>
    <row r="81" spans="1:17" s="4" customFormat="1" ht="14.4" x14ac:dyDescent="0.3">
      <c r="A81" s="5"/>
      <c r="B81" s="541" t="s">
        <v>1951</v>
      </c>
      <c r="C81" s="533" t="s">
        <v>2117</v>
      </c>
      <c r="D81" s="527" t="s">
        <v>2118</v>
      </c>
      <c r="E81" s="534"/>
      <c r="F81" s="528"/>
      <c r="G81" s="529"/>
      <c r="H81" s="530"/>
      <c r="I81" s="530"/>
      <c r="J81" s="529"/>
      <c r="K81" s="531"/>
      <c r="L81" s="532">
        <v>93</v>
      </c>
      <c r="M81" s="161"/>
      <c r="N81" s="161"/>
      <c r="O81" s="161"/>
      <c r="P81" s="162"/>
      <c r="Q81" s="5"/>
    </row>
    <row r="82" spans="1:17" s="4" customFormat="1" ht="14.4" x14ac:dyDescent="0.25">
      <c r="A82" s="5"/>
      <c r="B82" s="888" t="s">
        <v>2111</v>
      </c>
      <c r="C82" s="889"/>
      <c r="D82" s="890"/>
      <c r="E82" s="891"/>
      <c r="F82" s="892"/>
      <c r="G82" s="893"/>
      <c r="H82" s="889"/>
      <c r="I82" s="893"/>
      <c r="J82" s="893"/>
      <c r="K82" s="893"/>
      <c r="L82" s="161"/>
      <c r="M82" s="161"/>
      <c r="N82" s="161"/>
      <c r="O82" s="161"/>
      <c r="P82" s="162"/>
      <c r="Q82" s="5"/>
    </row>
    <row r="83" spans="1:17" s="4" customFormat="1" ht="14.4" x14ac:dyDescent="0.25">
      <c r="A83" s="5"/>
      <c r="B83" s="550"/>
      <c r="C83" s="5"/>
      <c r="D83" s="159"/>
      <c r="E83" s="102"/>
      <c r="F83" s="160"/>
      <c r="G83" s="161"/>
      <c r="H83" s="5"/>
      <c r="I83" s="161"/>
      <c r="J83" s="161"/>
      <c r="K83" s="161"/>
      <c r="L83" s="161"/>
      <c r="M83" s="161"/>
      <c r="N83" s="161"/>
      <c r="O83" s="161"/>
      <c r="P83" s="162"/>
      <c r="Q83" s="5"/>
    </row>
    <row r="84" spans="1:17" s="4" customFormat="1" ht="14.4" x14ac:dyDescent="0.25">
      <c r="A84" s="5"/>
      <c r="B84" s="550"/>
      <c r="C84" s="5"/>
      <c r="D84" s="159"/>
      <c r="E84" s="102"/>
      <c r="F84" s="160"/>
      <c r="G84" s="161"/>
      <c r="H84" s="5"/>
      <c r="I84" s="161"/>
      <c r="J84" s="161"/>
      <c r="K84" s="161"/>
      <c r="L84" s="161"/>
      <c r="M84" s="161"/>
      <c r="N84" s="161"/>
      <c r="O84" s="161"/>
      <c r="P84" s="162"/>
      <c r="Q84" s="5"/>
    </row>
    <row r="85" spans="1:17" s="4" customFormat="1" ht="14.4" x14ac:dyDescent="0.3">
      <c r="A85" s="5"/>
      <c r="B85" s="385" t="s">
        <v>2119</v>
      </c>
      <c r="C85" s="159"/>
      <c r="D85" s="159"/>
      <c r="E85" s="102"/>
      <c r="F85" s="160"/>
      <c r="G85" s="161"/>
      <c r="H85" s="5"/>
      <c r="I85" s="161"/>
      <c r="J85" s="161"/>
      <c r="K85" s="161"/>
      <c r="L85" s="161"/>
      <c r="M85" s="161"/>
      <c r="N85" s="161"/>
      <c r="O85" s="161"/>
      <c r="P85" s="162"/>
      <c r="Q85" s="5"/>
    </row>
    <row r="86" spans="1:17" s="4" customFormat="1" ht="14.4" x14ac:dyDescent="0.3">
      <c r="A86" s="5"/>
      <c r="B86" s="219" t="s">
        <v>2084</v>
      </c>
      <c r="C86" s="221" t="s">
        <v>2085</v>
      </c>
      <c r="D86" s="224" t="s">
        <v>2086</v>
      </c>
      <c r="E86" s="381"/>
      <c r="F86" s="382"/>
      <c r="G86" s="383"/>
      <c r="H86" s="384"/>
      <c r="I86" s="224" t="s">
        <v>2120</v>
      </c>
      <c r="J86" s="384"/>
      <c r="K86" s="383"/>
      <c r="L86" s="386" t="s">
        <v>2089</v>
      </c>
      <c r="M86" s="161"/>
      <c r="N86" s="161"/>
      <c r="O86" s="161"/>
      <c r="P86" s="162"/>
      <c r="Q86" s="5"/>
    </row>
    <row r="87" spans="1:17" s="4" customFormat="1" ht="14.4" x14ac:dyDescent="0.3">
      <c r="A87" s="5"/>
      <c r="B87" s="541" t="s">
        <v>1951</v>
      </c>
      <c r="C87" s="533" t="s">
        <v>2121</v>
      </c>
      <c r="D87" s="527" t="s">
        <v>2122</v>
      </c>
      <c r="E87" s="534"/>
      <c r="F87" s="528"/>
      <c r="G87" s="529"/>
      <c r="H87" s="530"/>
      <c r="I87" s="541" t="s">
        <v>2123</v>
      </c>
      <c r="J87" s="529"/>
      <c r="K87" s="531"/>
      <c r="L87" s="880">
        <v>5.09</v>
      </c>
      <c r="M87" s="161"/>
      <c r="N87" s="161"/>
      <c r="O87" s="161"/>
      <c r="P87" s="162"/>
      <c r="Q87" s="5"/>
    </row>
    <row r="88" spans="1:17" s="4" customFormat="1" ht="14.4" x14ac:dyDescent="0.3">
      <c r="A88" s="5"/>
      <c r="B88" s="541" t="s">
        <v>1951</v>
      </c>
      <c r="C88" s="533" t="s">
        <v>2124</v>
      </c>
      <c r="D88" s="527" t="s">
        <v>2125</v>
      </c>
      <c r="E88" s="534"/>
      <c r="F88" s="528"/>
      <c r="G88" s="529"/>
      <c r="H88" s="530"/>
      <c r="I88" s="541" t="s">
        <v>2126</v>
      </c>
      <c r="J88" s="529"/>
      <c r="K88" s="531"/>
      <c r="L88" s="880">
        <v>4.59</v>
      </c>
      <c r="M88" s="161"/>
      <c r="N88" s="161"/>
      <c r="O88" s="161"/>
      <c r="P88" s="162"/>
      <c r="Q88" s="5"/>
    </row>
    <row r="89" spans="1:17" s="4" customFormat="1" ht="14.4" x14ac:dyDescent="0.3">
      <c r="A89" s="5"/>
      <c r="B89" s="541" t="s">
        <v>1951</v>
      </c>
      <c r="C89" s="533" t="s">
        <v>2124</v>
      </c>
      <c r="D89" s="527" t="s">
        <v>2125</v>
      </c>
      <c r="E89" s="534"/>
      <c r="F89" s="528"/>
      <c r="G89" s="529"/>
      <c r="H89" s="530"/>
      <c r="I89" s="541" t="s">
        <v>2127</v>
      </c>
      <c r="J89" s="529"/>
      <c r="K89" s="531"/>
      <c r="L89" s="880">
        <v>4.59</v>
      </c>
      <c r="M89" s="161"/>
      <c r="N89" s="161"/>
      <c r="O89" s="161"/>
      <c r="P89" s="162"/>
      <c r="Q89" s="5"/>
    </row>
    <row r="90" spans="1:17" s="4" customFormat="1" ht="14.4" x14ac:dyDescent="0.3">
      <c r="A90" s="5"/>
      <c r="B90" s="310" t="s">
        <v>2128</v>
      </c>
      <c r="C90" s="5"/>
      <c r="D90" s="159"/>
      <c r="E90" s="102"/>
      <c r="F90" s="160"/>
      <c r="G90" s="161"/>
      <c r="H90" s="5"/>
      <c r="I90" s="161"/>
      <c r="J90" s="161"/>
      <c r="K90" s="161"/>
      <c r="L90" s="161"/>
      <c r="M90" s="161"/>
      <c r="N90" s="161"/>
      <c r="O90" s="161"/>
      <c r="P90" s="162"/>
      <c r="Q90" s="5"/>
    </row>
    <row r="91" spans="1:17" s="4" customFormat="1" ht="14.4" x14ac:dyDescent="0.3">
      <c r="A91" s="5"/>
      <c r="B91" s="310"/>
      <c r="C91" s="5"/>
      <c r="D91" s="159"/>
      <c r="E91" s="102"/>
      <c r="F91" s="160"/>
      <c r="G91" s="161"/>
      <c r="H91" s="5"/>
      <c r="I91" s="161"/>
      <c r="J91" s="161"/>
      <c r="K91" s="161"/>
      <c r="L91" s="161"/>
      <c r="M91" s="161"/>
      <c r="N91" s="161"/>
      <c r="O91" s="161"/>
      <c r="P91" s="162"/>
      <c r="Q91" s="5"/>
    </row>
  </sheetData>
  <sheetProtection algorithmName="SHA-512" hashValue="L/9zexCVHI/W6z9/liFs0oa5L7TILd7xNaKnhmoqImEUKYAKuBB4Muyj1Rr+VTHzUuc+5DPcTZDjiENdxAuHHA==" saltValue="wp8/+FXhKvA0s1zoD/YSBA==" spinCount="100000" sheet="1" objects="1" scenarios="1"/>
  <hyperlinks>
    <hyperlink ref="B70" r:id="rId1" location="National-Tariff-Payment-System" display="Based on 2023-25 NHS England national tariff payment system –  24-25 prices" xr:uid="{FAE770A1-2BC6-4B41-B2C0-EB71C1BF6DD4}"/>
    <hyperlink ref="B76" r:id="rId2" location="National-Tariff-Payment-System" display="Based on 2023-25 National Tariff Payment System –  24-25 prices" xr:uid="{463FD3C7-48FA-4D08-9E9E-684E4700E853}"/>
    <hyperlink ref="B37" r:id="rId3" location="National-Tariff-Payment-System" display="Based on 2023-25 NHS England national tariff payment system –  24-25 prices" xr:uid="{9EA86ABD-8B64-4D62-A8E3-967E81007260}"/>
    <hyperlink ref="B36" r:id="rId4" xr:uid="{8A5DDA6B-56AF-4B15-AEA3-6C52022E0E73}"/>
    <hyperlink ref="B53" r:id="rId5" location="National-Tariff-Payment-System" display="Based on 2023-25 NHS England national tariff payment system –  24-25 prices" xr:uid="{73B8E75E-002F-4D15-8C6F-C448B2BB732C}"/>
    <hyperlink ref="B69" r:id="rId6" xr:uid="{FF1FEE5C-B48B-4E8B-9B5D-9B77205371C0}"/>
    <hyperlink ref="B82" r:id="rId7" location="National-Tariff-Payment-System" display="Based on 2023-25 National Tariff Payment System –  24-25 prices" xr:uid="{D7294147-EF91-4CDF-AB86-4C8F71624BE9}"/>
    <hyperlink ref="B90" r:id="rId8" display="https://www.england.nhs.uk/costing-in-the-nhs/national-cost-collection/" xr:uid="{74B5B122-8A24-461F-BFFD-A30E96FBACA2}"/>
  </hyperlinks>
  <pageMargins left="0.70866141732283472" right="0.70866141732283472" top="0.74803149606299213" bottom="0.74803149606299213" header="0.31496062992125984" footer="0.31496062992125984"/>
  <pageSetup paperSize="9" scale="35"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0"/>
  <sheetViews>
    <sheetView showGridLines="0" zoomScale="70" zoomScaleNormal="70" zoomScaleSheetLayoutView="80" workbookViewId="0">
      <selection activeCell="A57" sqref="A57:XFD57"/>
    </sheetView>
  </sheetViews>
  <sheetFormatPr defaultColWidth="8.77734375" defaultRowHeight="14.4" x14ac:dyDescent="0.3"/>
  <cols>
    <col min="1" max="1" width="3.5546875" customWidth="1"/>
    <col min="2" max="2" width="53.77734375" style="1" customWidth="1"/>
    <col min="3" max="3" width="11.5546875" style="1" customWidth="1"/>
    <col min="4" max="8" width="11.5546875" customWidth="1"/>
    <col min="9" max="9" width="44.44140625" customWidth="1"/>
    <col min="10" max="10" width="11.5546875" customWidth="1"/>
    <col min="11" max="11" width="1.44140625" customWidth="1"/>
  </cols>
  <sheetData>
    <row r="1" spans="2:11" ht="30" customHeight="1" x14ac:dyDescent="0.3">
      <c r="B1" s="444" t="str">
        <f>'Inputs and population'!B1</f>
        <v>Ribociclib with an aromatase inhibitor for adjuvant treatment of hormone receptor-positive, HER2-negative early breast cancer</v>
      </c>
      <c r="C1" s="132"/>
      <c r="D1" s="129"/>
      <c r="E1" s="129"/>
      <c r="F1" s="129"/>
      <c r="G1" s="129"/>
      <c r="H1" s="129"/>
      <c r="I1" s="129"/>
      <c r="J1" s="129"/>
    </row>
    <row r="2" spans="2:11" ht="30" customHeight="1" x14ac:dyDescent="0.3">
      <c r="B2" s="330" t="s">
        <v>1858</v>
      </c>
      <c r="C2" s="129"/>
      <c r="E2" s="115" t="s">
        <v>1904</v>
      </c>
      <c r="F2" s="115" t="s">
        <v>1904</v>
      </c>
      <c r="G2" s="115" t="s">
        <v>1904</v>
      </c>
      <c r="H2" s="115" t="s">
        <v>1904</v>
      </c>
      <c r="I2" s="115" t="s">
        <v>1904</v>
      </c>
      <c r="J2" s="129"/>
    </row>
    <row r="3" spans="2:11" x14ac:dyDescent="0.3">
      <c r="B3" s="118" t="s">
        <v>1904</v>
      </c>
      <c r="C3" s="118"/>
      <c r="D3" s="121" t="s">
        <v>1904</v>
      </c>
      <c r="E3" s="121" t="s">
        <v>1904</v>
      </c>
      <c r="F3" s="121" t="s">
        <v>1904</v>
      </c>
      <c r="G3" s="121" t="s">
        <v>1904</v>
      </c>
      <c r="H3" s="121" t="s">
        <v>1904</v>
      </c>
      <c r="I3" s="121" t="s">
        <v>1904</v>
      </c>
      <c r="J3" s="129"/>
    </row>
    <row r="4" spans="2:11" ht="43.2" x14ac:dyDescent="0.3">
      <c r="B4" s="231" t="s">
        <v>2129</v>
      </c>
      <c r="C4" s="213" t="s">
        <v>2054</v>
      </c>
      <c r="D4" s="243" t="s">
        <v>1896</v>
      </c>
      <c r="E4" s="243" t="s">
        <v>1897</v>
      </c>
      <c r="F4" s="244" t="s">
        <v>2130</v>
      </c>
      <c r="G4" s="244" t="s">
        <v>2131</v>
      </c>
      <c r="H4" s="243" t="s">
        <v>2132</v>
      </c>
      <c r="J4" s="129"/>
    </row>
    <row r="5" spans="2:11" s="136" customFormat="1" x14ac:dyDescent="0.3">
      <c r="B5" s="154" t="s">
        <v>2133</v>
      </c>
      <c r="C5" s="116">
        <f>'Inputs and population'!E34</f>
        <v>8124.305720358896</v>
      </c>
      <c r="D5" s="116">
        <f>'Inputs and population'!F34</f>
        <v>8195.7250253250222</v>
      </c>
      <c r="E5" s="116">
        <f>'Inputs and population'!G34</f>
        <v>8267.7721645083002</v>
      </c>
      <c r="F5" s="116">
        <f>'Inputs and population'!H34</f>
        <v>8340.4526570859944</v>
      </c>
      <c r="G5" s="116">
        <f>'Inputs and population'!I34</f>
        <v>8413.7720707534609</v>
      </c>
      <c r="H5" s="116">
        <f>'Inputs and population'!J34</f>
        <v>8487.7360221506606</v>
      </c>
      <c r="I5"/>
      <c r="J5"/>
      <c r="K5"/>
    </row>
    <row r="6" spans="2:11" x14ac:dyDescent="0.3">
      <c r="B6" s="233" t="s">
        <v>2134</v>
      </c>
      <c r="C6" s="439">
        <f>'Inputs and population'!D61</f>
        <v>0</v>
      </c>
      <c r="D6" s="439">
        <f>'Inputs and population'!E61</f>
        <v>0.42</v>
      </c>
      <c r="E6" s="439">
        <f>'Inputs and population'!F61</f>
        <v>0.48</v>
      </c>
      <c r="F6" s="439">
        <f>'Inputs and population'!G61</f>
        <v>0.52</v>
      </c>
      <c r="G6" s="439">
        <f>'Inputs and population'!H61</f>
        <v>0.52</v>
      </c>
      <c r="H6" s="439">
        <f>'Inputs and population'!I61</f>
        <v>0.52</v>
      </c>
    </row>
    <row r="7" spans="2:11" x14ac:dyDescent="0.3">
      <c r="B7" s="154" t="s">
        <v>2135</v>
      </c>
      <c r="C7" s="116">
        <f>'Financial impact (cash)'!D13</f>
        <v>0</v>
      </c>
      <c r="D7" s="116">
        <f>'Financial impact (cash)'!E13</f>
        <v>3442.204510636509</v>
      </c>
      <c r="E7" s="116">
        <f>'Financial impact (cash)'!F13</f>
        <v>3968.5306389639841</v>
      </c>
      <c r="F7" s="116">
        <f>'Financial impact (cash)'!G13</f>
        <v>4337.0353816847173</v>
      </c>
      <c r="G7" s="116">
        <f>'Financial impact (cash)'!H13</f>
        <v>4375.1614767917999</v>
      </c>
      <c r="H7" s="116">
        <f>'Financial impact (cash)'!I13</f>
        <v>4413.6227315183432</v>
      </c>
    </row>
    <row r="8" spans="2:11" ht="14.55" customHeight="1" x14ac:dyDescent="0.3">
      <c r="B8" s="217"/>
      <c r="C8" s="217"/>
      <c r="D8" s="121"/>
      <c r="E8" s="121"/>
      <c r="F8" s="121"/>
      <c r="G8" s="121"/>
      <c r="H8" s="121"/>
      <c r="J8" s="121"/>
    </row>
    <row r="9" spans="2:11" x14ac:dyDescent="0.3">
      <c r="B9" s="238" t="s">
        <v>2136</v>
      </c>
      <c r="C9"/>
      <c r="J9" s="121"/>
    </row>
    <row r="10" spans="2:11" x14ac:dyDescent="0.3">
      <c r="B10" s="302" t="s">
        <v>1973</v>
      </c>
      <c r="C10" s="116">
        <f>'Inputs and population'!D61*C$5</f>
        <v>0</v>
      </c>
      <c r="D10" s="116">
        <f>'Inputs and population'!E61*D$5</f>
        <v>3442.204510636509</v>
      </c>
      <c r="E10" s="116">
        <f>'Inputs and population'!F61*E$5</f>
        <v>3968.5306389639841</v>
      </c>
      <c r="F10" s="116">
        <f>'Inputs and population'!G61*F$5</f>
        <v>4337.0353816847173</v>
      </c>
      <c r="G10" s="116">
        <f>'Inputs and population'!H61*G$5</f>
        <v>4375.1614767917999</v>
      </c>
      <c r="H10" s="116">
        <f>'Inputs and population'!I61*H$5</f>
        <v>4413.6227315183432</v>
      </c>
      <c r="J10" s="121"/>
    </row>
    <row r="11" spans="2:11" x14ac:dyDescent="0.3">
      <c r="B11" s="302" t="s">
        <v>1932</v>
      </c>
      <c r="C11" s="116">
        <f>'Inputs and population'!D62*C$5</f>
        <v>3818.423688568681</v>
      </c>
      <c r="D11" s="116">
        <f>'Inputs and population'!E62*D$5</f>
        <v>655.65800202600178</v>
      </c>
      <c r="E11" s="116">
        <f>'Inputs and population'!F62*E$5</f>
        <v>578.74405151558108</v>
      </c>
      <c r="F11" s="116">
        <f>'Inputs and population'!G62*F$5</f>
        <v>500.42715942515963</v>
      </c>
      <c r="G11" s="116">
        <f>'Inputs and population'!H62*G$5</f>
        <v>504.82632424520762</v>
      </c>
      <c r="H11" s="116">
        <f>'Inputs and population'!I62*H$5</f>
        <v>509.26416132903961</v>
      </c>
      <c r="J11" s="121"/>
    </row>
    <row r="12" spans="2:11" x14ac:dyDescent="0.3">
      <c r="B12" s="302" t="s">
        <v>1934</v>
      </c>
      <c r="C12" s="116">
        <f>'Inputs and population'!D63*C$5</f>
        <v>4305.8820317902155</v>
      </c>
      <c r="D12" s="116">
        <f>'Inputs and population'!E63*D$5</f>
        <v>4097.8625126625111</v>
      </c>
      <c r="E12" s="116">
        <f>'Inputs and population'!F63*E$5</f>
        <v>3720.4974740287353</v>
      </c>
      <c r="F12" s="116">
        <f>'Inputs and population'!G63*F$5</f>
        <v>3502.9901159761175</v>
      </c>
      <c r="G12" s="116">
        <f>'Inputs and population'!H63*G$5</f>
        <v>3533.7842697164533</v>
      </c>
      <c r="H12" s="116">
        <f>'Inputs and population'!I63*H$5</f>
        <v>3564.8491293032771</v>
      </c>
      <c r="J12" s="121"/>
    </row>
    <row r="13" spans="2:11" x14ac:dyDescent="0.3">
      <c r="B13" s="843"/>
      <c r="C13" s="163">
        <f t="shared" ref="C13:H13" si="0">SUM(C10:C12)</f>
        <v>8124.305720358896</v>
      </c>
      <c r="D13" s="163">
        <f t="shared" si="0"/>
        <v>8195.7250253250222</v>
      </c>
      <c r="E13" s="163">
        <f t="shared" si="0"/>
        <v>8267.7721645083002</v>
      </c>
      <c r="F13" s="163">
        <f t="shared" si="0"/>
        <v>8340.4526570859944</v>
      </c>
      <c r="G13" s="163">
        <f t="shared" si="0"/>
        <v>8413.7720707534609</v>
      </c>
      <c r="H13" s="163">
        <f t="shared" si="0"/>
        <v>8487.7360221506606</v>
      </c>
      <c r="J13" s="121"/>
    </row>
    <row r="14" spans="2:11" x14ac:dyDescent="0.3">
      <c r="B14" s="238" t="s">
        <v>2137</v>
      </c>
      <c r="C14" s="314"/>
      <c r="D14" s="314"/>
      <c r="E14" s="314"/>
      <c r="F14" s="314"/>
      <c r="G14" s="314"/>
      <c r="H14" s="314"/>
      <c r="J14" s="121"/>
    </row>
    <row r="15" spans="2:11" x14ac:dyDescent="0.3">
      <c r="B15" s="302" t="s">
        <v>1973</v>
      </c>
      <c r="C15" s="116">
        <f>'Financial impact (cash)'!D14+'Financial impact (cash)'!D15</f>
        <v>0</v>
      </c>
      <c r="D15" s="116">
        <f>'Financial impact (cash)'!E14+'Financial impact (cash)'!E15</f>
        <v>0</v>
      </c>
      <c r="E15" s="116">
        <f>'Financial impact (cash)'!F14+'Financial impact (cash)'!F15</f>
        <v>3442.204510636509</v>
      </c>
      <c r="F15" s="116">
        <f>'Financial impact (cash)'!G14+'Financial impact (cash)'!G15</f>
        <v>7410.7351496004931</v>
      </c>
      <c r="G15" s="116">
        <f>'Financial impact (cash)'!H14+'Financial impact (cash)'!H15</f>
        <v>8305.5660206487009</v>
      </c>
      <c r="H15" s="116">
        <f>'Financial impact (cash)'!I14+'Financial impact (cash)'!I15</f>
        <v>8712.1968584765164</v>
      </c>
      <c r="J15" s="121"/>
    </row>
    <row r="16" spans="2:11" x14ac:dyDescent="0.3">
      <c r="B16" s="302" t="s">
        <v>1932</v>
      </c>
      <c r="C16" s="116">
        <f>'Financial impact (cash)'!D17+'Financial impact (cash)'!D18+'Financial impact (cash)'!D19+'Financial impact (cash)'!D20</f>
        <v>15273.694754274724</v>
      </c>
      <c r="D16" s="116">
        <f>'Financial impact (cash)'!E17+'Financial impact (cash)'!E18+'Financial impact (cash)'!E19+'Financial impact (cash)'!E20</f>
        <v>15273.694754274724</v>
      </c>
      <c r="E16" s="116">
        <f>'Financial impact (cash)'!F17+'Financial impact (cash)'!F18+'Financial impact (cash)'!F19+'Financial impact (cash)'!F20</f>
        <v>12110.929067732044</v>
      </c>
      <c r="F16" s="116">
        <f>'Financial impact (cash)'!G17+'Financial impact (cash)'!G18+'Financial impact (cash)'!G19+'Financial impact (cash)'!G20</f>
        <v>8871.2494306789449</v>
      </c>
      <c r="G16" s="116">
        <f>'Financial impact (cash)'!H17+'Financial impact (cash)'!H18+'Financial impact (cash)'!H19+'Financial impact (cash)'!H20</f>
        <v>5553.252901535423</v>
      </c>
      <c r="H16" s="116">
        <f>'Financial impact (cash)'!I17+'Financial impact (cash)'!I18+'Financial impact (cash)'!I19+'Financial impact (cash)'!I20</f>
        <v>2239.6555372119501</v>
      </c>
      <c r="J16" s="121"/>
    </row>
    <row r="17" spans="1:10" x14ac:dyDescent="0.3">
      <c r="B17" s="302" t="s">
        <v>1934</v>
      </c>
      <c r="C17" s="116">
        <f>'Financial impact (cash)'!D22</f>
        <v>4305.8820317902155</v>
      </c>
      <c r="D17" s="116">
        <f>'Financial impact (cash)'!E22</f>
        <v>4305.8820317902155</v>
      </c>
      <c r="E17" s="116">
        <f>'Financial impact (cash)'!F22</f>
        <v>4097.8625126625111</v>
      </c>
      <c r="F17" s="116">
        <f>'Financial impact (cash)'!G22</f>
        <v>3720.4974740287353</v>
      </c>
      <c r="G17" s="116">
        <f>'Financial impact (cash)'!H22</f>
        <v>3502.9901159761175</v>
      </c>
      <c r="H17" s="116">
        <f>'Financial impact (cash)'!I22</f>
        <v>3533.7842697164533</v>
      </c>
      <c r="J17" s="121"/>
    </row>
    <row r="18" spans="1:10" x14ac:dyDescent="0.3">
      <c r="B18" s="217"/>
      <c r="C18" s="163">
        <f t="shared" ref="C18:H18" si="1">SUM(C14:C17)</f>
        <v>19579.576786064939</v>
      </c>
      <c r="D18" s="163">
        <f t="shared" si="1"/>
        <v>19579.576786064939</v>
      </c>
      <c r="E18" s="163">
        <f t="shared" si="1"/>
        <v>19650.996091031066</v>
      </c>
      <c r="F18" s="163">
        <f t="shared" si="1"/>
        <v>20002.482054308173</v>
      </c>
      <c r="G18" s="163">
        <f t="shared" si="1"/>
        <v>17361.809038160241</v>
      </c>
      <c r="H18" s="163">
        <f t="shared" si="1"/>
        <v>14485.63666540492</v>
      </c>
      <c r="J18" s="121"/>
    </row>
    <row r="19" spans="1:10" x14ac:dyDescent="0.3">
      <c r="B19" s="238" t="s">
        <v>2138</v>
      </c>
      <c r="C19" s="314"/>
      <c r="D19" s="314"/>
      <c r="E19" s="314"/>
      <c r="F19" s="314"/>
      <c r="G19" s="314"/>
      <c r="H19" s="314"/>
      <c r="J19" s="121"/>
    </row>
    <row r="20" spans="1:10" x14ac:dyDescent="0.3">
      <c r="B20" s="302" t="s">
        <v>2139</v>
      </c>
      <c r="C20" s="163">
        <f>C18+C13</f>
        <v>27703.882506423834</v>
      </c>
      <c r="D20" s="163">
        <f t="shared" ref="D20:H20" si="2">D18+D13</f>
        <v>27775.30181138996</v>
      </c>
      <c r="E20" s="163">
        <f t="shared" si="2"/>
        <v>27918.768255539366</v>
      </c>
      <c r="F20" s="163">
        <f t="shared" si="2"/>
        <v>28342.934711394169</v>
      </c>
      <c r="G20" s="163">
        <f t="shared" si="2"/>
        <v>25775.581108913702</v>
      </c>
      <c r="H20" s="163">
        <f t="shared" si="2"/>
        <v>22973.37268755558</v>
      </c>
      <c r="J20" s="121"/>
    </row>
    <row r="21" spans="1:10" ht="15" thickBot="1" x14ac:dyDescent="0.35">
      <c r="B21" s="424"/>
      <c r="C21" s="424"/>
      <c r="D21" s="425"/>
      <c r="E21" s="425"/>
      <c r="F21" s="425"/>
      <c r="G21" s="425"/>
      <c r="H21" s="425"/>
      <c r="I21" s="426"/>
      <c r="J21" s="121"/>
    </row>
    <row r="22" spans="1:10" x14ac:dyDescent="0.3">
      <c r="B22" s="240"/>
      <c r="C22" s="240"/>
      <c r="D22" s="295"/>
      <c r="E22" s="295"/>
      <c r="F22" s="295"/>
      <c r="G22" s="295"/>
      <c r="H22" s="295"/>
      <c r="I22" s="121"/>
      <c r="J22" s="121"/>
    </row>
    <row r="23" spans="1:10" ht="43.2" x14ac:dyDescent="0.3">
      <c r="B23" s="234" t="s">
        <v>2140</v>
      </c>
      <c r="C23" s="213" t="s">
        <v>2054</v>
      </c>
      <c r="D23" s="243" t="s">
        <v>1896</v>
      </c>
      <c r="E23" s="243" t="s">
        <v>1897</v>
      </c>
      <c r="F23" s="244" t="s">
        <v>2130</v>
      </c>
      <c r="G23" s="244" t="s">
        <v>2131</v>
      </c>
      <c r="H23" s="243" t="s">
        <v>2132</v>
      </c>
      <c r="I23" s="121"/>
      <c r="J23" s="121"/>
    </row>
    <row r="24" spans="1:10" x14ac:dyDescent="0.3">
      <c r="B24" s="265" t="s">
        <v>2141</v>
      </c>
      <c r="C24" s="554" t="s">
        <v>2142</v>
      </c>
      <c r="D24" s="554" t="s">
        <v>2142</v>
      </c>
      <c r="E24" s="554" t="s">
        <v>2142</v>
      </c>
      <c r="F24" s="554" t="s">
        <v>2142</v>
      </c>
      <c r="G24" s="554" t="s">
        <v>2142</v>
      </c>
      <c r="H24" s="554" t="s">
        <v>2142</v>
      </c>
      <c r="I24" s="121"/>
      <c r="J24" s="121"/>
    </row>
    <row r="25" spans="1:10" x14ac:dyDescent="0.3">
      <c r="B25" s="239" t="s">
        <v>2143</v>
      </c>
      <c r="C25" s="226">
        <f>'Financial impact (cash)'!D29</f>
        <v>0</v>
      </c>
      <c r="D25" s="226">
        <f>'Financial impact (cash)'!E29</f>
        <v>0</v>
      </c>
      <c r="E25" s="226">
        <f>'Financial impact (cash)'!F29</f>
        <v>0</v>
      </c>
      <c r="F25" s="226">
        <f>'Financial impact (cash)'!G29</f>
        <v>0</v>
      </c>
      <c r="G25" s="226">
        <f>'Financial impact (cash)'!H29</f>
        <v>0</v>
      </c>
      <c r="H25" s="226">
        <f>'Financial impact (cash)'!I29</f>
        <v>0</v>
      </c>
      <c r="I25" s="121"/>
      <c r="J25" s="121"/>
    </row>
    <row r="26" spans="1:10" x14ac:dyDescent="0.3">
      <c r="C26" s="829"/>
      <c r="D26" s="175">
        <f>D25-$C$25</f>
        <v>0</v>
      </c>
      <c r="E26" s="175">
        <f>E25-$C$25</f>
        <v>0</v>
      </c>
      <c r="F26" s="175">
        <f>F25-$C$25</f>
        <v>0</v>
      </c>
      <c r="G26" s="175">
        <f>G25-$C$25</f>
        <v>0</v>
      </c>
      <c r="H26" s="175">
        <f>H25-$C$25</f>
        <v>0</v>
      </c>
      <c r="I26" s="387" t="s">
        <v>2144</v>
      </c>
      <c r="J26" s="121"/>
    </row>
    <row r="27" spans="1:10" x14ac:dyDescent="0.3">
      <c r="C27" s="80"/>
      <c r="D27" s="175">
        <f>D25-C25</f>
        <v>0</v>
      </c>
      <c r="E27" s="175">
        <f>E25-D25</f>
        <v>0</v>
      </c>
      <c r="F27" s="175">
        <f>F25-E25</f>
        <v>0</v>
      </c>
      <c r="G27" s="175">
        <f>G25-F25</f>
        <v>0</v>
      </c>
      <c r="H27" s="175">
        <f>H25-G25</f>
        <v>0</v>
      </c>
      <c r="I27" s="387" t="s">
        <v>2145</v>
      </c>
      <c r="J27" s="121"/>
    </row>
    <row r="28" spans="1:10" x14ac:dyDescent="0.3">
      <c r="B28" s="240"/>
      <c r="C28" s="240"/>
      <c r="D28" s="350"/>
      <c r="E28" s="350"/>
      <c r="F28" s="350"/>
      <c r="G28" s="350"/>
      <c r="H28" s="350"/>
      <c r="J28" s="121"/>
    </row>
    <row r="29" spans="1:10" x14ac:dyDescent="0.3">
      <c r="B29" t="s">
        <v>2146</v>
      </c>
      <c r="C29" s="240"/>
      <c r="D29" s="350"/>
      <c r="E29" s="350"/>
      <c r="F29" s="350"/>
      <c r="G29" s="350"/>
      <c r="H29" s="350"/>
      <c r="J29" s="121"/>
    </row>
    <row r="30" spans="1:10" x14ac:dyDescent="0.3">
      <c r="B30" s="506" t="s">
        <v>15</v>
      </c>
      <c r="C30" s="240"/>
      <c r="D30" s="350"/>
      <c r="E30" s="350"/>
      <c r="F30" s="350"/>
      <c r="G30" s="350"/>
      <c r="H30" s="350"/>
      <c r="J30" s="121"/>
    </row>
    <row r="31" spans="1:10" x14ac:dyDescent="0.3">
      <c r="B31" s="240"/>
      <c r="C31" s="240"/>
      <c r="D31" s="350"/>
      <c r="E31" s="350"/>
      <c r="F31" s="350"/>
      <c r="G31" s="350"/>
      <c r="H31" s="350"/>
      <c r="J31" s="121"/>
    </row>
    <row r="32" spans="1:10" ht="43.2" x14ac:dyDescent="0.3">
      <c r="A32" s="350"/>
      <c r="B32" s="234" t="s">
        <v>2147</v>
      </c>
      <c r="C32" s="213" t="s">
        <v>2054</v>
      </c>
      <c r="D32" s="243" t="s">
        <v>1896</v>
      </c>
      <c r="E32" s="243" t="s">
        <v>1897</v>
      </c>
      <c r="F32" s="244" t="s">
        <v>2130</v>
      </c>
      <c r="G32" s="244" t="s">
        <v>2131</v>
      </c>
      <c r="H32" s="243" t="s">
        <v>2132</v>
      </c>
      <c r="J32" s="121"/>
    </row>
    <row r="33" spans="1:10" x14ac:dyDescent="0.3">
      <c r="A33" s="350"/>
      <c r="B33" s="265" t="s">
        <v>2148</v>
      </c>
      <c r="C33" s="554" t="s">
        <v>2142</v>
      </c>
      <c r="D33" s="554" t="s">
        <v>2142</v>
      </c>
      <c r="E33" s="554" t="s">
        <v>2142</v>
      </c>
      <c r="F33" s="554" t="s">
        <v>2142</v>
      </c>
      <c r="G33" s="554" t="s">
        <v>2142</v>
      </c>
      <c r="H33" s="554" t="s">
        <v>2142</v>
      </c>
      <c r="J33" s="121"/>
    </row>
    <row r="34" spans="1:10" x14ac:dyDescent="0.3">
      <c r="A34" s="350"/>
      <c r="B34" s="239" t="s">
        <v>2149</v>
      </c>
      <c r="C34" s="226">
        <f>IF($B$30="national prices",'Capacity (national prices)'!L28,IF($B$30="local prices",'Capacity (local prices)'!L28,0))</f>
        <v>69536.745091123827</v>
      </c>
      <c r="D34" s="226">
        <f>IF($B$30="national prices",'Capacity (national prices)'!M28,IF($B$30="local prices",'Capacity (local prices)'!M28,0))</f>
        <v>70356.257585567189</v>
      </c>
      <c r="E34" s="226">
        <f>IF($B$30="national prices",'Capacity (national prices)'!N28,IF($B$30="local prices",'Capacity (local prices)'!N28,0))</f>
        <v>70814.25502025109</v>
      </c>
      <c r="F34" s="226">
        <f>IF($B$30="national prices",'Capacity (national prices)'!O28,IF($B$30="local prices",'Capacity (local prices)'!O28,0))</f>
        <v>71947.454706592718</v>
      </c>
      <c r="G34" s="226">
        <f>IF($B$30="national prices",'Capacity (national prices)'!P28,IF($B$30="local prices",'Capacity (local prices)'!P28,0))</f>
        <v>65510.488618056675</v>
      </c>
      <c r="H34" s="226">
        <f>IF($B$30="national prices",'Capacity (national prices)'!Q28,IF($B$30="local prices",'Capacity (local prices)'!Q28,0))</f>
        <v>58484.099273826927</v>
      </c>
      <c r="J34" s="121"/>
    </row>
    <row r="35" spans="1:10" x14ac:dyDescent="0.3">
      <c r="A35" s="350"/>
      <c r="C35" s="829"/>
      <c r="D35" s="175">
        <f>D34-$C$34</f>
        <v>819.51249444336281</v>
      </c>
      <c r="E35" s="175">
        <f>E34-$C$34</f>
        <v>1277.5099291272636</v>
      </c>
      <c r="F35" s="175">
        <f>F34-$C$34</f>
        <v>2410.7096154688916</v>
      </c>
      <c r="G35" s="175">
        <f>G34-$C$34</f>
        <v>-4026.2564730671511</v>
      </c>
      <c r="H35" s="175">
        <f>H34-$C$34</f>
        <v>-11052.6458172969</v>
      </c>
      <c r="I35" s="387" t="s">
        <v>2144</v>
      </c>
      <c r="J35" s="121"/>
    </row>
    <row r="36" spans="1:10" x14ac:dyDescent="0.3">
      <c r="A36" s="350"/>
      <c r="C36" s="80"/>
      <c r="D36" s="175">
        <f>D34-C34</f>
        <v>819.51249444336281</v>
      </c>
      <c r="E36" s="175">
        <f>E34-D34</f>
        <v>457.99743468390079</v>
      </c>
      <c r="F36" s="175">
        <f>F34-E34</f>
        <v>1133.199686341628</v>
      </c>
      <c r="G36" s="175">
        <f>G34-F34</f>
        <v>-6436.9660885360427</v>
      </c>
      <c r="H36" s="175">
        <f>H34-G34</f>
        <v>-7026.3893442297485</v>
      </c>
      <c r="I36" s="387" t="s">
        <v>2145</v>
      </c>
      <c r="J36" s="121"/>
    </row>
    <row r="37" spans="1:10" x14ac:dyDescent="0.3">
      <c r="A37" s="350"/>
      <c r="B37" s="350"/>
      <c r="C37" s="350"/>
      <c r="D37" s="350"/>
      <c r="E37" s="350"/>
      <c r="F37" s="350"/>
      <c r="G37" s="350"/>
      <c r="H37" s="350"/>
      <c r="J37" s="121"/>
    </row>
    <row r="38" spans="1:10" ht="43.2" x14ac:dyDescent="0.3">
      <c r="A38" s="350"/>
      <c r="B38" s="234" t="s">
        <v>2150</v>
      </c>
      <c r="C38" s="213" t="s">
        <v>2054</v>
      </c>
      <c r="D38" s="243" t="s">
        <v>1896</v>
      </c>
      <c r="E38" s="243" t="s">
        <v>1897</v>
      </c>
      <c r="F38" s="244" t="s">
        <v>2130</v>
      </c>
      <c r="G38" s="244" t="s">
        <v>2131</v>
      </c>
      <c r="H38" s="243" t="s">
        <v>2132</v>
      </c>
      <c r="J38" s="121"/>
    </row>
    <row r="39" spans="1:10" x14ac:dyDescent="0.3">
      <c r="B39" s="265"/>
      <c r="C39" s="554" t="s">
        <v>2142</v>
      </c>
      <c r="D39" s="554" t="s">
        <v>2142</v>
      </c>
      <c r="E39" s="554" t="s">
        <v>2142</v>
      </c>
      <c r="F39" s="554" t="s">
        <v>2142</v>
      </c>
      <c r="G39" s="554" t="s">
        <v>2142</v>
      </c>
      <c r="H39" s="554" t="s">
        <v>2142</v>
      </c>
      <c r="I39" s="121"/>
      <c r="J39" s="121"/>
    </row>
    <row r="40" spans="1:10" x14ac:dyDescent="0.3">
      <c r="B40" s="420" t="s">
        <v>2151</v>
      </c>
      <c r="C40" s="433">
        <f>C25+C34</f>
        <v>69536.745091123827</v>
      </c>
      <c r="D40" s="433">
        <f t="shared" ref="D40:H40" si="3">D25+D34</f>
        <v>70356.257585567189</v>
      </c>
      <c r="E40" s="433">
        <f t="shared" si="3"/>
        <v>70814.25502025109</v>
      </c>
      <c r="F40" s="433">
        <f t="shared" si="3"/>
        <v>71947.454706592718</v>
      </c>
      <c r="G40" s="433">
        <f t="shared" si="3"/>
        <v>65510.488618056675</v>
      </c>
      <c r="H40" s="433">
        <f t="shared" si="3"/>
        <v>58484.099273826927</v>
      </c>
      <c r="I40" s="121"/>
      <c r="J40" s="121"/>
    </row>
    <row r="41" spans="1:10" x14ac:dyDescent="0.3">
      <c r="B41" s="419"/>
      <c r="C41" s="421"/>
      <c r="D41" s="422">
        <f>D40-$C$40</f>
        <v>819.51249444336281</v>
      </c>
      <c r="E41" s="422">
        <f t="shared" ref="E41:H41" si="4">E40-$C$40</f>
        <v>1277.5099291272636</v>
      </c>
      <c r="F41" s="422">
        <f t="shared" si="4"/>
        <v>2410.7096154688916</v>
      </c>
      <c r="G41" s="422">
        <f t="shared" si="4"/>
        <v>-4026.2564730671511</v>
      </c>
      <c r="H41" s="422">
        <f t="shared" si="4"/>
        <v>-11052.6458172969</v>
      </c>
      <c r="I41" s="387" t="s">
        <v>2144</v>
      </c>
      <c r="J41" s="121"/>
    </row>
    <row r="42" spans="1:10" x14ac:dyDescent="0.3">
      <c r="B42" s="419"/>
      <c r="C42" s="421"/>
      <c r="D42" s="423">
        <f>D40-C40</f>
        <v>819.51249444336281</v>
      </c>
      <c r="E42" s="423">
        <f>E40-D40</f>
        <v>457.99743468390079</v>
      </c>
      <c r="F42" s="423">
        <f>F40-E40</f>
        <v>1133.199686341628</v>
      </c>
      <c r="G42" s="423">
        <f>G40-F40</f>
        <v>-6436.9660885360427</v>
      </c>
      <c r="H42" s="423">
        <f>H40-G40</f>
        <v>-7026.3893442297485</v>
      </c>
      <c r="I42" s="387" t="s">
        <v>2145</v>
      </c>
      <c r="J42" s="121"/>
    </row>
    <row r="43" spans="1:10" ht="15" thickBot="1" x14ac:dyDescent="0.35">
      <c r="B43" s="424"/>
      <c r="C43" s="424"/>
      <c r="D43" s="425"/>
      <c r="E43" s="425"/>
      <c r="F43" s="425"/>
      <c r="G43" s="425"/>
      <c r="H43" s="425"/>
      <c r="I43" s="426"/>
      <c r="J43" s="121"/>
    </row>
    <row r="44" spans="1:10" x14ac:dyDescent="0.3">
      <c r="B44" s="240"/>
      <c r="C44" s="240"/>
      <c r="D44" s="295"/>
      <c r="E44" s="295"/>
      <c r="F44" s="295"/>
      <c r="G44" s="295"/>
      <c r="H44" s="295"/>
      <c r="I44" s="121"/>
      <c r="J44" s="121"/>
    </row>
    <row r="45" spans="1:10" ht="43.2" x14ac:dyDescent="0.3">
      <c r="B45" s="234" t="s">
        <v>2152</v>
      </c>
      <c r="C45" s="412"/>
      <c r="D45" s="243" t="s">
        <v>1896</v>
      </c>
      <c r="E45" s="243" t="s">
        <v>1897</v>
      </c>
      <c r="F45" s="244" t="s">
        <v>2130</v>
      </c>
      <c r="G45" s="244" t="s">
        <v>2131</v>
      </c>
      <c r="H45" s="243" t="s">
        <v>2132</v>
      </c>
      <c r="I45" s="121"/>
      <c r="J45" s="121"/>
    </row>
    <row r="46" spans="1:10" x14ac:dyDescent="0.3">
      <c r="B46" s="415"/>
      <c r="C46" s="413"/>
      <c r="D46" s="414"/>
      <c r="E46" s="414"/>
      <c r="F46" s="414"/>
      <c r="G46" s="414"/>
      <c r="H46" s="414"/>
      <c r="I46" s="121"/>
      <c r="J46" s="121"/>
    </row>
    <row r="47" spans="1:10" x14ac:dyDescent="0.3">
      <c r="B47" s="234" t="s">
        <v>2153</v>
      </c>
      <c r="C47" s="232"/>
      <c r="D47" s="228"/>
      <c r="E47" s="228"/>
      <c r="F47" s="228"/>
      <c r="G47" s="228"/>
      <c r="H47" s="229"/>
      <c r="I47" s="121"/>
      <c r="J47" s="121"/>
    </row>
    <row r="48" spans="1:10" x14ac:dyDescent="0.3">
      <c r="B48" s="504" t="str">
        <f>'Capacity (local prices)'!B10</f>
        <v>First attendances</v>
      </c>
      <c r="C48" s="503"/>
      <c r="D48" s="505">
        <f>'Capacity (local prices)'!E10-'Capacity (local prices)'!$D10</f>
        <v>0</v>
      </c>
      <c r="E48" s="505">
        <f>'Capacity (local prices)'!F10-'Capacity (local prices)'!$D10</f>
        <v>0</v>
      </c>
      <c r="F48" s="505">
        <f>'Capacity (local prices)'!G10-'Capacity (local prices)'!$D10</f>
        <v>0</v>
      </c>
      <c r="G48" s="505">
        <f>'Capacity (local prices)'!H10-'Capacity (local prices)'!$D10</f>
        <v>0</v>
      </c>
      <c r="H48" s="505">
        <f>'Capacity (local prices)'!I10-'Capacity (local prices)'!$D10</f>
        <v>0</v>
      </c>
      <c r="I48" s="121"/>
      <c r="J48" s="121"/>
    </row>
    <row r="49" spans="2:10" x14ac:dyDescent="0.3">
      <c r="B49" s="504" t="str">
        <f>'Capacity (local prices)'!B11</f>
        <v>First attendances - hours</v>
      </c>
      <c r="C49" s="503"/>
      <c r="D49" s="505">
        <f>'Capacity (local prices)'!E11-'Capacity (local prices)'!$D11</f>
        <v>0</v>
      </c>
      <c r="E49" s="505">
        <f>'Capacity (local prices)'!F11-'Capacity (local prices)'!$D11</f>
        <v>0</v>
      </c>
      <c r="F49" s="505">
        <f>'Capacity (local prices)'!G11-'Capacity (local prices)'!$D11</f>
        <v>0</v>
      </c>
      <c r="G49" s="505">
        <f>'Capacity (local prices)'!H11-'Capacity (local prices)'!$D11</f>
        <v>0</v>
      </c>
      <c r="H49" s="505">
        <f>'Capacity (local prices)'!I11-'Capacity (local prices)'!$D11</f>
        <v>0</v>
      </c>
      <c r="I49" s="121"/>
      <c r="J49" s="121"/>
    </row>
    <row r="50" spans="2:10" x14ac:dyDescent="0.3">
      <c r="B50" s="504" t="str">
        <f>'Capacity (local prices)'!B12</f>
        <v>Follow up attendances</v>
      </c>
      <c r="C50" s="237"/>
      <c r="D50" s="505">
        <f>'Capacity (local prices)'!E12-'Capacity (local prices)'!$D12</f>
        <v>285.67721986450488</v>
      </c>
      <c r="E50" s="505">
        <f>'Capacity (local prices)'!F12-'Capacity (local prices)'!$D12</f>
        <v>859.54299646212894</v>
      </c>
      <c r="F50" s="505">
        <f>'Capacity (local prices)'!G12-'Capacity (local prices)'!$D12</f>
        <v>2556.2088198813435</v>
      </c>
      <c r="G50" s="505">
        <f>'Capacity (local prices)'!H12-'Capacity (local prices)'!$D12</f>
        <v>-7713.2055900405103</v>
      </c>
      <c r="H50" s="505">
        <f>'Capacity (local prices)'!I12-'Capacity (local prices)'!$D12</f>
        <v>-18922.039275473013</v>
      </c>
      <c r="I50" s="121"/>
      <c r="J50" s="121"/>
    </row>
    <row r="51" spans="2:10" x14ac:dyDescent="0.3">
      <c r="B51" s="504" t="str">
        <f>'Capacity (local prices)'!B13</f>
        <v>Follow up attendances - hours</v>
      </c>
      <c r="C51" s="237"/>
      <c r="D51" s="505">
        <f>'Capacity (local prices)'!E13-'Capacity (local prices)'!$D13</f>
        <v>95.22573995483981</v>
      </c>
      <c r="E51" s="505">
        <f>'Capacity (local prices)'!F13-'Capacity (local prices)'!$D13</f>
        <v>286.51433215404541</v>
      </c>
      <c r="F51" s="505">
        <f>'Capacity (local prices)'!G13-'Capacity (local prices)'!$D13</f>
        <v>852.06960662711936</v>
      </c>
      <c r="G51" s="505">
        <f>'Capacity (local prices)'!H13-'Capacity (local prices)'!$D13</f>
        <v>-2571.068530013501</v>
      </c>
      <c r="H51" s="505">
        <f>'Capacity (local prices)'!I13-'Capacity (local prices)'!$D13</f>
        <v>-6307.3464251576661</v>
      </c>
      <c r="I51" s="121"/>
      <c r="J51" s="121"/>
    </row>
    <row r="52" spans="2:10" x14ac:dyDescent="0.3">
      <c r="B52" s="504" t="str">
        <f>'Capacity (local prices)'!B14</f>
        <v>Number of administrations</v>
      </c>
      <c r="C52" s="237"/>
      <c r="D52" s="505">
        <f>'Capacity (local prices)'!E14-'Capacity (local prices)'!$D14</f>
        <v>928.4509645596263</v>
      </c>
      <c r="E52" s="505">
        <f>'Capacity (local prices)'!F14-'Capacity (local prices)'!$D14</f>
        <v>2793.5147385018645</v>
      </c>
      <c r="F52" s="505">
        <f>'Capacity (local prices)'!G14-'Capacity (local prices)'!$D14</f>
        <v>8307.67866461433</v>
      </c>
      <c r="G52" s="505">
        <f>'Capacity (local prices)'!H14-'Capacity (local prices)'!$D14</f>
        <v>-25067.918167631724</v>
      </c>
      <c r="H52" s="505">
        <f>'Capacity (local prices)'!I14-'Capacity (local prices)'!$D14</f>
        <v>-61496.627645287313</v>
      </c>
      <c r="I52" s="121"/>
      <c r="J52" s="121"/>
    </row>
    <row r="53" spans="2:10" x14ac:dyDescent="0.3">
      <c r="I53" s="121"/>
      <c r="J53" s="121"/>
    </row>
    <row r="54" spans="2:10" x14ac:dyDescent="0.3">
      <c r="B54" s="234" t="s">
        <v>2154</v>
      </c>
      <c r="C54" s="235"/>
      <c r="D54" s="228"/>
      <c r="E54" s="228"/>
      <c r="F54" s="228"/>
      <c r="G54" s="228"/>
      <c r="H54" s="229"/>
      <c r="I54" s="121"/>
      <c r="J54" s="121"/>
    </row>
    <row r="55" spans="2:10" x14ac:dyDescent="0.3">
      <c r="B55" s="236" t="str">
        <f>'Capacity (local prices)'!B15</f>
        <v xml:space="preserve">Nursing - administrations (hours) </v>
      </c>
      <c r="C55" s="237"/>
      <c r="D55" s="505">
        <f>'Capacity (local prices)'!E15-'Capacity (local prices)'!$D15</f>
        <v>0</v>
      </c>
      <c r="E55" s="505">
        <f>'Capacity (local prices)'!F15-'Capacity (local prices)'!$D15</f>
        <v>0</v>
      </c>
      <c r="F55" s="505">
        <f>'Capacity (local prices)'!G15-'Capacity (local prices)'!$D15</f>
        <v>0</v>
      </c>
      <c r="G55" s="505">
        <f>'Capacity (local prices)'!H15-'Capacity (local prices)'!$D15</f>
        <v>0</v>
      </c>
      <c r="H55" s="505">
        <f>'Capacity (local prices)'!I15-'Capacity (local prices)'!$D15</f>
        <v>0</v>
      </c>
      <c r="I55" s="121"/>
      <c r="J55" s="121"/>
    </row>
    <row r="56" spans="2:10" x14ac:dyDescent="0.3">
      <c r="B56" s="236" t="str">
        <f>'Capacity (local prices)'!B16</f>
        <v xml:space="preserve">Nursing patient preparation time (hours) </v>
      </c>
      <c r="C56" s="237"/>
      <c r="D56" s="505">
        <f>'Capacity (local prices)'!E16-'Capacity (local prices)'!$D16</f>
        <v>0</v>
      </c>
      <c r="E56" s="505">
        <f>'Capacity (local prices)'!F16-'Capacity (local prices)'!$D16</f>
        <v>0</v>
      </c>
      <c r="F56" s="505">
        <f>'Capacity (local prices)'!G16-'Capacity (local prices)'!$D16</f>
        <v>0</v>
      </c>
      <c r="G56" s="505">
        <f>'Capacity (local prices)'!H16-'Capacity (local prices)'!$D16</f>
        <v>0</v>
      </c>
      <c r="H56" s="505">
        <f>'Capacity (local prices)'!I16-'Capacity (local prices)'!$D16</f>
        <v>0</v>
      </c>
      <c r="I56" s="121"/>
      <c r="J56" s="121"/>
    </row>
    <row r="57" spans="2:10" x14ac:dyDescent="0.3">
      <c r="B57" s="236" t="str">
        <f>'Capacity (local prices)'!B17</f>
        <v xml:space="preserve">Post administration nursing time (hours) </v>
      </c>
      <c r="C57" s="237"/>
      <c r="D57" s="505">
        <f>'Capacity (local prices)'!E17-'Capacity (local prices)'!$D17</f>
        <v>0</v>
      </c>
      <c r="E57" s="505">
        <f>'Capacity (local prices)'!F17-'Capacity (local prices)'!$D17</f>
        <v>0</v>
      </c>
      <c r="F57" s="505">
        <f>'Capacity (local prices)'!G17-'Capacity (local prices)'!$D17</f>
        <v>0</v>
      </c>
      <c r="G57" s="505">
        <f>'Capacity (local prices)'!H17-'Capacity (local prices)'!$D17</f>
        <v>0</v>
      </c>
      <c r="H57" s="505">
        <f>'Capacity (local prices)'!I17-'Capacity (local prices)'!$D17</f>
        <v>0</v>
      </c>
      <c r="I57" s="121"/>
      <c r="J57" s="121"/>
    </row>
    <row r="58" spans="2:10" x14ac:dyDescent="0.3">
      <c r="I58" s="121"/>
      <c r="J58" s="121"/>
    </row>
    <row r="59" spans="2:10" x14ac:dyDescent="0.3">
      <c r="B59" s="234" t="s">
        <v>2155</v>
      </c>
      <c r="C59" s="235"/>
      <c r="D59" s="228"/>
      <c r="E59" s="228"/>
      <c r="F59" s="228"/>
      <c r="G59" s="228"/>
      <c r="H59" s="229"/>
      <c r="I59" s="121"/>
      <c r="J59" s="121"/>
    </row>
    <row r="60" spans="2:10" x14ac:dyDescent="0.3">
      <c r="B60" s="236" t="str">
        <f>'Capacity (local prices)'!B18</f>
        <v>Pharmacy support</v>
      </c>
      <c r="C60" s="241"/>
      <c r="D60" s="505">
        <f>'Capacity (local prices)'!E18-'Capacity (local prices)'!$D18</f>
        <v>0</v>
      </c>
      <c r="E60" s="505">
        <f>'Capacity (local prices)'!F18-'Capacity (local prices)'!$D18</f>
        <v>0</v>
      </c>
      <c r="F60" s="505">
        <f>'Capacity (local prices)'!G18-'Capacity (local prices)'!$D18</f>
        <v>0</v>
      </c>
      <c r="G60" s="505">
        <f>'Capacity (local prices)'!H18-'Capacity (local prices)'!$D18</f>
        <v>0</v>
      </c>
      <c r="H60" s="505">
        <f>'Capacity (local prices)'!I18-'Capacity (local prices)'!$D18</f>
        <v>0</v>
      </c>
      <c r="I60" s="121"/>
      <c r="J60" s="121"/>
    </row>
    <row r="61" spans="2:10" x14ac:dyDescent="0.3">
      <c r="B61" s="236" t="str">
        <f>'Capacity (local prices)'!B19</f>
        <v>Pharmacy support - hours</v>
      </c>
      <c r="C61" s="241"/>
      <c r="D61" s="505">
        <f>'Capacity (local prices)'!E19-'Capacity (local prices)'!$D19</f>
        <v>0</v>
      </c>
      <c r="E61" s="505">
        <f>'Capacity (local prices)'!F19-'Capacity (local prices)'!$D19</f>
        <v>0</v>
      </c>
      <c r="F61" s="505">
        <f>'Capacity (local prices)'!G19-'Capacity (local prices)'!$D19</f>
        <v>0</v>
      </c>
      <c r="G61" s="505">
        <f>'Capacity (local prices)'!H19-'Capacity (local prices)'!$D19</f>
        <v>0</v>
      </c>
      <c r="H61" s="505">
        <f>'Capacity (local prices)'!I19-'Capacity (local prices)'!$D19</f>
        <v>0</v>
      </c>
      <c r="I61" s="121"/>
      <c r="J61" s="121"/>
    </row>
    <row r="62" spans="2:10" x14ac:dyDescent="0.3">
      <c r="I62" s="121"/>
      <c r="J62" s="121"/>
    </row>
    <row r="63" spans="2:10" x14ac:dyDescent="0.3">
      <c r="I63" s="121"/>
      <c r="J63" s="121"/>
    </row>
    <row r="64" spans="2:10" x14ac:dyDescent="0.3">
      <c r="B64" s="234" t="s">
        <v>2156</v>
      </c>
      <c r="C64" s="235"/>
      <c r="D64" s="228"/>
      <c r="E64" s="228"/>
      <c r="F64" s="228"/>
      <c r="G64" s="228"/>
      <c r="H64" s="229"/>
      <c r="I64" s="121"/>
      <c r="J64" s="121"/>
    </row>
    <row r="65" spans="2:14" x14ac:dyDescent="0.3">
      <c r="B65" s="236" t="str">
        <f>'Capacity (local prices)'!B20</f>
        <v>ECG</v>
      </c>
      <c r="C65" s="237"/>
      <c r="D65" s="505">
        <f>'Capacity (local prices)'!E20-'Capacity (local prices)'!$D20</f>
        <v>6884.409021273018</v>
      </c>
      <c r="E65" s="505">
        <f>'Capacity (local prices)'!F20-'Capacity (local prices)'!$D20</f>
        <v>7937.0612779279681</v>
      </c>
      <c r="F65" s="505">
        <f>'Capacity (local prices)'!G20-'Capacity (local prices)'!$D20</f>
        <v>8674.0707633694346</v>
      </c>
      <c r="G65" s="505">
        <f>'Capacity (local prices)'!H20-'Capacity (local prices)'!$D20</f>
        <v>8750.3229535835999</v>
      </c>
      <c r="H65" s="505">
        <f>'Capacity (local prices)'!I20-'Capacity (local prices)'!$D20</f>
        <v>8827.2454630366865</v>
      </c>
      <c r="I65" s="121"/>
      <c r="J65" s="121"/>
    </row>
    <row r="66" spans="2:14" x14ac:dyDescent="0.3">
      <c r="B66" s="236" t="str">
        <f>'Capacity (local prices)'!B21</f>
        <v>ECG - hours</v>
      </c>
      <c r="C66" s="237"/>
      <c r="D66" s="505">
        <f>'Capacity (local prices)'!E21-'Capacity (local prices)'!$D21</f>
        <v>2294.8030070910058</v>
      </c>
      <c r="E66" s="505">
        <f>'Capacity (local prices)'!F21-'Capacity (local prices)'!$D21</f>
        <v>2645.6870926426559</v>
      </c>
      <c r="F66" s="505">
        <f>'Capacity (local prices)'!G21-'Capacity (local prices)'!$D21</f>
        <v>2891.3569211231447</v>
      </c>
      <c r="G66" s="505">
        <f>'Capacity (local prices)'!H21-'Capacity (local prices)'!$D21</f>
        <v>2916.7743178612</v>
      </c>
      <c r="H66" s="505">
        <f>'Capacity (local prices)'!I21-'Capacity (local prices)'!$D21</f>
        <v>2942.4151543455619</v>
      </c>
      <c r="I66" s="121"/>
      <c r="J66" s="121"/>
    </row>
    <row r="67" spans="2:14" x14ac:dyDescent="0.3">
      <c r="B67" s="236" t="str">
        <f>'Capacity (local prices)'!B22</f>
        <v>Blood count</v>
      </c>
      <c r="C67" s="237"/>
      <c r="D67" s="505">
        <f>'Capacity (local prices)'!E22-'Capacity (local prices)'!$D22</f>
        <v>29523.703961834646</v>
      </c>
      <c r="E67" s="505">
        <f>'Capacity (local prices)'!F22-'Capacity (local prices)'!$D22</f>
        <v>31619.083846345493</v>
      </c>
      <c r="F67" s="505">
        <f>'Capacity (local prices)'!G22-'Capacity (local prices)'!$D22</f>
        <v>33413.075024463775</v>
      </c>
      <c r="G67" s="505">
        <f>'Capacity (local prices)'!H22-'Capacity (local prices)'!$D22</f>
        <v>33971.768956609863</v>
      </c>
      <c r="H67" s="505">
        <f>'Capacity (local prices)'!I22-'Capacity (local prices)'!$D22</f>
        <v>34535.37426625652</v>
      </c>
      <c r="I67" s="121"/>
      <c r="J67" s="121"/>
    </row>
    <row r="68" spans="2:14" x14ac:dyDescent="0.3">
      <c r="B68" s="236" t="str">
        <f>'Capacity (local prices)'!B23</f>
        <v>Blood count - hours</v>
      </c>
      <c r="C68" s="237"/>
      <c r="D68" s="505">
        <f>'Capacity (local prices)'!E23-'Capacity (local prices)'!$D23</f>
        <v>9841.2346539448808</v>
      </c>
      <c r="E68" s="505">
        <f>'Capacity (local prices)'!F23-'Capacity (local prices)'!$D23</f>
        <v>10539.694615448498</v>
      </c>
      <c r="F68" s="505">
        <f>'Capacity (local prices)'!G23-'Capacity (local prices)'!$D23</f>
        <v>11137.691674821257</v>
      </c>
      <c r="G68" s="505">
        <f>'Capacity (local prices)'!H23-'Capacity (local prices)'!$D23</f>
        <v>11323.922985536621</v>
      </c>
      <c r="H68" s="505">
        <f>'Capacity (local prices)'!I23-'Capacity (local prices)'!$D23</f>
        <v>11511.791422085505</v>
      </c>
      <c r="I68" s="121"/>
      <c r="J68" s="121"/>
    </row>
    <row r="69" spans="2:14" x14ac:dyDescent="0.3">
      <c r="B69" s="236" t="str">
        <f>'Capacity (local prices)'!B24</f>
        <v>Liver function tests</v>
      </c>
      <c r="C69" s="237"/>
      <c r="D69" s="505">
        <f>'Capacity (local prices)'!E24-'Capacity (local prices)'!$D24</f>
        <v>29523.703961834646</v>
      </c>
      <c r="E69" s="505">
        <f>'Capacity (local prices)'!F24-'Capacity (local prices)'!$D24</f>
        <v>31619.083846345493</v>
      </c>
      <c r="F69" s="505">
        <f>'Capacity (local prices)'!G24-'Capacity (local prices)'!$D24</f>
        <v>33413.075024463775</v>
      </c>
      <c r="G69" s="505">
        <f>'Capacity (local prices)'!H24-'Capacity (local prices)'!$D24</f>
        <v>33971.768956609863</v>
      </c>
      <c r="H69" s="505">
        <f>'Capacity (local prices)'!I24-'Capacity (local prices)'!$D24</f>
        <v>34535.37426625652</v>
      </c>
      <c r="I69" s="121"/>
      <c r="J69" s="121"/>
    </row>
    <row r="70" spans="2:14" x14ac:dyDescent="0.3">
      <c r="B70" s="236" t="str">
        <f>'Capacity (local prices)'!B25</f>
        <v>Liver function tests - hours</v>
      </c>
      <c r="C70" s="237"/>
      <c r="D70" s="505">
        <f>'Capacity (local prices)'!E25-'Capacity (local prices)'!$D25</f>
        <v>9841.2346539448808</v>
      </c>
      <c r="E70" s="505">
        <f>'Capacity (local prices)'!F25-'Capacity (local prices)'!$D25</f>
        <v>10539.694615448498</v>
      </c>
      <c r="F70" s="505">
        <f>'Capacity (local prices)'!G25-'Capacity (local prices)'!$D25</f>
        <v>11137.691674821257</v>
      </c>
      <c r="G70" s="505">
        <f>'Capacity (local prices)'!H25-'Capacity (local prices)'!$D25</f>
        <v>11323.922985536621</v>
      </c>
      <c r="H70" s="505">
        <f>'Capacity (local prices)'!I25-'Capacity (local prices)'!$D25</f>
        <v>11511.791422085505</v>
      </c>
      <c r="I70" s="121"/>
      <c r="J70" s="121"/>
    </row>
    <row r="71" spans="2:14" x14ac:dyDescent="0.3">
      <c r="B71" s="236" t="str">
        <f>'Capacity (local prices)'!B26</f>
        <v>Serum electrolytes tests</v>
      </c>
      <c r="C71" s="237"/>
      <c r="D71" s="505">
        <f>'Capacity (local prices)'!E26-'Capacity (local prices)'!$D26</f>
        <v>24095.431574455564</v>
      </c>
      <c r="E71" s="505">
        <f>'Capacity (local prices)'!F26-'Capacity (local prices)'!$D26</f>
        <v>27779.714472747888</v>
      </c>
      <c r="F71" s="505">
        <f>'Capacity (local prices)'!G26-'Capacity (local prices)'!$D26</f>
        <v>30359.247671793022</v>
      </c>
      <c r="G71" s="505">
        <f>'Capacity (local prices)'!H26-'Capacity (local prices)'!$D26</f>
        <v>30626.1303375426</v>
      </c>
      <c r="H71" s="505">
        <f>'Capacity (local prices)'!I26-'Capacity (local prices)'!$D26</f>
        <v>30895.359120628404</v>
      </c>
      <c r="I71" s="121"/>
      <c r="J71" s="121"/>
    </row>
    <row r="72" spans="2:14" x14ac:dyDescent="0.3">
      <c r="B72" s="236" t="str">
        <f>'Capacity (local prices)'!B27</f>
        <v>Serum electrolytes tests - hours</v>
      </c>
      <c r="C72" s="237"/>
      <c r="D72" s="505">
        <f>'Capacity (local prices)'!E27-'Capacity (local prices)'!$D27</f>
        <v>8031.8105248185211</v>
      </c>
      <c r="E72" s="505">
        <f>'Capacity (local prices)'!F27-'Capacity (local prices)'!$D27</f>
        <v>9259.9048242492954</v>
      </c>
      <c r="F72" s="505">
        <f>'Capacity (local prices)'!G27-'Capacity (local prices)'!$D27</f>
        <v>10119.749223931007</v>
      </c>
      <c r="G72" s="505">
        <f>'Capacity (local prices)'!H27-'Capacity (local prices)'!$D27</f>
        <v>10208.7101125142</v>
      </c>
      <c r="H72" s="505">
        <f>'Capacity (local prices)'!I27-'Capacity (local prices)'!$D27</f>
        <v>10298.453040209468</v>
      </c>
      <c r="I72" s="121"/>
      <c r="J72" s="121"/>
    </row>
    <row r="73" spans="2:14" x14ac:dyDescent="0.3">
      <c r="I73" s="121"/>
      <c r="J73" s="121"/>
    </row>
    <row r="74" spans="2:14" x14ac:dyDescent="0.3">
      <c r="B74" s="234" t="s">
        <v>2157</v>
      </c>
      <c r="C74" s="232"/>
      <c r="D74" s="228"/>
      <c r="E74" s="228"/>
      <c r="F74" s="228"/>
      <c r="G74" s="228"/>
      <c r="H74" s="229"/>
      <c r="I74" s="121"/>
      <c r="J74" s="121"/>
    </row>
    <row r="75" spans="2:14" x14ac:dyDescent="0.3">
      <c r="B75" s="236" t="s">
        <v>2158</v>
      </c>
      <c r="C75" s="237"/>
      <c r="D75" s="505">
        <f>Events!J23</f>
        <v>0</v>
      </c>
      <c r="E75" s="505">
        <f>Events!K23</f>
        <v>0</v>
      </c>
      <c r="F75" s="505">
        <f>Events!L23</f>
        <v>0</v>
      </c>
      <c r="G75" s="505">
        <f>Events!M23</f>
        <v>0</v>
      </c>
      <c r="H75" s="505">
        <f>Events!N23</f>
        <v>0</v>
      </c>
      <c r="I75" s="121"/>
      <c r="J75" s="121"/>
    </row>
    <row r="76" spans="2:14" x14ac:dyDescent="0.3">
      <c r="B76" s="240"/>
      <c r="C76" s="240"/>
      <c r="D76" s="227"/>
      <c r="E76" s="227"/>
      <c r="F76" s="227"/>
      <c r="G76" s="227"/>
      <c r="H76" s="227"/>
      <c r="I76" s="121"/>
      <c r="J76" s="121"/>
    </row>
    <row r="78" spans="2:14" x14ac:dyDescent="0.3">
      <c r="D78" s="900"/>
      <c r="E78" s="901"/>
      <c r="F78" s="901"/>
      <c r="G78" s="901"/>
      <c r="H78" s="901"/>
      <c r="I78" s="901"/>
      <c r="J78" s="901"/>
      <c r="K78" s="901"/>
      <c r="L78" s="901"/>
      <c r="M78" s="901"/>
      <c r="N78" s="901"/>
    </row>
    <row r="79" spans="2:14" x14ac:dyDescent="0.3">
      <c r="D79" s="901"/>
      <c r="E79" s="901"/>
      <c r="F79" s="901"/>
      <c r="G79" s="901"/>
      <c r="H79" s="901"/>
      <c r="I79" s="901"/>
      <c r="J79" s="901"/>
      <c r="K79" s="901"/>
      <c r="L79" s="901"/>
      <c r="M79" s="901"/>
      <c r="N79" s="901"/>
    </row>
    <row r="80" spans="2:14" x14ac:dyDescent="0.3">
      <c r="D80" s="900"/>
      <c r="E80" s="901"/>
      <c r="F80" s="901"/>
      <c r="G80" s="901"/>
      <c r="H80" s="901"/>
      <c r="I80" s="901"/>
      <c r="J80" s="901"/>
      <c r="K80" s="901"/>
      <c r="L80" s="901"/>
      <c r="M80" s="901"/>
      <c r="N80" s="901"/>
    </row>
  </sheetData>
  <sheetProtection algorithmName="SHA-512" hashValue="pXAIjkGW1iLBK9oL9p4By5dRsYf3NV835+8VCrVIJsPH3g/nohXCATA3xf2UsfbFGdhImvMKaovscyFbj7lh3g==" saltValue="P8MIxprzxihD4+0e1Ssxbw==" spinCount="100000" sheet="1" objects="1" scenarios="1"/>
  <mergeCells count="2">
    <mergeCell ref="D78:N79"/>
    <mergeCell ref="D80:N80"/>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68f19371-ebe6-4483-8e72-73d36cd7064e">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465a54fe-435b-4423-8fe2-c9a3626b31f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300E5E64B980D458C754FFE05DEE26D" ma:contentTypeVersion="14" ma:contentTypeDescription="Create a new document." ma:contentTypeScope="" ma:versionID="f78310159b0f27a42e682338795735e9">
  <xsd:schema xmlns:xsd="http://www.w3.org/2001/XMLSchema" xmlns:xs="http://www.w3.org/2001/XMLSchema" xmlns:p="http://schemas.microsoft.com/office/2006/metadata/properties" xmlns:ns2="465a54fe-435b-4423-8fe2-c9a3626b31f7" xmlns:ns3="68f19371-ebe6-4483-8e72-73d36cd7064e" xmlns:ns4="0eb656aa-4e79-4e95-9076-bc119a23e0cc" targetNamespace="http://schemas.microsoft.com/office/2006/metadata/properties" ma:root="true" ma:fieldsID="765de26ca07c7885e20a9dbe2f39136c" ns2:_="" ns3:_="" ns4:_="">
    <xsd:import namespace="465a54fe-435b-4423-8fe2-c9a3626b31f7"/>
    <xsd:import namespace="68f19371-ebe6-4483-8e72-73d36cd7064e"/>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5a54fe-435b-4423-8fe2-c9a3626b31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8f19371-ebe6-4483-8e72-73d36cd7064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0e42d3c-36aa-4c3f-b247-5f0653b84abb}" ma:internalName="TaxCatchAll" ma:showField="CatchAllData" ma:web="68f19371-ebe6-4483-8e72-73d36cd706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purl.org/dc/dcmitype/"/>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68f19371-ebe6-4483-8e72-73d36cd7064e"/>
    <ds:schemaRef ds:uri="http://schemas.microsoft.com/office/2006/documentManagement/types"/>
    <ds:schemaRef ds:uri="0eb656aa-4e79-4e95-9076-bc119a23e0cc"/>
    <ds:schemaRef ds:uri="465a54fe-435b-4423-8fe2-c9a3626b31f7"/>
    <ds:schemaRef ds:uri="http://purl.org/dc/terms/"/>
    <ds:schemaRef ds:uri="http://purl.org/dc/elements/1.1/"/>
  </ds:schemaRefs>
</ds:datastoreItem>
</file>

<file path=customXml/itemProps2.xml><?xml version="1.0" encoding="utf-8"?>
<ds:datastoreItem xmlns:ds="http://schemas.openxmlformats.org/officeDocument/2006/customXml" ds:itemID="{A73F8FD0-15FA-4775-B85E-D4CB425570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5a54fe-435b-4423-8fe2-c9a3626b31f7"/>
    <ds:schemaRef ds:uri="68f19371-ebe6-4483-8e72-73d36cd7064e"/>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TA1086 Ribociclib with an aromatase inhibitor for adjuvant treatment of hormone receptor-positive HER2-negative early breast cancer at high risk of recurrence: Resource impact template 06/08/2025</dc:title>
  <dc:subject/>
  <dc:creator/>
  <cp:keywords/>
  <dc:description/>
  <cp:lastModifiedBy/>
  <cp:revision/>
  <dcterms:created xsi:type="dcterms:W3CDTF">2022-07-27T12:38:28Z</dcterms:created>
  <dcterms:modified xsi:type="dcterms:W3CDTF">2025-07-29T10:46:09Z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0x0101003300E5E64B980D458C754FFE05DEE26D</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