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13_ncr:1_{47104106-9A46-4AFB-9202-A2E40D92796E}" xr6:coauthVersionLast="47" xr6:coauthVersionMax="47" xr10:uidLastSave="{00000000-0000-0000-0000-000000000000}"/>
  <bookViews>
    <workbookView xWindow="-108" yWindow="-108" windowWidth="23256" windowHeight="12456" tabRatio="933" xr2:uid="{00000000-000D-0000-FFFF-FFFF00000000}"/>
  </bookViews>
  <sheets>
    <sheet name="Cover" sheetId="38" r:id="rId1"/>
    <sheet name="Population selection" sheetId="32" state="hidden" r:id="rId2"/>
    <sheet name="Uptake phasing" sheetId="58" state="hidden" r:id="rId3"/>
    <sheet name="Contents" sheetId="54" r:id="rId4"/>
    <sheet name="Inputs and population" sheetId="50" r:id="rId5"/>
    <sheet name="Capacity inputs" sheetId="61" r:id="rId6"/>
    <sheet name="Events" sheetId="62" state="hidden"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1"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0">'[2]Population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prices)'!$B$1:$S$148</definedName>
    <definedName name="_xlnm.Print_Area" localSheetId="11">'Capacity (national prices)'!$B$1:$S$117</definedName>
    <definedName name="_xlnm.Print_Area" localSheetId="5">'Capacity inputs'!$A$2:$O$34</definedName>
    <definedName name="_xlnm.Print_Area" localSheetId="3">Contents!$A$1:$T$26</definedName>
    <definedName name="_xlnm.Print_Area" localSheetId="0">Cover!$A$1:$C$24</definedName>
    <definedName name="_xlnm.Print_Area" localSheetId="9">'Financial impact (cash)'!$B$1:$J$28</definedName>
    <definedName name="_xlnm.Print_Area" localSheetId="4">'Inputs and population'!$A$2:$Q$82</definedName>
    <definedName name="_xlnm.Print_Area" localSheetId="1">'Population selection'!$B$11:$J$17</definedName>
    <definedName name="_xlnm.Print_Area" localSheetId="8">Summary!$B$1:$K$71</definedName>
    <definedName name="_xlnm.Print_Area" localSheetId="7">'Unit costs'!$B$1:$S$127</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7" i="50" l="1"/>
  <c r="C85" i="46"/>
  <c r="C84" i="46"/>
  <c r="C104" i="56"/>
  <c r="C103" i="56"/>
  <c r="C102" i="56"/>
  <c r="C101" i="56"/>
  <c r="C76" i="56"/>
  <c r="B76" i="56"/>
  <c r="C75" i="56"/>
  <c r="B75" i="56"/>
  <c r="C74" i="56"/>
  <c r="C73" i="56"/>
  <c r="C72" i="56"/>
  <c r="C71" i="56"/>
  <c r="C74" i="46"/>
  <c r="C72" i="46"/>
  <c r="C71" i="46"/>
  <c r="B82" i="46"/>
  <c r="N17" i="61"/>
  <c r="C104" i="46"/>
  <c r="C103" i="46"/>
  <c r="C102" i="46"/>
  <c r="C101" i="46"/>
  <c r="C76" i="46"/>
  <c r="C75" i="46"/>
  <c r="I39" i="50"/>
  <c r="H39" i="50"/>
  <c r="G39" i="50"/>
  <c r="F39" i="50"/>
  <c r="E39" i="50"/>
  <c r="D39" i="50"/>
  <c r="L79" i="59" l="1"/>
  <c r="O86" i="59" s="1"/>
  <c r="C92" i="56"/>
  <c r="C83" i="56"/>
  <c r="B17" i="56"/>
  <c r="B16" i="56"/>
  <c r="B15" i="56"/>
  <c r="B17" i="46"/>
  <c r="B16" i="46"/>
  <c r="B15" i="46"/>
  <c r="C92" i="46"/>
  <c r="C83" i="46"/>
  <c r="C73" i="46"/>
  <c r="N15" i="61" l="1"/>
  <c r="N16" i="61"/>
  <c r="N18" i="61"/>
  <c r="N19" i="61"/>
  <c r="N20" i="61"/>
  <c r="N21" i="61"/>
  <c r="N14" i="61"/>
  <c r="C42" i="56" l="1"/>
  <c r="C42" i="46"/>
  <c r="O79" i="59" l="1"/>
  <c r="C82" i="46" l="1"/>
  <c r="C82" i="56"/>
  <c r="C112" i="46"/>
  <c r="C91" i="56" l="1"/>
  <c r="C91" i="46"/>
  <c r="I57" i="50"/>
  <c r="I44" i="59"/>
  <c r="B44" i="59"/>
  <c r="C44" i="59"/>
  <c r="D44" i="59"/>
  <c r="E44" i="59"/>
  <c r="F44" i="59"/>
  <c r="H44" i="59"/>
  <c r="K44" i="59"/>
  <c r="L44" i="59"/>
  <c r="O44" i="59"/>
  <c r="P44" i="59"/>
  <c r="O27" i="59"/>
  <c r="P27" i="59"/>
  <c r="L27" i="59"/>
  <c r="O34" i="59" s="1"/>
  <c r="E27" i="59"/>
  <c r="F27" i="59"/>
  <c r="H27" i="59"/>
  <c r="J27" i="59" s="1"/>
  <c r="E10" i="59" l="1"/>
  <c r="E9" i="59"/>
  <c r="G9" i="59"/>
  <c r="G10" i="59"/>
  <c r="M44" i="59"/>
  <c r="J55" i="50" l="1"/>
  <c r="K27" i="59" s="1"/>
  <c r="H59" i="50"/>
  <c r="H58" i="50"/>
  <c r="H57" i="50"/>
  <c r="G44" i="59" s="1"/>
  <c r="J44" i="59" s="1"/>
  <c r="N44" i="59" s="1"/>
  <c r="Q44" i="59" s="1"/>
  <c r="H56" i="50"/>
  <c r="H55" i="50"/>
  <c r="G27" i="59" s="1"/>
  <c r="N34" i="59" l="1"/>
  <c r="Q34" i="59" s="1"/>
  <c r="M27" i="59"/>
  <c r="N27" i="59" s="1"/>
  <c r="Q27" i="59" s="1"/>
  <c r="L13" i="57" l="1"/>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3" i="57"/>
  <c r="L44" i="57"/>
  <c r="L45" i="57"/>
  <c r="L46" i="57"/>
  <c r="L47" i="57"/>
  <c r="J44" i="57"/>
  <c r="J43" i="57"/>
  <c r="J42" i="57"/>
  <c r="L42" i="57" s="1"/>
  <c r="L12" i="57"/>
  <c r="B14" i="32"/>
  <c r="N7" i="32"/>
  <c r="C1337" i="32"/>
  <c r="C1338" i="32"/>
  <c r="C1339" i="32"/>
  <c r="C1340" i="32"/>
  <c r="I1337" i="32"/>
  <c r="D1337" i="32"/>
  <c r="J1337" i="32"/>
  <c r="E1337" i="32"/>
  <c r="G1337" i="32"/>
  <c r="H1337" i="32"/>
  <c r="F1337" i="32"/>
  <c r="K1337" i="32"/>
  <c r="L1337" i="32"/>
  <c r="I1338" i="32"/>
  <c r="D1338" i="32"/>
  <c r="J1338" i="32"/>
  <c r="E1338" i="32"/>
  <c r="G1338" i="32"/>
  <c r="H1338" i="32"/>
  <c r="F1338" i="32"/>
  <c r="K1338" i="32"/>
  <c r="L1338" i="32"/>
  <c r="I1339" i="32"/>
  <c r="D1339" i="32"/>
  <c r="J1339" i="32"/>
  <c r="E1339" i="32"/>
  <c r="G1339" i="32"/>
  <c r="H1339" i="32"/>
  <c r="F1339" i="32"/>
  <c r="K1339" i="32"/>
  <c r="L1339" i="32"/>
  <c r="I1340" i="32"/>
  <c r="D1340" i="32"/>
  <c r="J1340" i="32"/>
  <c r="E1340" i="32"/>
  <c r="G1340" i="32"/>
  <c r="H1340" i="32"/>
  <c r="F1340" i="32"/>
  <c r="K1340" i="32"/>
  <c r="L1340" i="32"/>
  <c r="C1341" i="32"/>
  <c r="I1341" i="32"/>
  <c r="D1341" i="32"/>
  <c r="J1341" i="32"/>
  <c r="E1341" i="32"/>
  <c r="G1341" i="32"/>
  <c r="H1341" i="32"/>
  <c r="F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D1379" i="32"/>
  <c r="E1379" i="32"/>
  <c r="F1379" i="32"/>
  <c r="G1379" i="32"/>
  <c r="H1379" i="32"/>
  <c r="I1379" i="32"/>
  <c r="J1379" i="32"/>
  <c r="K1379" i="32"/>
  <c r="L1379" i="32"/>
  <c r="E18" i="50"/>
  <c r="E1784" i="32"/>
  <c r="D1784" i="32"/>
  <c r="C145" i="46"/>
  <c r="C144" i="46"/>
  <c r="C143" i="46"/>
  <c r="C142" i="46"/>
  <c r="C141" i="46"/>
  <c r="B145" i="46"/>
  <c r="B144" i="46"/>
  <c r="B143" i="46"/>
  <c r="B142" i="46"/>
  <c r="B141" i="46"/>
  <c r="C135" i="46"/>
  <c r="C134" i="46"/>
  <c r="C133" i="46"/>
  <c r="C132" i="46"/>
  <c r="C131" i="46"/>
  <c r="B135" i="46"/>
  <c r="B134" i="46"/>
  <c r="B133" i="46"/>
  <c r="B132" i="46"/>
  <c r="B131" i="46"/>
  <c r="C125" i="46"/>
  <c r="C124" i="46"/>
  <c r="C123" i="46"/>
  <c r="C122" i="46"/>
  <c r="C121" i="46"/>
  <c r="B125" i="46"/>
  <c r="B124" i="46"/>
  <c r="B123" i="46"/>
  <c r="B122" i="46"/>
  <c r="B121" i="46"/>
  <c r="C114" i="56"/>
  <c r="C113" i="56"/>
  <c r="C112" i="56"/>
  <c r="C111" i="56"/>
  <c r="B114" i="56"/>
  <c r="B113" i="56"/>
  <c r="B112" i="56"/>
  <c r="B111" i="56"/>
  <c r="C114" i="46"/>
  <c r="C113" i="46"/>
  <c r="C111" i="46"/>
  <c r="B114" i="46"/>
  <c r="B113" i="46"/>
  <c r="B112" i="46"/>
  <c r="B111" i="46"/>
  <c r="B104" i="56"/>
  <c r="B103" i="56"/>
  <c r="B102" i="56"/>
  <c r="B101" i="56"/>
  <c r="B104" i="46"/>
  <c r="B103" i="46"/>
  <c r="B102" i="46"/>
  <c r="B101" i="46"/>
  <c r="C94" i="56"/>
  <c r="C93" i="56"/>
  <c r="C85" i="56"/>
  <c r="C84" i="56"/>
  <c r="B85" i="56"/>
  <c r="B93" i="56"/>
  <c r="B92" i="56"/>
  <c r="B91" i="56"/>
  <c r="C94" i="46"/>
  <c r="B76" i="46"/>
  <c r="B85" i="46" s="1"/>
  <c r="B94" i="46" s="1"/>
  <c r="B75" i="46"/>
  <c r="B84" i="46" s="1"/>
  <c r="B93" i="46" s="1"/>
  <c r="B83" i="46"/>
  <c r="B92" i="46" s="1"/>
  <c r="B91" i="46"/>
  <c r="K64" i="56"/>
  <c r="C64" i="56"/>
  <c r="C63" i="56"/>
  <c r="C62" i="56"/>
  <c r="C55" i="56"/>
  <c r="C54" i="56"/>
  <c r="C53" i="56"/>
  <c r="C52" i="56"/>
  <c r="B55" i="56"/>
  <c r="B64" i="56" s="1"/>
  <c r="B54" i="56"/>
  <c r="B63" i="56" s="1"/>
  <c r="B62" i="56"/>
  <c r="B61" i="56"/>
  <c r="C64" i="46"/>
  <c r="C55" i="46"/>
  <c r="B54" i="46"/>
  <c r="B63" i="46" s="1"/>
  <c r="B55" i="46"/>
  <c r="B64" i="46" s="1"/>
  <c r="B36" i="56"/>
  <c r="B45" i="56" s="1"/>
  <c r="B35" i="56"/>
  <c r="B44" i="56" s="1"/>
  <c r="B34" i="56"/>
  <c r="B43" i="56" s="1"/>
  <c r="B33" i="56"/>
  <c r="B42" i="56" s="1"/>
  <c r="B36" i="46"/>
  <c r="B45" i="46" s="1"/>
  <c r="B35" i="46"/>
  <c r="B44" i="46" s="1"/>
  <c r="B34" i="46"/>
  <c r="B43" i="46" s="1"/>
  <c r="B33" i="46"/>
  <c r="B42" i="46" s="1"/>
  <c r="C45" i="56"/>
  <c r="C44" i="56"/>
  <c r="C43" i="56"/>
  <c r="C36" i="56"/>
  <c r="C35" i="56"/>
  <c r="C34" i="56"/>
  <c r="C33" i="56"/>
  <c r="C45" i="46"/>
  <c r="C44" i="46"/>
  <c r="C43" i="46"/>
  <c r="C36" i="46"/>
  <c r="C35" i="46"/>
  <c r="C34" i="46"/>
  <c r="C33" i="46"/>
  <c r="O18" i="59"/>
  <c r="O17" i="59"/>
  <c r="O16" i="59"/>
  <c r="O15" i="59"/>
  <c r="O14" i="59"/>
  <c r="K18" i="59"/>
  <c r="K17" i="59"/>
  <c r="K16" i="59"/>
  <c r="K15" i="59"/>
  <c r="K14" i="59"/>
  <c r="Q95" i="59"/>
  <c r="P95" i="59"/>
  <c r="M95" i="59"/>
  <c r="H95" i="59"/>
  <c r="K95" i="59" s="1"/>
  <c r="F95" i="59"/>
  <c r="E95" i="59"/>
  <c r="D95" i="59"/>
  <c r="C95" i="59"/>
  <c r="B95" i="59"/>
  <c r="P79" i="59"/>
  <c r="Q86" i="59"/>
  <c r="K79" i="59"/>
  <c r="H79" i="59"/>
  <c r="J79" i="59" s="1"/>
  <c r="F79" i="59"/>
  <c r="E79" i="59"/>
  <c r="D79" i="59"/>
  <c r="C79" i="59"/>
  <c r="B79" i="59"/>
  <c r="F16" i="62"/>
  <c r="G16" i="62"/>
  <c r="L95" i="59"/>
  <c r="G95" i="59"/>
  <c r="G79" i="59"/>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H26" i="59"/>
  <c r="J26" i="59" s="1"/>
  <c r="H54" i="50"/>
  <c r="G26" i="59" s="1"/>
  <c r="D16" i="62"/>
  <c r="E16" i="62"/>
  <c r="C16" i="62"/>
  <c r="B1" i="62"/>
  <c r="O64" i="59"/>
  <c r="O43" i="59"/>
  <c r="O26" i="59"/>
  <c r="L64" i="59"/>
  <c r="O71" i="59" s="1"/>
  <c r="Q71" i="59" s="1"/>
  <c r="L43" i="59"/>
  <c r="L26" i="59"/>
  <c r="O33" i="59" s="1"/>
  <c r="K64" i="59"/>
  <c r="K43" i="59"/>
  <c r="J54" i="50"/>
  <c r="K26" i="59" s="1"/>
  <c r="H64" i="59"/>
  <c r="J64" i="59" s="1"/>
  <c r="H9" i="59" s="1"/>
  <c r="H43" i="59"/>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N18" i="59"/>
  <c r="M18" i="59"/>
  <c r="N17" i="59"/>
  <c r="M17" i="59"/>
  <c r="N16" i="59"/>
  <c r="M16" i="59"/>
  <c r="J16" i="59"/>
  <c r="I16" i="59"/>
  <c r="J17" i="59"/>
  <c r="I17" i="59"/>
  <c r="J18" i="59"/>
  <c r="I18" i="59"/>
  <c r="H18" i="59"/>
  <c r="H17" i="59"/>
  <c r="H16" i="59"/>
  <c r="B26" i="59"/>
  <c r="B43" i="59"/>
  <c r="B64" i="59"/>
  <c r="F64" i="59"/>
  <c r="E64" i="59"/>
  <c r="D64" i="59"/>
  <c r="C64" i="59"/>
  <c r="F43" i="59"/>
  <c r="E43" i="59"/>
  <c r="D43" i="59"/>
  <c r="C43" i="59"/>
  <c r="F26" i="59"/>
  <c r="E26" i="59"/>
  <c r="D26" i="59"/>
  <c r="C26" i="59"/>
  <c r="G64" i="59"/>
  <c r="G43" i="59"/>
  <c r="C93" i="46"/>
  <c r="C26" i="50"/>
  <c r="K42" i="56"/>
  <c r="K33" i="56"/>
  <c r="K111" i="56"/>
  <c r="K113" i="56" s="1"/>
  <c r="K63" i="56"/>
  <c r="K62" i="56"/>
  <c r="K61" i="56"/>
  <c r="C63" i="46"/>
  <c r="C62" i="46"/>
  <c r="C11" i="46"/>
  <c r="E19" i="50"/>
  <c r="N15" i="59"/>
  <c r="M15" i="59"/>
  <c r="M14" i="59"/>
  <c r="N14" i="59"/>
  <c r="C26" i="56"/>
  <c r="B26" i="56"/>
  <c r="C26" i="46"/>
  <c r="B26" i="46"/>
  <c r="B67" i="47" s="1"/>
  <c r="C24" i="56"/>
  <c r="B24" i="56"/>
  <c r="C24" i="46"/>
  <c r="B24" i="46"/>
  <c r="B65" i="47" s="1"/>
  <c r="C22" i="56"/>
  <c r="B22" i="56"/>
  <c r="C22" i="46"/>
  <c r="B22" i="46"/>
  <c r="B63" i="47" s="1"/>
  <c r="B59" i="47"/>
  <c r="B19" i="56"/>
  <c r="B19" i="46"/>
  <c r="B55" i="47" s="1"/>
  <c r="B51" i="47"/>
  <c r="B50" i="47"/>
  <c r="B49" i="47"/>
  <c r="C54" i="46"/>
  <c r="C53" i="46"/>
  <c r="C52" i="46"/>
  <c r="C13" i="56"/>
  <c r="B13" i="56"/>
  <c r="C13" i="46"/>
  <c r="B13" i="46"/>
  <c r="B45" i="47" s="1"/>
  <c r="B12" i="46"/>
  <c r="B44" i="47" s="1"/>
  <c r="C11" i="56"/>
  <c r="B11" i="56"/>
  <c r="B10" i="56"/>
  <c r="B11" i="46"/>
  <c r="B43" i="47" s="1"/>
  <c r="B10" i="46"/>
  <c r="B42" i="47" s="1"/>
  <c r="B1" i="61"/>
  <c r="J15" i="59"/>
  <c r="J14" i="59"/>
  <c r="I15" i="59"/>
  <c r="I14" i="59"/>
  <c r="H15" i="59"/>
  <c r="H14" i="59"/>
  <c r="P64" i="59"/>
  <c r="P43" i="59"/>
  <c r="P26" i="59"/>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E47" i="57"/>
  <c r="H47" i="57" s="1"/>
  <c r="D47" i="57"/>
  <c r="D46" i="57"/>
  <c r="E46" i="57"/>
  <c r="E45" i="57"/>
  <c r="G45" i="57" s="1"/>
  <c r="D45" i="57"/>
  <c r="H44" i="57"/>
  <c r="E44" i="57"/>
  <c r="G44" i="57" s="1"/>
  <c r="I44" i="57" s="1"/>
  <c r="M44" i="57" s="1"/>
  <c r="F44" i="57"/>
  <c r="D44" i="57"/>
  <c r="E43" i="57"/>
  <c r="G43" i="57" s="1"/>
  <c r="F43" i="57"/>
  <c r="D43" i="57"/>
  <c r="H43" i="57"/>
  <c r="H42" i="57"/>
  <c r="E42" i="57"/>
  <c r="F42" i="57" s="1"/>
  <c r="D42" i="57"/>
  <c r="C41" i="57"/>
  <c r="D41" i="57" s="1"/>
  <c r="C40" i="57"/>
  <c r="E40" i="57" s="1"/>
  <c r="C39" i="57"/>
  <c r="E39" i="57" s="1"/>
  <c r="C38" i="57"/>
  <c r="E38" i="57" s="1"/>
  <c r="C37" i="57"/>
  <c r="D37" i="57" s="1"/>
  <c r="Y36" i="57"/>
  <c r="C36" i="57"/>
  <c r="E36" i="57"/>
  <c r="H36" i="57" s="1"/>
  <c r="C35" i="57"/>
  <c r="E35" i="57"/>
  <c r="C34" i="57"/>
  <c r="E34" i="57"/>
  <c r="H34" i="57" s="1"/>
  <c r="C33" i="57"/>
  <c r="E33" i="57"/>
  <c r="H33" i="57" s="1"/>
  <c r="C32" i="57"/>
  <c r="E32" i="57"/>
  <c r="F32" i="57" s="1"/>
  <c r="C31" i="57"/>
  <c r="E31" i="57"/>
  <c r="C30" i="57"/>
  <c r="E30" i="57"/>
  <c r="H30" i="57" s="1"/>
  <c r="C29" i="57"/>
  <c r="E29" i="57"/>
  <c r="G29" i="57" s="1"/>
  <c r="Y28" i="57"/>
  <c r="C28" i="57"/>
  <c r="D28" i="57" s="1"/>
  <c r="C27" i="57"/>
  <c r="D27" i="57" s="1"/>
  <c r="C26" i="57"/>
  <c r="E26" i="57" s="1"/>
  <c r="C25" i="57"/>
  <c r="E25" i="57" s="1"/>
  <c r="C24" i="57"/>
  <c r="D24" i="57" s="1"/>
  <c r="C23" i="57"/>
  <c r="D23" i="57" s="1"/>
  <c r="C22" i="57"/>
  <c r="E22" i="57" s="1"/>
  <c r="C21" i="57"/>
  <c r="E21" i="57" s="1"/>
  <c r="C20" i="57"/>
  <c r="D20" i="57" s="1"/>
  <c r="Y19" i="57"/>
  <c r="C19" i="57"/>
  <c r="D19" i="57"/>
  <c r="C18" i="57"/>
  <c r="E18" i="57"/>
  <c r="G18" i="57" s="1"/>
  <c r="C17" i="57"/>
  <c r="E17" i="57"/>
  <c r="F17" i="57" s="1"/>
  <c r="C16" i="57"/>
  <c r="E16" i="57"/>
  <c r="C15" i="57"/>
  <c r="D15" i="57"/>
  <c r="C14" i="57"/>
  <c r="E14" i="57"/>
  <c r="H14" i="57" s="1"/>
  <c r="C13" i="57"/>
  <c r="E13" i="57"/>
  <c r="G13" i="57" s="1"/>
  <c r="C12" i="57"/>
  <c r="E12" i="57"/>
  <c r="D18" i="57"/>
  <c r="E15" i="57"/>
  <c r="G15" i="57" s="1"/>
  <c r="E19" i="57"/>
  <c r="D16" i="57"/>
  <c r="D14" i="57"/>
  <c r="D17" i="57"/>
  <c r="D33" i="57"/>
  <c r="D34" i="57"/>
  <c r="D12" i="57"/>
  <c r="D35" i="57"/>
  <c r="D13" i="57"/>
  <c r="D36" i="57"/>
  <c r="H32" i="57"/>
  <c r="H35" i="57"/>
  <c r="G35" i="57"/>
  <c r="I35" i="57" s="1"/>
  <c r="M35" i="57" s="1"/>
  <c r="F35" i="57"/>
  <c r="H46" i="57"/>
  <c r="G46" i="57"/>
  <c r="F46" i="57"/>
  <c r="I46" i="57"/>
  <c r="M46" i="57" s="1"/>
  <c r="H12" i="57"/>
  <c r="G12" i="57"/>
  <c r="F12" i="57"/>
  <c r="G31" i="57"/>
  <c r="F31" i="57"/>
  <c r="H31" i="57"/>
  <c r="F14" i="57"/>
  <c r="D22" i="57"/>
  <c r="D25" i="57"/>
  <c r="D26" i="57"/>
  <c r="E23" i="57"/>
  <c r="G23" i="57" s="1"/>
  <c r="E28" i="57"/>
  <c r="G28" i="57" s="1"/>
  <c r="D29" i="57"/>
  <c r="D30" i="57"/>
  <c r="D31" i="57"/>
  <c r="D32" i="57"/>
  <c r="F16" i="57"/>
  <c r="E27" i="57"/>
  <c r="H27" i="57" s="1"/>
  <c r="G16" i="57"/>
  <c r="I16" i="57" s="1"/>
  <c r="M16" i="57" s="1"/>
  <c r="D38" i="57"/>
  <c r="H16" i="57"/>
  <c r="E37" i="57"/>
  <c r="H37" i="57" s="1"/>
  <c r="E41" i="57"/>
  <c r="H41" i="57" s="1"/>
  <c r="F47" i="57"/>
  <c r="G47" i="57"/>
  <c r="K16" i="46"/>
  <c r="K13" i="46"/>
  <c r="K11" i="46"/>
  <c r="N23" i="61"/>
  <c r="K24" i="46" s="1"/>
  <c r="K15" i="46"/>
  <c r="K17" i="46"/>
  <c r="I31" i="57"/>
  <c r="M31" i="57" s="1"/>
  <c r="F41" i="57"/>
  <c r="G41" i="57"/>
  <c r="H28" i="57"/>
  <c r="F28" i="57"/>
  <c r="F24" i="50"/>
  <c r="G24" i="50" s="1"/>
  <c r="H24" i="50" s="1"/>
  <c r="I24" i="50" s="1"/>
  <c r="J24" i="50" s="1"/>
  <c r="N22" i="61"/>
  <c r="K22" i="46" s="1"/>
  <c r="N24" i="61"/>
  <c r="K26" i="46"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K19" i="46"/>
  <c r="B1" i="56"/>
  <c r="B1" i="46"/>
  <c r="B1" i="42"/>
  <c r="B1" i="47"/>
  <c r="C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14" i="46"/>
  <c r="B46" i="47" s="1"/>
  <c r="B25" i="56"/>
  <c r="B23" i="56"/>
  <c r="B21" i="56"/>
  <c r="B20" i="56"/>
  <c r="B18" i="56"/>
  <c r="B25" i="46"/>
  <c r="B66" i="47" s="1"/>
  <c r="B23" i="46"/>
  <c r="B64" i="47" s="1"/>
  <c r="B21" i="46"/>
  <c r="B62" i="47" s="1"/>
  <c r="B20" i="46"/>
  <c r="B58" i="47" s="1"/>
  <c r="B18" i="46"/>
  <c r="B54" i="47" s="1"/>
  <c r="E6" i="47"/>
  <c r="F6" i="47"/>
  <c r="G6" i="47"/>
  <c r="H6" i="47"/>
  <c r="D6" i="47"/>
  <c r="F25" i="50"/>
  <c r="G25" i="50" s="1"/>
  <c r="H25" i="50" s="1"/>
  <c r="I25" i="50" s="1"/>
  <c r="J25" i="50" s="1"/>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07" i="32"/>
  <c r="F1301" i="32"/>
  <c r="F1442" i="32"/>
  <c r="F1309" i="32"/>
  <c r="F1626" i="32"/>
  <c r="F1468" i="32"/>
  <c r="F1484" i="32"/>
  <c r="F1492" i="32"/>
  <c r="F1500" i="32"/>
  <c r="F1524" i="32"/>
  <c r="F1532"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10"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19" i="32"/>
  <c r="F1313"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315" i="32"/>
  <c r="F1421" i="32"/>
  <c r="F1449" i="32"/>
  <c r="F1452" i="32"/>
  <c r="F1535" i="32"/>
  <c r="F1543" i="32"/>
  <c r="F1546" i="32"/>
  <c r="F1588" i="32"/>
  <c r="F1600" i="32"/>
  <c r="F1616" i="32"/>
  <c r="F1628" i="32"/>
  <c r="F1636" i="32"/>
  <c r="I1322" i="32"/>
  <c r="F1390" i="32"/>
  <c r="F1410" i="32"/>
  <c r="F1432" i="32"/>
  <c r="F1446" i="32"/>
  <c r="F1460" i="32"/>
  <c r="F1545" i="32"/>
  <c r="F1655" i="32"/>
  <c r="L1699" i="32"/>
  <c r="F130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23" i="32"/>
  <c r="F1400" i="32"/>
  <c r="F1406" i="32"/>
  <c r="F1420" i="32"/>
  <c r="F1482" i="32"/>
  <c r="F1509" i="32"/>
  <c r="F1512" i="32"/>
  <c r="F1515" i="32"/>
  <c r="F1518" i="32"/>
  <c r="F1533" i="32"/>
  <c r="F1536" i="32"/>
  <c r="F1557" i="32"/>
  <c r="F1561" i="32"/>
  <c r="F1650" i="32"/>
  <c r="F1654" i="32"/>
  <c r="F1683"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E1329" i="32"/>
  <c r="E1336" i="32"/>
  <c r="J1336" i="32"/>
  <c r="G1322" i="32"/>
  <c r="F1407" i="32"/>
  <c r="F1413" i="32"/>
  <c r="F40" i="32"/>
  <c r="F1297"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G1711" i="32"/>
  <c r="F1418" i="32"/>
  <c r="F1306" i="32"/>
  <c r="E1322" i="32"/>
  <c r="F1325" i="32"/>
  <c r="K1336" i="32"/>
  <c r="F1385" i="32"/>
  <c r="F1424" i="32"/>
  <c r="F1456" i="32"/>
  <c r="F1488" i="32"/>
  <c r="F1520" i="32"/>
  <c r="F1563" i="32"/>
  <c r="F1564" i="32"/>
  <c r="F37" i="32"/>
  <c r="F39" i="32"/>
  <c r="F1705" i="32"/>
  <c r="F1701" i="32"/>
  <c r="F1686"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L1314" i="32"/>
  <c r="I25" i="32"/>
  <c r="K25" i="32"/>
  <c r="G25" i="32"/>
  <c r="J26" i="32"/>
  <c r="E26" i="32"/>
  <c r="F29" i="32"/>
  <c r="G1314" i="32"/>
  <c r="H1314" i="32"/>
  <c r="F31" i="32"/>
  <c r="K27" i="32"/>
  <c r="D37" i="32"/>
  <c r="D1314" i="32"/>
  <c r="I1314" i="32"/>
  <c r="J27" i="32"/>
  <c r="E27" i="32"/>
  <c r="L27" i="32"/>
  <c r="E35" i="32"/>
  <c r="E1314" i="32"/>
  <c r="J1314" i="32"/>
  <c r="K1314" i="32"/>
  <c r="G26" i="32"/>
  <c r="I26" i="32"/>
  <c r="D26" i="32"/>
  <c r="F1700" i="32"/>
  <c r="F1711" i="32"/>
  <c r="F1322" i="32"/>
  <c r="F26" i="32"/>
  <c r="F1336" i="32"/>
  <c r="F27" i="32"/>
  <c r="F1676" i="32"/>
  <c r="F1699" i="32"/>
  <c r="F1328" i="32"/>
  <c r="D25" i="32"/>
  <c r="E25" i="32"/>
  <c r="F1314"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M79" i="59" l="1"/>
  <c r="D10" i="59"/>
  <c r="K35" i="56"/>
  <c r="H10" i="59"/>
  <c r="F9" i="59"/>
  <c r="F10" i="59"/>
  <c r="I10" i="59"/>
  <c r="O50" i="59"/>
  <c r="Q50" i="59" s="1"/>
  <c r="M43" i="59"/>
  <c r="J43" i="59"/>
  <c r="N43" i="59" s="1"/>
  <c r="Q43" i="59" s="1"/>
  <c r="H23" i="57"/>
  <c r="F45" i="57"/>
  <c r="H19" i="57"/>
  <c r="G27" i="57"/>
  <c r="G42" i="57"/>
  <c r="I42" i="57" s="1"/>
  <c r="M42" i="57" s="1"/>
  <c r="F37" i="57"/>
  <c r="F27" i="57"/>
  <c r="I27" i="57" s="1"/>
  <c r="M27" i="57" s="1"/>
  <c r="G19" i="57"/>
  <c r="G32" i="57"/>
  <c r="I41" i="57"/>
  <c r="M41" i="57" s="1"/>
  <c r="G17" i="57"/>
  <c r="I28" i="57"/>
  <c r="M28" i="57" s="1"/>
  <c r="F30" i="57"/>
  <c r="I30" i="57" s="1"/>
  <c r="M30" i="57" s="1"/>
  <c r="F34" i="57"/>
  <c r="I34" i="57" s="1"/>
  <c r="M34" i="57" s="1"/>
  <c r="I32" i="57"/>
  <c r="M32" i="57" s="1"/>
  <c r="G30" i="57"/>
  <c r="G34" i="57"/>
  <c r="F19" i="57"/>
  <c r="I19" i="57" s="1"/>
  <c r="M19" i="57" s="1"/>
  <c r="F23" i="57"/>
  <c r="I23" i="57" s="1"/>
  <c r="M23" i="57" s="1"/>
  <c r="I47" i="57"/>
  <c r="M47" i="57" s="1"/>
  <c r="I12" i="57"/>
  <c r="M12" i="57" s="1"/>
  <c r="K44" i="56"/>
  <c r="K114" i="56"/>
  <c r="K36" i="56"/>
  <c r="K34" i="56"/>
  <c r="K45" i="56"/>
  <c r="K43" i="56"/>
  <c r="K112" i="56"/>
  <c r="B82" i="56"/>
  <c r="P16" i="32"/>
  <c r="B84" i="56"/>
  <c r="C14" i="32"/>
  <c r="D14" i="32" s="1"/>
  <c r="E14" i="32" s="1"/>
  <c r="F14" i="32" s="1"/>
  <c r="E12" i="50" s="1"/>
  <c r="N95" i="59"/>
  <c r="O95" i="59" s="1"/>
  <c r="R95" i="59" s="1"/>
  <c r="R98" i="59" s="1"/>
  <c r="F15" i="59"/>
  <c r="B94" i="56"/>
  <c r="G15" i="59"/>
  <c r="G16" i="59"/>
  <c r="I9" i="59"/>
  <c r="F18" i="59"/>
  <c r="G17" i="59"/>
  <c r="N33" i="59"/>
  <c r="D18" i="59"/>
  <c r="M26" i="59"/>
  <c r="N26" i="59" s="1"/>
  <c r="Q26" i="59" s="1"/>
  <c r="D15" i="59"/>
  <c r="F17" i="59"/>
  <c r="G18" i="59"/>
  <c r="P102" i="59"/>
  <c r="R102" i="59" s="1"/>
  <c r="B83" i="56"/>
  <c r="D17" i="59"/>
  <c r="M64" i="59"/>
  <c r="D16" i="59"/>
  <c r="F16" i="59"/>
  <c r="D9" i="59"/>
  <c r="H38" i="57"/>
  <c r="F38" i="57"/>
  <c r="I38" i="57" s="1"/>
  <c r="M38" i="57" s="1"/>
  <c r="G38" i="57"/>
  <c r="G25" i="57"/>
  <c r="H25" i="57"/>
  <c r="I25" i="57" s="1"/>
  <c r="M25" i="57" s="1"/>
  <c r="F25" i="57"/>
  <c r="F39" i="57"/>
  <c r="H39" i="57"/>
  <c r="G39" i="57"/>
  <c r="H26" i="57"/>
  <c r="G26" i="57"/>
  <c r="F26" i="57"/>
  <c r="I26" i="57"/>
  <c r="M26" i="57" s="1"/>
  <c r="G40" i="57"/>
  <c r="I40" i="57"/>
  <c r="M40" i="57" s="1"/>
  <c r="H40" i="57"/>
  <c r="F40" i="57"/>
  <c r="H21" i="57"/>
  <c r="F21" i="57"/>
  <c r="I21" i="57" s="1"/>
  <c r="M21" i="57" s="1"/>
  <c r="G21" i="57"/>
  <c r="H22" i="57"/>
  <c r="G22" i="57"/>
  <c r="F22" i="57"/>
  <c r="I43" i="57"/>
  <c r="M43" i="57" s="1"/>
  <c r="E24" i="57"/>
  <c r="G14" i="57"/>
  <c r="I14" i="57" s="1"/>
  <c r="M14" i="57" s="1"/>
  <c r="H13" i="57"/>
  <c r="F15" i="57"/>
  <c r="H18" i="57"/>
  <c r="F33" i="57"/>
  <c r="F13" i="57"/>
  <c r="H15" i="57"/>
  <c r="H17" i="57"/>
  <c r="E20" i="57"/>
  <c r="G33" i="57"/>
  <c r="F36" i="57"/>
  <c r="G37" i="57"/>
  <c r="I37" i="57" s="1"/>
  <c r="M37" i="57" s="1"/>
  <c r="G36" i="57"/>
  <c r="H45" i="57"/>
  <c r="D40" i="57"/>
  <c r="D21" i="57"/>
  <c r="H29" i="57"/>
  <c r="D39" i="57"/>
  <c r="F29" i="57"/>
  <c r="I29" i="57" s="1"/>
  <c r="M29" i="57" s="1"/>
  <c r="F18" i="57"/>
  <c r="D14" i="59" l="1"/>
  <c r="E14" i="50"/>
  <c r="E26" i="50" s="1"/>
  <c r="I26" i="50" s="1"/>
  <c r="E18" i="59"/>
  <c r="E17" i="59"/>
  <c r="E16" i="59"/>
  <c r="E15" i="59"/>
  <c r="N64" i="59"/>
  <c r="Q64" i="59" s="1"/>
  <c r="N79" i="59"/>
  <c r="Q79" i="59" s="1"/>
  <c r="Q82" i="59" s="1"/>
  <c r="I17" i="57"/>
  <c r="M17" i="57" s="1"/>
  <c r="I39" i="57"/>
  <c r="M39" i="57" s="1"/>
  <c r="I45" i="57"/>
  <c r="M45" i="57" s="1"/>
  <c r="I13" i="57"/>
  <c r="M13" i="57" s="1"/>
  <c r="I22" i="57"/>
  <c r="M22" i="57" s="1"/>
  <c r="Q29" i="59"/>
  <c r="C20" i="42" s="1"/>
  <c r="Q46" i="59"/>
  <c r="Q33" i="59"/>
  <c r="L17" i="59"/>
  <c r="C61" i="56"/>
  <c r="L16" i="59"/>
  <c r="L14" i="59"/>
  <c r="L18" i="59"/>
  <c r="L15" i="59"/>
  <c r="C61" i="46"/>
  <c r="H24" i="57"/>
  <c r="G24" i="57"/>
  <c r="F24" i="57"/>
  <c r="I24" i="57" s="1"/>
  <c r="M24" i="57" s="1"/>
  <c r="I18" i="57"/>
  <c r="M18" i="57" s="1"/>
  <c r="I20" i="57"/>
  <c r="M20" i="57" s="1"/>
  <c r="H20" i="57"/>
  <c r="G20" i="57"/>
  <c r="F20" i="57"/>
  <c r="I33" i="57"/>
  <c r="M33" i="57" s="1"/>
  <c r="I36" i="57"/>
  <c r="M36" i="57" s="1"/>
  <c r="I15" i="57"/>
  <c r="M15" i="57" s="1"/>
  <c r="I27" i="50" l="1"/>
  <c r="I28" i="50" s="1"/>
  <c r="I29" i="50" s="1"/>
  <c r="I30" i="50" s="1"/>
  <c r="I31" i="50" s="1"/>
  <c r="E27" i="50"/>
  <c r="E28" i="50" s="1"/>
  <c r="E29" i="50" s="1"/>
  <c r="E30" i="50" s="1"/>
  <c r="E31" i="50" s="1"/>
  <c r="K36" i="50" s="1"/>
  <c r="F26" i="50"/>
  <c r="F27" i="50" s="1"/>
  <c r="F28" i="50" s="1"/>
  <c r="F29" i="50" s="1"/>
  <c r="F30" i="50" s="1"/>
  <c r="F31" i="50" s="1"/>
  <c r="H26" i="50"/>
  <c r="H27" i="50" s="1"/>
  <c r="H28" i="50" s="1"/>
  <c r="H29" i="50" s="1"/>
  <c r="H30" i="50" s="1"/>
  <c r="H31" i="50" s="1"/>
  <c r="C21" i="42"/>
  <c r="E14" i="59"/>
  <c r="C23" i="42"/>
  <c r="G14" i="59"/>
  <c r="G26" i="50"/>
  <c r="G27" i="50" s="1"/>
  <c r="G28" i="50" s="1"/>
  <c r="G29" i="50" s="1"/>
  <c r="G30" i="50" s="1"/>
  <c r="G31" i="50" s="1"/>
  <c r="J26" i="50"/>
  <c r="J27" i="50" s="1"/>
  <c r="J28" i="50" s="1"/>
  <c r="J29" i="50" s="1"/>
  <c r="J30" i="50" s="1"/>
  <c r="J31" i="50" s="1"/>
  <c r="Q67" i="59"/>
  <c r="D53" i="46" l="1"/>
  <c r="D53" i="56"/>
  <c r="C22" i="42"/>
  <c r="F14" i="59"/>
  <c r="E5" i="47"/>
  <c r="E10" i="47" s="1"/>
  <c r="M36" i="50"/>
  <c r="F53" i="56" s="1"/>
  <c r="M35" i="50"/>
  <c r="F7" i="56"/>
  <c r="F7" i="46"/>
  <c r="M38" i="50"/>
  <c r="M37" i="50"/>
  <c r="F8" i="42"/>
  <c r="O38" i="50"/>
  <c r="H7" i="46"/>
  <c r="H8" i="42"/>
  <c r="O36" i="50"/>
  <c r="H53" i="56" s="1"/>
  <c r="H7" i="56"/>
  <c r="O37" i="50"/>
  <c r="O35" i="50"/>
  <c r="G5" i="47"/>
  <c r="G11" i="47" s="1"/>
  <c r="N35" i="50"/>
  <c r="F5" i="47"/>
  <c r="F13" i="47" s="1"/>
  <c r="N37" i="50"/>
  <c r="G8" i="42"/>
  <c r="G7" i="56"/>
  <c r="G7" i="46"/>
  <c r="N38" i="50"/>
  <c r="G55" i="56" s="1"/>
  <c r="N36" i="50"/>
  <c r="D7" i="56"/>
  <c r="K38" i="50"/>
  <c r="D7" i="46"/>
  <c r="K35" i="50"/>
  <c r="K39" i="50" s="1"/>
  <c r="D8" i="42"/>
  <c r="C5" i="47"/>
  <c r="C10" i="47" s="1"/>
  <c r="K37" i="50"/>
  <c r="H5" i="47"/>
  <c r="H10" i="47" s="1"/>
  <c r="P37" i="50"/>
  <c r="P38" i="50"/>
  <c r="P35" i="50"/>
  <c r="P36" i="50"/>
  <c r="I53" i="56" s="1"/>
  <c r="I7" i="46"/>
  <c r="I8" i="42"/>
  <c r="I7" i="56"/>
  <c r="L35" i="50"/>
  <c r="E7" i="46"/>
  <c r="E8" i="42"/>
  <c r="L36" i="50"/>
  <c r="L37" i="50"/>
  <c r="E54" i="56" s="1"/>
  <c r="D5" i="47"/>
  <c r="D12" i="47" s="1"/>
  <c r="E7" i="56"/>
  <c r="L38" i="50"/>
  <c r="N39" i="50" l="1"/>
  <c r="O39" i="50"/>
  <c r="F52" i="56"/>
  <c r="F72" i="56" s="1"/>
  <c r="M39" i="50"/>
  <c r="E52" i="56"/>
  <c r="E71" i="56" s="1"/>
  <c r="L39" i="50"/>
  <c r="D73" i="46"/>
  <c r="D74" i="46"/>
  <c r="I73" i="56"/>
  <c r="I74" i="56"/>
  <c r="F71" i="56"/>
  <c r="D62" i="56"/>
  <c r="D102" i="56" s="1"/>
  <c r="D74" i="56"/>
  <c r="D73" i="56"/>
  <c r="H74" i="56"/>
  <c r="H73" i="56"/>
  <c r="F74" i="56"/>
  <c r="F73" i="56"/>
  <c r="I52" i="46"/>
  <c r="I52" i="56"/>
  <c r="E53" i="46"/>
  <c r="E62" i="46" s="1"/>
  <c r="E92" i="46" s="1"/>
  <c r="E53" i="56"/>
  <c r="D55" i="46"/>
  <c r="D64" i="46" s="1"/>
  <c r="D55" i="56"/>
  <c r="D64" i="56" s="1"/>
  <c r="E13" i="47"/>
  <c r="G53" i="46"/>
  <c r="G53" i="56"/>
  <c r="G54" i="46"/>
  <c r="G63" i="46" s="1"/>
  <c r="G54" i="56"/>
  <c r="G63" i="56" s="1"/>
  <c r="I54" i="46"/>
  <c r="I63" i="46" s="1"/>
  <c r="I54" i="56"/>
  <c r="I63" i="56" s="1"/>
  <c r="G52" i="46"/>
  <c r="G52" i="56"/>
  <c r="E55" i="46"/>
  <c r="E64" i="46" s="1"/>
  <c r="E55" i="56"/>
  <c r="E64" i="56" s="1"/>
  <c r="H52" i="46"/>
  <c r="H52" i="56"/>
  <c r="F54" i="46"/>
  <c r="F63" i="46" s="1"/>
  <c r="F54" i="56"/>
  <c r="F63" i="56" s="1"/>
  <c r="I55" i="46"/>
  <c r="I64" i="46" s="1"/>
  <c r="I55" i="56"/>
  <c r="I64" i="56" s="1"/>
  <c r="H55" i="46"/>
  <c r="H64" i="46" s="1"/>
  <c r="H55" i="56"/>
  <c r="H64" i="56" s="1"/>
  <c r="D54" i="46"/>
  <c r="D54" i="56"/>
  <c r="D63" i="56" s="1"/>
  <c r="H54" i="46"/>
  <c r="H63" i="46" s="1"/>
  <c r="H54" i="56"/>
  <c r="H63" i="56" s="1"/>
  <c r="F55" i="46"/>
  <c r="F64" i="46" s="1"/>
  <c r="F55" i="56"/>
  <c r="F64" i="56" s="1"/>
  <c r="D52" i="46"/>
  <c r="D52" i="56"/>
  <c r="D61" i="56" s="1"/>
  <c r="D101" i="56" s="1"/>
  <c r="E11" i="47"/>
  <c r="H14" i="42"/>
  <c r="H112" i="56" s="1"/>
  <c r="P112" i="56" s="1"/>
  <c r="H53" i="46"/>
  <c r="F13" i="42"/>
  <c r="F121" i="46" s="1"/>
  <c r="F52" i="46"/>
  <c r="F14" i="42"/>
  <c r="F34" i="56" s="1"/>
  <c r="N34" i="56" s="1"/>
  <c r="F53" i="46"/>
  <c r="E52" i="46"/>
  <c r="G16" i="42"/>
  <c r="G114" i="46" s="1"/>
  <c r="G55" i="46"/>
  <c r="G64" i="46" s="1"/>
  <c r="E15" i="42"/>
  <c r="E113" i="46" s="1"/>
  <c r="E54" i="46"/>
  <c r="E63" i="46" s="1"/>
  <c r="I14" i="42"/>
  <c r="I34" i="56" s="1"/>
  <c r="Q34" i="56" s="1"/>
  <c r="I53" i="46"/>
  <c r="F12" i="47"/>
  <c r="E12" i="47"/>
  <c r="D83" i="56"/>
  <c r="H12" i="47"/>
  <c r="H11" i="47"/>
  <c r="H13" i="47"/>
  <c r="F15" i="42"/>
  <c r="F103" i="56" s="1"/>
  <c r="F16" i="42"/>
  <c r="E63" i="56"/>
  <c r="I62" i="56"/>
  <c r="D13" i="42"/>
  <c r="D42" i="46" s="1"/>
  <c r="H15" i="42"/>
  <c r="E14" i="42"/>
  <c r="E34" i="56" s="1"/>
  <c r="I13" i="42"/>
  <c r="I121" i="46" s="1"/>
  <c r="H62" i="56"/>
  <c r="I16" i="42"/>
  <c r="G64" i="56"/>
  <c r="F62" i="56"/>
  <c r="H13" i="42"/>
  <c r="H141" i="46" s="1"/>
  <c r="C11" i="47"/>
  <c r="C13" i="47"/>
  <c r="G10" i="47"/>
  <c r="G14" i="42"/>
  <c r="D15" i="42"/>
  <c r="E16" i="42"/>
  <c r="H16" i="42"/>
  <c r="G12" i="47"/>
  <c r="G15" i="42"/>
  <c r="G13" i="47"/>
  <c r="C12" i="47"/>
  <c r="G13" i="42"/>
  <c r="G33" i="56" s="1"/>
  <c r="D16" i="42"/>
  <c r="D62" i="46"/>
  <c r="P39" i="50"/>
  <c r="F11" i="47"/>
  <c r="F10" i="47"/>
  <c r="D14" i="42"/>
  <c r="D112" i="46" s="1"/>
  <c r="D10" i="47"/>
  <c r="D13" i="47"/>
  <c r="D11" i="47"/>
  <c r="E125" i="46"/>
  <c r="E13" i="42"/>
  <c r="E141" i="46" s="1"/>
  <c r="I15" i="42"/>
  <c r="I103" i="56" s="1"/>
  <c r="F135" i="46"/>
  <c r="F125" i="46"/>
  <c r="F145" i="46"/>
  <c r="E135" i="46"/>
  <c r="H145" i="46"/>
  <c r="H135" i="46"/>
  <c r="H125" i="46"/>
  <c r="G135" i="46"/>
  <c r="G145" i="46"/>
  <c r="G125" i="46"/>
  <c r="I135" i="46"/>
  <c r="I125" i="46"/>
  <c r="I145" i="46"/>
  <c r="D125" i="46"/>
  <c r="D145" i="46"/>
  <c r="D135" i="46"/>
  <c r="F61" i="56" l="1"/>
  <c r="F101" i="56" s="1"/>
  <c r="L62" i="56"/>
  <c r="D111" i="56"/>
  <c r="L111" i="56" s="1"/>
  <c r="G45" i="56"/>
  <c r="O45" i="56" s="1"/>
  <c r="F111" i="56"/>
  <c r="N111" i="56" s="1"/>
  <c r="E7" i="47"/>
  <c r="H142" i="46"/>
  <c r="H112" i="46"/>
  <c r="E143" i="46"/>
  <c r="E133" i="46"/>
  <c r="E72" i="56"/>
  <c r="E44" i="46"/>
  <c r="E35" i="46"/>
  <c r="E61" i="56"/>
  <c r="E101" i="56" s="1"/>
  <c r="C7" i="47"/>
  <c r="H132" i="46"/>
  <c r="F33" i="46"/>
  <c r="D111" i="46"/>
  <c r="E103" i="46"/>
  <c r="E103" i="56"/>
  <c r="F33" i="56"/>
  <c r="G113" i="46"/>
  <c r="G103" i="56"/>
  <c r="I114" i="56"/>
  <c r="Q114" i="56" s="1"/>
  <c r="I104" i="56"/>
  <c r="D33" i="56"/>
  <c r="F114" i="56"/>
  <c r="N114" i="56" s="1"/>
  <c r="F104" i="56"/>
  <c r="G144" i="46"/>
  <c r="H34" i="46"/>
  <c r="F42" i="46"/>
  <c r="H45" i="46"/>
  <c r="H104" i="56"/>
  <c r="H34" i="56"/>
  <c r="P34" i="56" s="1"/>
  <c r="H43" i="56"/>
  <c r="P43" i="56" s="1"/>
  <c r="G45" i="46"/>
  <c r="G104" i="56"/>
  <c r="H21" i="42"/>
  <c r="G114" i="56"/>
  <c r="O114" i="56" s="1"/>
  <c r="E124" i="46"/>
  <c r="E104" i="56"/>
  <c r="H43" i="46"/>
  <c r="H122" i="46"/>
  <c r="F111" i="46"/>
  <c r="F141" i="46"/>
  <c r="D121" i="46"/>
  <c r="D23" i="42"/>
  <c r="D104" i="56"/>
  <c r="D143" i="46"/>
  <c r="D103" i="56"/>
  <c r="H133" i="46"/>
  <c r="H103" i="56"/>
  <c r="F75" i="46"/>
  <c r="F93" i="46"/>
  <c r="E71" i="46"/>
  <c r="E72" i="46"/>
  <c r="I71" i="46"/>
  <c r="I72" i="46"/>
  <c r="G62" i="46"/>
  <c r="G92" i="46" s="1"/>
  <c r="G74" i="46"/>
  <c r="G73" i="46"/>
  <c r="I62" i="46"/>
  <c r="I92" i="46" s="1"/>
  <c r="I74" i="46"/>
  <c r="I73" i="46"/>
  <c r="D72" i="46"/>
  <c r="D71" i="46"/>
  <c r="F71" i="46"/>
  <c r="F72" i="46"/>
  <c r="G71" i="46"/>
  <c r="G72" i="46"/>
  <c r="F62" i="46"/>
  <c r="F92" i="46" s="1"/>
  <c r="F74" i="46"/>
  <c r="F73" i="46"/>
  <c r="E75" i="46"/>
  <c r="E93" i="46"/>
  <c r="G75" i="46"/>
  <c r="G93" i="46"/>
  <c r="H62" i="46"/>
  <c r="H92" i="46" s="1"/>
  <c r="H74" i="46"/>
  <c r="H73" i="46"/>
  <c r="H75" i="46"/>
  <c r="H93" i="46"/>
  <c r="E73" i="46"/>
  <c r="E74" i="46"/>
  <c r="I75" i="46"/>
  <c r="I93" i="46"/>
  <c r="H71" i="46"/>
  <c r="H72" i="46"/>
  <c r="I72" i="56"/>
  <c r="I71" i="56"/>
  <c r="G72" i="56"/>
  <c r="G71" i="56"/>
  <c r="H72" i="56"/>
  <c r="H71" i="56"/>
  <c r="D71" i="56"/>
  <c r="D72" i="56"/>
  <c r="G62" i="56"/>
  <c r="O62" i="56" s="1"/>
  <c r="G74" i="56"/>
  <c r="G73" i="56"/>
  <c r="D92" i="56"/>
  <c r="E62" i="56"/>
  <c r="E102" i="56" s="1"/>
  <c r="E73" i="56"/>
  <c r="E74" i="56"/>
  <c r="G61" i="46"/>
  <c r="G61" i="56"/>
  <c r="G101" i="56" s="1"/>
  <c r="H61" i="56"/>
  <c r="H101" i="56" s="1"/>
  <c r="I61" i="56"/>
  <c r="I101" i="56" s="1"/>
  <c r="E61" i="46"/>
  <c r="E101" i="46" s="1"/>
  <c r="I61" i="46"/>
  <c r="I101" i="46" s="1"/>
  <c r="E76" i="46"/>
  <c r="E94" i="46"/>
  <c r="I76" i="46"/>
  <c r="I94" i="46"/>
  <c r="G76" i="46"/>
  <c r="G94" i="46"/>
  <c r="D76" i="46"/>
  <c r="D94" i="46"/>
  <c r="D85" i="46"/>
  <c r="H76" i="46"/>
  <c r="H94" i="46"/>
  <c r="F76" i="46"/>
  <c r="F94" i="46"/>
  <c r="E94" i="56"/>
  <c r="E76" i="56"/>
  <c r="I76" i="56"/>
  <c r="I94" i="56"/>
  <c r="M63" i="56"/>
  <c r="E75" i="56"/>
  <c r="E93" i="56"/>
  <c r="D85" i="56"/>
  <c r="E85" i="56" s="1"/>
  <c r="F85" i="56" s="1"/>
  <c r="G85" i="56" s="1"/>
  <c r="H85" i="56" s="1"/>
  <c r="I85" i="56" s="1"/>
  <c r="D94" i="56"/>
  <c r="D76" i="56"/>
  <c r="H93" i="56"/>
  <c r="H75" i="56"/>
  <c r="F75" i="56"/>
  <c r="F93" i="56"/>
  <c r="I75" i="56"/>
  <c r="I93" i="56"/>
  <c r="P62" i="56"/>
  <c r="H102" i="56"/>
  <c r="H92" i="56"/>
  <c r="I92" i="56"/>
  <c r="I102" i="56"/>
  <c r="G93" i="56"/>
  <c r="G75" i="56"/>
  <c r="L63" i="56"/>
  <c r="D93" i="56"/>
  <c r="D84" i="56"/>
  <c r="E84" i="56" s="1"/>
  <c r="F84" i="56" s="1"/>
  <c r="G84" i="56" s="1"/>
  <c r="H84" i="56" s="1"/>
  <c r="I84" i="56" s="1"/>
  <c r="D75" i="56"/>
  <c r="F94" i="56"/>
  <c r="F76" i="56"/>
  <c r="F92" i="56"/>
  <c r="F102" i="56"/>
  <c r="G94" i="56"/>
  <c r="G76" i="56"/>
  <c r="P64" i="56"/>
  <c r="H76" i="56"/>
  <c r="H94" i="56"/>
  <c r="P63" i="56"/>
  <c r="E44" i="56"/>
  <c r="M44" i="56" s="1"/>
  <c r="F34" i="46"/>
  <c r="E35" i="56"/>
  <c r="M35" i="56" s="1"/>
  <c r="E22" i="42"/>
  <c r="F112" i="56"/>
  <c r="N112" i="56" s="1"/>
  <c r="E113" i="56"/>
  <c r="M113" i="56" s="1"/>
  <c r="F132" i="46"/>
  <c r="E26" i="62"/>
  <c r="E40" i="62" s="1"/>
  <c r="F122" i="46"/>
  <c r="F43" i="56"/>
  <c r="N43" i="56" s="1"/>
  <c r="I122" i="46"/>
  <c r="F142" i="46"/>
  <c r="I43" i="46"/>
  <c r="F43" i="46"/>
  <c r="I43" i="56"/>
  <c r="Q43" i="56" s="1"/>
  <c r="I132" i="46"/>
  <c r="F131" i="46"/>
  <c r="F20" i="42"/>
  <c r="G23" i="42"/>
  <c r="G134" i="46"/>
  <c r="G104" i="46"/>
  <c r="I112" i="56"/>
  <c r="Q112" i="56" s="1"/>
  <c r="I112" i="46"/>
  <c r="G36" i="46"/>
  <c r="G36" i="56"/>
  <c r="O36" i="56" s="1"/>
  <c r="E14" i="47"/>
  <c r="I21" i="42"/>
  <c r="I34" i="46"/>
  <c r="F42" i="56"/>
  <c r="N42" i="56" s="1"/>
  <c r="G124" i="46"/>
  <c r="I142" i="46"/>
  <c r="D141" i="46"/>
  <c r="E123" i="46"/>
  <c r="F21" i="42"/>
  <c r="F112" i="46"/>
  <c r="D20" i="42"/>
  <c r="D33" i="46"/>
  <c r="D42" i="56"/>
  <c r="L42" i="56" s="1"/>
  <c r="D131" i="46"/>
  <c r="H20" i="42"/>
  <c r="G7" i="47"/>
  <c r="H111" i="46"/>
  <c r="L64" i="56"/>
  <c r="H14" i="47"/>
  <c r="D35" i="46"/>
  <c r="D113" i="46"/>
  <c r="I42" i="56"/>
  <c r="Q42" i="56" s="1"/>
  <c r="E24" i="62"/>
  <c r="E38" i="62" s="1"/>
  <c r="G123" i="46"/>
  <c r="G44" i="56"/>
  <c r="O44" i="56" s="1"/>
  <c r="G35" i="46"/>
  <c r="F83" i="56"/>
  <c r="F91" i="56"/>
  <c r="F82" i="56"/>
  <c r="I91" i="46"/>
  <c r="D82" i="56"/>
  <c r="D86" i="56" s="1"/>
  <c r="D16" i="56" s="1"/>
  <c r="D91" i="56"/>
  <c r="E102" i="46"/>
  <c r="E83" i="46"/>
  <c r="I91" i="56"/>
  <c r="H83" i="56"/>
  <c r="E33" i="56"/>
  <c r="M33" i="56" s="1"/>
  <c r="D83" i="46"/>
  <c r="D92" i="46"/>
  <c r="I83" i="56"/>
  <c r="G83" i="46"/>
  <c r="E43" i="46"/>
  <c r="C31" i="62"/>
  <c r="C45" i="62" s="1"/>
  <c r="C32" i="62"/>
  <c r="C46" i="62" s="1"/>
  <c r="C25" i="62"/>
  <c r="C39" i="62" s="1"/>
  <c r="D43" i="56"/>
  <c r="L43" i="56" s="1"/>
  <c r="D34" i="46"/>
  <c r="F45" i="46"/>
  <c r="H7" i="47"/>
  <c r="D142" i="46"/>
  <c r="F31" i="62"/>
  <c r="F45" i="62" s="1"/>
  <c r="H44" i="46"/>
  <c r="H22" i="42"/>
  <c r="G22" i="42"/>
  <c r="G23" i="62"/>
  <c r="G37" i="62" s="1"/>
  <c r="D112" i="56"/>
  <c r="L112" i="56" s="1"/>
  <c r="G26" i="62"/>
  <c r="G40" i="62" s="1"/>
  <c r="H44" i="56"/>
  <c r="P44" i="56" s="1"/>
  <c r="F14" i="47"/>
  <c r="G28" i="62"/>
  <c r="G42" i="62" s="1"/>
  <c r="H113" i="46"/>
  <c r="G34" i="46"/>
  <c r="F24" i="62"/>
  <c r="F38" i="62" s="1"/>
  <c r="H113" i="56"/>
  <c r="P113" i="56" s="1"/>
  <c r="G24" i="62"/>
  <c r="G38" i="62" s="1"/>
  <c r="I36" i="56"/>
  <c r="Q36" i="56" s="1"/>
  <c r="I104" i="46"/>
  <c r="G21" i="42"/>
  <c r="G34" i="56"/>
  <c r="H35" i="46"/>
  <c r="H35" i="56"/>
  <c r="P35" i="56" s="1"/>
  <c r="H103" i="46"/>
  <c r="G133" i="46"/>
  <c r="G103" i="46"/>
  <c r="G35" i="56"/>
  <c r="O35" i="56" s="1"/>
  <c r="D65" i="56"/>
  <c r="D14" i="56" s="1"/>
  <c r="F144" i="46"/>
  <c r="F104" i="46"/>
  <c r="F36" i="56"/>
  <c r="N36" i="56" s="1"/>
  <c r="I103" i="46"/>
  <c r="I35" i="56"/>
  <c r="Q35" i="56" s="1"/>
  <c r="D144" i="46"/>
  <c r="D36" i="56"/>
  <c r="L36" i="56" s="1"/>
  <c r="D104" i="46"/>
  <c r="D36" i="46"/>
  <c r="D45" i="46"/>
  <c r="H114" i="46"/>
  <c r="H104" i="46"/>
  <c r="H36" i="56"/>
  <c r="P36" i="56" s="1"/>
  <c r="E36" i="46"/>
  <c r="E36" i="56"/>
  <c r="M36" i="56" s="1"/>
  <c r="E104" i="46"/>
  <c r="F103" i="46"/>
  <c r="F35" i="56"/>
  <c r="N35" i="56" s="1"/>
  <c r="D103" i="46"/>
  <c r="D35" i="56"/>
  <c r="L35" i="56" s="1"/>
  <c r="D44" i="46"/>
  <c r="D34" i="56"/>
  <c r="L34" i="56" s="1"/>
  <c r="D43" i="46"/>
  <c r="C30" i="62"/>
  <c r="C44" i="62" s="1"/>
  <c r="D102" i="46"/>
  <c r="C26" i="62"/>
  <c r="C40" i="62" s="1"/>
  <c r="D132" i="46"/>
  <c r="D122" i="46"/>
  <c r="I20" i="42"/>
  <c r="G112" i="46"/>
  <c r="E122" i="46"/>
  <c r="E112" i="56"/>
  <c r="M112" i="56" s="1"/>
  <c r="G29" i="62"/>
  <c r="F133" i="46"/>
  <c r="F35" i="46"/>
  <c r="I42" i="46"/>
  <c r="H23" i="62"/>
  <c r="H37" i="62" s="1"/>
  <c r="I141" i="46"/>
  <c r="H24" i="62"/>
  <c r="H38" i="62" s="1"/>
  <c r="G122" i="46"/>
  <c r="H42" i="56"/>
  <c r="P42" i="56" s="1"/>
  <c r="I131" i="46"/>
  <c r="G43" i="56"/>
  <c r="O43" i="56" s="1"/>
  <c r="H28" i="62"/>
  <c r="H42" i="62" s="1"/>
  <c r="E23" i="62"/>
  <c r="E37" i="62" s="1"/>
  <c r="H131" i="46"/>
  <c r="H27" i="62"/>
  <c r="H41" i="62" s="1"/>
  <c r="E85" i="46"/>
  <c r="I123" i="46"/>
  <c r="H121" i="46"/>
  <c r="H33" i="56"/>
  <c r="P33" i="56" s="1"/>
  <c r="H123" i="46"/>
  <c r="I111" i="46"/>
  <c r="F22" i="42"/>
  <c r="G143" i="46"/>
  <c r="E121" i="46"/>
  <c r="E42" i="56"/>
  <c r="M42" i="56" s="1"/>
  <c r="E33" i="46"/>
  <c r="I144" i="46"/>
  <c r="I36" i="46"/>
  <c r="F134" i="46"/>
  <c r="H42" i="46"/>
  <c r="G32" i="62"/>
  <c r="H33" i="46"/>
  <c r="H143" i="46"/>
  <c r="I143" i="46"/>
  <c r="G27" i="62"/>
  <c r="H111" i="56"/>
  <c r="P111" i="56" s="1"/>
  <c r="F143" i="46"/>
  <c r="G44" i="46"/>
  <c r="F28" i="62"/>
  <c r="F42" i="62" s="1"/>
  <c r="G30" i="62"/>
  <c r="G44" i="62" s="1"/>
  <c r="G31" i="62"/>
  <c r="G45" i="62" s="1"/>
  <c r="I33" i="46"/>
  <c r="F44" i="46"/>
  <c r="H61" i="46"/>
  <c r="H56" i="46"/>
  <c r="D63" i="46"/>
  <c r="D56" i="46"/>
  <c r="M61" i="56"/>
  <c r="Q63" i="56"/>
  <c r="G113" i="56"/>
  <c r="O113" i="56" s="1"/>
  <c r="E32" i="62"/>
  <c r="E46" i="62" s="1"/>
  <c r="E30" i="62"/>
  <c r="E44" i="62" s="1"/>
  <c r="F113" i="46"/>
  <c r="E31" i="62"/>
  <c r="E45" i="62" s="1"/>
  <c r="F123" i="46"/>
  <c r="E28" i="62"/>
  <c r="E42" i="62" s="1"/>
  <c r="E27" i="62"/>
  <c r="E41" i="62" s="1"/>
  <c r="F44" i="56"/>
  <c r="N44" i="56" s="1"/>
  <c r="F113" i="56"/>
  <c r="N113" i="56" s="1"/>
  <c r="E25" i="62"/>
  <c r="E29" i="62"/>
  <c r="I134" i="46"/>
  <c r="H124" i="46"/>
  <c r="H36" i="46"/>
  <c r="H23" i="42"/>
  <c r="H114" i="56"/>
  <c r="P114" i="56" s="1"/>
  <c r="H144" i="46"/>
  <c r="H17" i="42"/>
  <c r="H45" i="56"/>
  <c r="P45" i="56" s="1"/>
  <c r="H134" i="46"/>
  <c r="O64" i="56"/>
  <c r="F56" i="46"/>
  <c r="F114" i="46"/>
  <c r="E144" i="46"/>
  <c r="E114" i="56"/>
  <c r="M114" i="56" s="1"/>
  <c r="E114" i="46"/>
  <c r="E134" i="46"/>
  <c r="E23" i="42"/>
  <c r="E45" i="56"/>
  <c r="M45" i="56" s="1"/>
  <c r="E45" i="46"/>
  <c r="Q62" i="56"/>
  <c r="I65" i="56"/>
  <c r="H65" i="56"/>
  <c r="G43" i="46"/>
  <c r="G112" i="56"/>
  <c r="O112" i="56" s="1"/>
  <c r="G132" i="46"/>
  <c r="G142" i="46"/>
  <c r="N62" i="56"/>
  <c r="I111" i="56"/>
  <c r="Q111" i="56" s="1"/>
  <c r="I33" i="56"/>
  <c r="Q33" i="56" s="1"/>
  <c r="G25" i="62"/>
  <c r="G39" i="62" s="1"/>
  <c r="H56" i="56"/>
  <c r="G85" i="46"/>
  <c r="F56" i="56"/>
  <c r="I56" i="46"/>
  <c r="H85" i="46"/>
  <c r="I65" i="46"/>
  <c r="E43" i="56"/>
  <c r="M43" i="56" s="1"/>
  <c r="D22" i="42"/>
  <c r="E112" i="46"/>
  <c r="E142" i="46"/>
  <c r="I45" i="46"/>
  <c r="D29" i="62"/>
  <c r="F65" i="56"/>
  <c r="I56" i="56"/>
  <c r="Q64" i="56"/>
  <c r="F124" i="46"/>
  <c r="D44" i="56"/>
  <c r="L44" i="56" s="1"/>
  <c r="E21" i="42"/>
  <c r="D28" i="62"/>
  <c r="G56" i="56"/>
  <c r="F36" i="46"/>
  <c r="F17" i="42"/>
  <c r="F61" i="46"/>
  <c r="D133" i="46"/>
  <c r="C28" i="62"/>
  <c r="C42" i="62" s="1"/>
  <c r="C27" i="62"/>
  <c r="C41" i="62" s="1"/>
  <c r="E34" i="46"/>
  <c r="I124" i="46"/>
  <c r="I23" i="42"/>
  <c r="F45" i="56"/>
  <c r="N45" i="56" s="1"/>
  <c r="D124" i="46"/>
  <c r="D113" i="56"/>
  <c r="L113" i="56" s="1"/>
  <c r="C23" i="62"/>
  <c r="M34" i="56"/>
  <c r="I114" i="46"/>
  <c r="I45" i="56"/>
  <c r="Q45" i="56" s="1"/>
  <c r="G14" i="47"/>
  <c r="E132" i="46"/>
  <c r="F23" i="42"/>
  <c r="D123" i="46"/>
  <c r="C14" i="47"/>
  <c r="C29" i="62"/>
  <c r="C43" i="62" s="1"/>
  <c r="D21" i="42"/>
  <c r="C24" i="62"/>
  <c r="C38" i="62" s="1"/>
  <c r="M62" i="56"/>
  <c r="N63" i="56"/>
  <c r="D31" i="62"/>
  <c r="D14" i="47"/>
  <c r="N64" i="56"/>
  <c r="D56" i="56"/>
  <c r="O63" i="56"/>
  <c r="G56" i="46"/>
  <c r="D61" i="46"/>
  <c r="E56" i="46"/>
  <c r="G131" i="46"/>
  <c r="H30" i="62"/>
  <c r="D114" i="46"/>
  <c r="F30" i="62"/>
  <c r="F44" i="62" s="1"/>
  <c r="I44" i="56"/>
  <c r="Q44" i="56" s="1"/>
  <c r="H31" i="62"/>
  <c r="H45" i="62" s="1"/>
  <c r="H32" i="62"/>
  <c r="H29" i="62"/>
  <c r="D45" i="56"/>
  <c r="L45" i="56" s="1"/>
  <c r="D134" i="46"/>
  <c r="G17" i="42"/>
  <c r="G42" i="46"/>
  <c r="F29" i="62"/>
  <c r="I133" i="46"/>
  <c r="I22" i="42"/>
  <c r="H26" i="62"/>
  <c r="D114" i="56"/>
  <c r="L114" i="56" s="1"/>
  <c r="F26" i="62"/>
  <c r="F40" i="62" s="1"/>
  <c r="G111" i="46"/>
  <c r="G141" i="46"/>
  <c r="I113" i="46"/>
  <c r="I35" i="46"/>
  <c r="H25" i="62"/>
  <c r="H39" i="62" s="1"/>
  <c r="D17" i="42"/>
  <c r="F27" i="62"/>
  <c r="I44" i="46"/>
  <c r="I113" i="56"/>
  <c r="Q113" i="56" s="1"/>
  <c r="I17" i="42"/>
  <c r="G111" i="56"/>
  <c r="F25" i="62"/>
  <c r="F39" i="62" s="1"/>
  <c r="G25" i="56"/>
  <c r="G26" i="56" s="1"/>
  <c r="F85" i="46"/>
  <c r="G121" i="46"/>
  <c r="F23" i="62"/>
  <c r="F37" i="62" s="1"/>
  <c r="F32" i="62"/>
  <c r="F46" i="62" s="1"/>
  <c r="L46" i="62" s="1"/>
  <c r="G20" i="42"/>
  <c r="G42" i="56"/>
  <c r="O42" i="56" s="1"/>
  <c r="G33" i="46"/>
  <c r="F7" i="47"/>
  <c r="D24" i="62"/>
  <c r="E20" i="42"/>
  <c r="D32" i="62"/>
  <c r="D26" i="62"/>
  <c r="I85" i="46"/>
  <c r="D27" i="62"/>
  <c r="D41" i="62" s="1"/>
  <c r="E42" i="46"/>
  <c r="M64" i="56"/>
  <c r="D30" i="62"/>
  <c r="E111" i="46"/>
  <c r="D23" i="62"/>
  <c r="D37" i="62" s="1"/>
  <c r="E111" i="56"/>
  <c r="D25" i="62"/>
  <c r="D7" i="47"/>
  <c r="E131" i="46"/>
  <c r="E56" i="56"/>
  <c r="E17" i="42"/>
  <c r="E145" i="46"/>
  <c r="G23" i="56"/>
  <c r="G24" i="56" s="1"/>
  <c r="D25" i="56"/>
  <c r="D26" i="56" s="1"/>
  <c r="F23" i="56"/>
  <c r="F24" i="56" s="1"/>
  <c r="N33" i="56"/>
  <c r="L33" i="56"/>
  <c r="L61" i="56"/>
  <c r="N61" i="56"/>
  <c r="D21" i="56"/>
  <c r="D22" i="56" s="1"/>
  <c r="L21" i="56"/>
  <c r="O33" i="56"/>
  <c r="P61" i="56"/>
  <c r="F102" i="46" l="1"/>
  <c r="E65" i="56"/>
  <c r="E82" i="56"/>
  <c r="H83" i="46"/>
  <c r="H102" i="46"/>
  <c r="E65" i="46"/>
  <c r="G102" i="46"/>
  <c r="I82" i="56"/>
  <c r="I86" i="56" s="1"/>
  <c r="I16" i="56" s="1"/>
  <c r="E91" i="46"/>
  <c r="G102" i="56"/>
  <c r="E92" i="56"/>
  <c r="I82" i="46"/>
  <c r="E83" i="56"/>
  <c r="G92" i="56"/>
  <c r="I83" i="46"/>
  <c r="E91" i="56"/>
  <c r="O61" i="56"/>
  <c r="O65" i="56" s="1"/>
  <c r="I102" i="46"/>
  <c r="I105" i="46" s="1"/>
  <c r="G83" i="56"/>
  <c r="G65" i="56"/>
  <c r="H77" i="46"/>
  <c r="H15" i="46" s="1"/>
  <c r="N32" i="62"/>
  <c r="G91" i="56"/>
  <c r="F83" i="46"/>
  <c r="G82" i="56"/>
  <c r="E82" i="46"/>
  <c r="E86" i="46" s="1"/>
  <c r="E16" i="46" s="1"/>
  <c r="E77" i="46"/>
  <c r="E15" i="46" s="1"/>
  <c r="I77" i="46"/>
  <c r="I15" i="46" s="1"/>
  <c r="F77" i="46"/>
  <c r="D95" i="56"/>
  <c r="D17" i="56" s="1"/>
  <c r="D75" i="46"/>
  <c r="D77" i="46" s="1"/>
  <c r="D93" i="46"/>
  <c r="D84" i="46"/>
  <c r="E84" i="46" s="1"/>
  <c r="F84" i="46" s="1"/>
  <c r="G84" i="46" s="1"/>
  <c r="H84" i="46" s="1"/>
  <c r="I84" i="46" s="1"/>
  <c r="G65" i="46"/>
  <c r="G14" i="46" s="1"/>
  <c r="H91" i="56"/>
  <c r="H95" i="56" s="1"/>
  <c r="H17" i="56" s="1"/>
  <c r="H82" i="56"/>
  <c r="H86" i="56" s="1"/>
  <c r="H16" i="56" s="1"/>
  <c r="G91" i="46"/>
  <c r="G95" i="46" s="1"/>
  <c r="G17" i="46" s="1"/>
  <c r="G77" i="46"/>
  <c r="G15" i="46" s="1"/>
  <c r="Q61" i="56"/>
  <c r="Q65" i="56" s="1"/>
  <c r="G82" i="46"/>
  <c r="G86" i="46" s="1"/>
  <c r="G16" i="46" s="1"/>
  <c r="G101" i="46"/>
  <c r="L65" i="56"/>
  <c r="L14" i="56" s="1"/>
  <c r="I77" i="56"/>
  <c r="I15" i="56" s="1"/>
  <c r="D77" i="56"/>
  <c r="D15" i="56" s="1"/>
  <c r="H77" i="56"/>
  <c r="H15" i="56" s="1"/>
  <c r="F77" i="56"/>
  <c r="F15" i="56" s="1"/>
  <c r="P65" i="56"/>
  <c r="P14" i="56" s="1"/>
  <c r="G77" i="56"/>
  <c r="G15" i="56" s="1"/>
  <c r="E77" i="56"/>
  <c r="E15" i="56" s="1"/>
  <c r="F95" i="56"/>
  <c r="F17" i="56" s="1"/>
  <c r="D115" i="46"/>
  <c r="D20" i="46" s="1"/>
  <c r="G24" i="42"/>
  <c r="F19" i="47" s="1"/>
  <c r="J32" i="62"/>
  <c r="L39" i="62"/>
  <c r="M32" i="62"/>
  <c r="N39" i="62"/>
  <c r="M39" i="62"/>
  <c r="J25" i="62"/>
  <c r="H24" i="42"/>
  <c r="G19" i="47" s="1"/>
  <c r="D24" i="42"/>
  <c r="C19" i="47" s="1"/>
  <c r="J41" i="62"/>
  <c r="M40" i="62"/>
  <c r="L29" i="62"/>
  <c r="F24" i="42"/>
  <c r="E19" i="47" s="1"/>
  <c r="D146" i="46"/>
  <c r="D25" i="46" s="1"/>
  <c r="D26" i="46" s="1"/>
  <c r="L26" i="46" s="1"/>
  <c r="N26" i="62"/>
  <c r="E37" i="46"/>
  <c r="E10" i="46" s="1"/>
  <c r="K46" i="62"/>
  <c r="N45" i="62"/>
  <c r="G37" i="56"/>
  <c r="G10" i="56" s="1"/>
  <c r="G11" i="56" s="1"/>
  <c r="F136" i="46"/>
  <c r="F23" i="46" s="1"/>
  <c r="H115" i="56"/>
  <c r="H20" i="56" s="1"/>
  <c r="K45" i="62"/>
  <c r="H82" i="46"/>
  <c r="H91" i="46"/>
  <c r="H95" i="46" s="1"/>
  <c r="H17" i="46" s="1"/>
  <c r="F15" i="46"/>
  <c r="F91" i="46"/>
  <c r="F82" i="46"/>
  <c r="D65" i="46"/>
  <c r="D14" i="46" s="1"/>
  <c r="D82" i="46"/>
  <c r="D86" i="46" s="1"/>
  <c r="D16" i="46" s="1"/>
  <c r="D91" i="46"/>
  <c r="D37" i="46"/>
  <c r="G126" i="46"/>
  <c r="G21" i="46" s="1"/>
  <c r="G22" i="46" s="1"/>
  <c r="O22" i="46" s="1"/>
  <c r="G37" i="46"/>
  <c r="G10" i="46" s="1"/>
  <c r="H46" i="46"/>
  <c r="H12" i="46" s="1"/>
  <c r="I37" i="46"/>
  <c r="I10" i="46" s="1"/>
  <c r="I95" i="46"/>
  <c r="I17" i="46" s="1"/>
  <c r="F46" i="46"/>
  <c r="F12" i="46" s="1"/>
  <c r="E95" i="46"/>
  <c r="E17" i="46" s="1"/>
  <c r="M45" i="62"/>
  <c r="D126" i="46"/>
  <c r="D21" i="46" s="1"/>
  <c r="D22" i="46" s="1"/>
  <c r="L22" i="46" s="1"/>
  <c r="L45" i="62"/>
  <c r="J31" i="62"/>
  <c r="F146" i="46"/>
  <c r="G136" i="46"/>
  <c r="G23" i="46" s="1"/>
  <c r="G24" i="46" s="1"/>
  <c r="N27" i="62"/>
  <c r="F37" i="46"/>
  <c r="F10" i="46" s="1"/>
  <c r="F11" i="46" s="1"/>
  <c r="N11" i="46" s="1"/>
  <c r="K31" i="62"/>
  <c r="H115" i="46"/>
  <c r="I146" i="46"/>
  <c r="E115" i="46"/>
  <c r="E20" i="46" s="1"/>
  <c r="L31" i="62"/>
  <c r="E126" i="46"/>
  <c r="E21" i="46" s="1"/>
  <c r="L27" i="62"/>
  <c r="F115" i="46"/>
  <c r="F20" i="46" s="1"/>
  <c r="D19" i="56"/>
  <c r="K38" i="62"/>
  <c r="M24" i="62"/>
  <c r="K24" i="62"/>
  <c r="K26" i="62"/>
  <c r="K40" i="62"/>
  <c r="J26" i="62"/>
  <c r="M26" i="62"/>
  <c r="L40" i="62"/>
  <c r="I126" i="46"/>
  <c r="I21" i="46" s="1"/>
  <c r="G115" i="46"/>
  <c r="G20" i="46" s="1"/>
  <c r="O34" i="56"/>
  <c r="O37" i="56" s="1"/>
  <c r="O10" i="56" s="1"/>
  <c r="H146" i="46"/>
  <c r="H25" i="46" s="1"/>
  <c r="M38" i="62"/>
  <c r="N24" i="62"/>
  <c r="N29" i="62"/>
  <c r="M28" i="62"/>
  <c r="L24" i="62"/>
  <c r="D46" i="46"/>
  <c r="D12" i="46" s="1"/>
  <c r="D13" i="46" s="1"/>
  <c r="L13" i="46" s="1"/>
  <c r="M42" i="62"/>
  <c r="L42" i="62"/>
  <c r="J30" i="62"/>
  <c r="K44" i="62"/>
  <c r="M27" i="62"/>
  <c r="L28" i="62"/>
  <c r="J27" i="62"/>
  <c r="G41" i="62"/>
  <c r="M41" i="62" s="1"/>
  <c r="H136" i="46"/>
  <c r="H23" i="46" s="1"/>
  <c r="N41" i="62"/>
  <c r="F101" i="46"/>
  <c r="F19" i="46" s="1"/>
  <c r="K41" i="62"/>
  <c r="N42" i="62"/>
  <c r="D101" i="46"/>
  <c r="D19" i="46" s="1"/>
  <c r="L19" i="46" s="1"/>
  <c r="K42" i="62"/>
  <c r="G46" i="62"/>
  <c r="M46" i="62" s="1"/>
  <c r="J29" i="62"/>
  <c r="H65" i="46"/>
  <c r="H101" i="46"/>
  <c r="H105" i="46" s="1"/>
  <c r="C33" i="62"/>
  <c r="M29" i="62"/>
  <c r="K30" i="62"/>
  <c r="L44" i="62"/>
  <c r="N38" i="62"/>
  <c r="J28" i="62"/>
  <c r="K29" i="62"/>
  <c r="N30" i="62"/>
  <c r="L38" i="62"/>
  <c r="J24" i="62"/>
  <c r="M44" i="62"/>
  <c r="P115" i="56"/>
  <c r="P20" i="56" s="1"/>
  <c r="G115" i="56"/>
  <c r="G20" i="56" s="1"/>
  <c r="E33" i="62"/>
  <c r="N23" i="62"/>
  <c r="N28" i="62"/>
  <c r="E46" i="46"/>
  <c r="E12" i="46" s="1"/>
  <c r="H37" i="46"/>
  <c r="H10" i="46" s="1"/>
  <c r="H126" i="46"/>
  <c r="H21" i="46" s="1"/>
  <c r="M25" i="62"/>
  <c r="G33" i="62"/>
  <c r="M31" i="62"/>
  <c r="N37" i="56"/>
  <c r="N10" i="56" s="1"/>
  <c r="G43" i="62"/>
  <c r="M43" i="62" s="1"/>
  <c r="M30" i="62"/>
  <c r="F37" i="56"/>
  <c r="F10" i="56" s="1"/>
  <c r="F11" i="56" s="1"/>
  <c r="G146" i="46"/>
  <c r="G25" i="46" s="1"/>
  <c r="G95" i="56"/>
  <c r="G17" i="56" s="1"/>
  <c r="L30" i="62"/>
  <c r="N65" i="56"/>
  <c r="O46" i="56"/>
  <c r="O12" i="56" s="1"/>
  <c r="G46" i="46"/>
  <c r="N46" i="56"/>
  <c r="N12" i="56" s="1"/>
  <c r="F126" i="46"/>
  <c r="F21" i="46" s="1"/>
  <c r="F22" i="46" s="1"/>
  <c r="I136" i="46"/>
  <c r="I23" i="46" s="1"/>
  <c r="E43" i="62"/>
  <c r="K43" i="62" s="1"/>
  <c r="E39" i="62"/>
  <c r="K39" i="62" s="1"/>
  <c r="K25" i="62"/>
  <c r="K32" i="62"/>
  <c r="K27" i="62"/>
  <c r="F115" i="56"/>
  <c r="F20" i="56" s="1"/>
  <c r="K28" i="62"/>
  <c r="N115" i="56"/>
  <c r="N20" i="56" s="1"/>
  <c r="I19" i="46"/>
  <c r="I115" i="46"/>
  <c r="I20" i="46" s="1"/>
  <c r="P46" i="56"/>
  <c r="P12" i="56" s="1"/>
  <c r="H19" i="56"/>
  <c r="H46" i="56"/>
  <c r="H12" i="56" s="1"/>
  <c r="H13" i="56" s="1"/>
  <c r="P37" i="56"/>
  <c r="P10" i="56" s="1"/>
  <c r="H37" i="56"/>
  <c r="H10" i="56" s="1"/>
  <c r="H11" i="56" s="1"/>
  <c r="F46" i="56"/>
  <c r="F12" i="56" s="1"/>
  <c r="F13" i="56" s="1"/>
  <c r="M46" i="56"/>
  <c r="M12" i="56" s="1"/>
  <c r="H33" i="62"/>
  <c r="N31" i="62"/>
  <c r="D38" i="62"/>
  <c r="J38" i="62" s="1"/>
  <c r="D43" i="62"/>
  <c r="J43" i="62" s="1"/>
  <c r="E146" i="46"/>
  <c r="L25" i="62"/>
  <c r="E19" i="46"/>
  <c r="D45" i="62"/>
  <c r="J45" i="62" s="1"/>
  <c r="D39" i="62"/>
  <c r="J39" i="62" s="1"/>
  <c r="D42" i="62"/>
  <c r="J42" i="62" s="1"/>
  <c r="D44" i="62"/>
  <c r="J44" i="62" s="1"/>
  <c r="F57" i="56"/>
  <c r="I19" i="56"/>
  <c r="H57" i="46"/>
  <c r="F41" i="62"/>
  <c r="L41" i="62" s="1"/>
  <c r="I24" i="42"/>
  <c r="F65" i="46"/>
  <c r="F14" i="46" s="1"/>
  <c r="C37" i="62"/>
  <c r="C47" i="62" s="1"/>
  <c r="H40" i="62"/>
  <c r="N40" i="62" s="1"/>
  <c r="L37" i="56"/>
  <c r="L10" i="56" s="1"/>
  <c r="K23" i="62"/>
  <c r="F86" i="56"/>
  <c r="F16" i="56" s="1"/>
  <c r="D37" i="56"/>
  <c r="D10" i="56" s="1"/>
  <c r="D11" i="56" s="1"/>
  <c r="M23" i="62"/>
  <c r="H43" i="62"/>
  <c r="N43" i="62" s="1"/>
  <c r="H44" i="62"/>
  <c r="N44" i="62" s="1"/>
  <c r="I95" i="56"/>
  <c r="E136" i="46"/>
  <c r="I46" i="46"/>
  <c r="I12" i="46" s="1"/>
  <c r="D136" i="46"/>
  <c r="D23" i="46" s="1"/>
  <c r="D24" i="46" s="1"/>
  <c r="L24" i="46" s="1"/>
  <c r="D115" i="56"/>
  <c r="D20" i="56" s="1"/>
  <c r="E57" i="56"/>
  <c r="E57" i="46"/>
  <c r="E19" i="56"/>
  <c r="F19" i="56"/>
  <c r="I37" i="56"/>
  <c r="I10" i="56" s="1"/>
  <c r="I11" i="56" s="1"/>
  <c r="G19" i="56"/>
  <c r="G57" i="56"/>
  <c r="I57" i="56"/>
  <c r="Q46" i="56"/>
  <c r="Q12" i="56" s="1"/>
  <c r="D46" i="62"/>
  <c r="J46" i="62" s="1"/>
  <c r="L26" i="62"/>
  <c r="G46" i="56"/>
  <c r="G12" i="56" s="1"/>
  <c r="G13" i="56" s="1"/>
  <c r="O111" i="56"/>
  <c r="J23" i="62"/>
  <c r="H46" i="62"/>
  <c r="N46" i="62" s="1"/>
  <c r="L23" i="62"/>
  <c r="N25" i="62"/>
  <c r="G57" i="46"/>
  <c r="L115" i="56"/>
  <c r="L20" i="56" s="1"/>
  <c r="Q37" i="56"/>
  <c r="I115" i="56"/>
  <c r="Q115" i="56"/>
  <c r="Q20" i="56" s="1"/>
  <c r="L46" i="56"/>
  <c r="L12" i="56" s="1"/>
  <c r="E46" i="56"/>
  <c r="E12" i="56" s="1"/>
  <c r="E13" i="56" s="1"/>
  <c r="D46" i="56"/>
  <c r="D12" i="56" s="1"/>
  <c r="D13" i="56" s="1"/>
  <c r="H57" i="56"/>
  <c r="I46" i="56"/>
  <c r="I57" i="46"/>
  <c r="F57" i="46"/>
  <c r="D33" i="62"/>
  <c r="D40" i="62"/>
  <c r="J40" i="62" s="1"/>
  <c r="F33" i="62"/>
  <c r="L32" i="62"/>
  <c r="F43" i="62"/>
  <c r="L43" i="62" s="1"/>
  <c r="E115" i="56"/>
  <c r="E20" i="56" s="1"/>
  <c r="E37" i="56"/>
  <c r="E24" i="42"/>
  <c r="D19" i="47" s="1"/>
  <c r="M37" i="56"/>
  <c r="M10" i="56" s="1"/>
  <c r="M65" i="56"/>
  <c r="M14" i="56" s="1"/>
  <c r="M111" i="56"/>
  <c r="M115" i="56" s="1"/>
  <c r="M20" i="56" s="1"/>
  <c r="E25" i="56"/>
  <c r="E26" i="56" s="1"/>
  <c r="H105" i="56"/>
  <c r="F14" i="56"/>
  <c r="F66" i="56"/>
  <c r="H66" i="56"/>
  <c r="H14" i="56"/>
  <c r="F105" i="56"/>
  <c r="E105" i="56"/>
  <c r="I23" i="56"/>
  <c r="I24" i="56" s="1"/>
  <c r="D105" i="56"/>
  <c r="D18" i="56" s="1"/>
  <c r="I105" i="56"/>
  <c r="G105" i="56"/>
  <c r="E14" i="46"/>
  <c r="H21" i="56"/>
  <c r="H22" i="56" s="1"/>
  <c r="I14" i="56"/>
  <c r="I66" i="56"/>
  <c r="I25" i="56"/>
  <c r="I26" i="56" s="1"/>
  <c r="O21" i="56"/>
  <c r="P21" i="56"/>
  <c r="D23" i="56"/>
  <c r="D24" i="56" s="1"/>
  <c r="N21" i="56"/>
  <c r="Q21" i="56"/>
  <c r="G21" i="56"/>
  <c r="G22" i="56" s="1"/>
  <c r="E105" i="46"/>
  <c r="E21" i="56"/>
  <c r="E22" i="56" s="1"/>
  <c r="H25" i="56"/>
  <c r="H26" i="56" s="1"/>
  <c r="F21" i="56"/>
  <c r="F22" i="56" s="1"/>
  <c r="E23" i="56"/>
  <c r="E24" i="56" s="1"/>
  <c r="H23" i="56"/>
  <c r="H24" i="56" s="1"/>
  <c r="I21" i="56"/>
  <c r="I22" i="56" s="1"/>
  <c r="G66" i="56"/>
  <c r="G14" i="56"/>
  <c r="I14" i="46"/>
  <c r="F25" i="56"/>
  <c r="F26" i="56" s="1"/>
  <c r="E66" i="56"/>
  <c r="E14" i="56"/>
  <c r="E86" i="56" l="1"/>
  <c r="E16" i="56" s="1"/>
  <c r="G105" i="46"/>
  <c r="G86" i="56"/>
  <c r="G16" i="56" s="1"/>
  <c r="G19" i="46"/>
  <c r="O19" i="46" s="1"/>
  <c r="E95" i="56"/>
  <c r="E17" i="56" s="1"/>
  <c r="I86" i="46"/>
  <c r="I16" i="46" s="1"/>
  <c r="Q16" i="46" s="1"/>
  <c r="Q66" i="56"/>
  <c r="I147" i="46"/>
  <c r="N66" i="56"/>
  <c r="O66" i="56"/>
  <c r="P66" i="56"/>
  <c r="G21" i="47"/>
  <c r="H116" i="46"/>
  <c r="I26" i="42"/>
  <c r="F21" i="47"/>
  <c r="G26" i="42"/>
  <c r="H26" i="42"/>
  <c r="H147" i="46"/>
  <c r="E38" i="46"/>
  <c r="H116" i="56"/>
  <c r="F147" i="46"/>
  <c r="I127" i="46"/>
  <c r="I38" i="46"/>
  <c r="F25" i="46"/>
  <c r="F26" i="46" s="1"/>
  <c r="E147" i="46"/>
  <c r="F26" i="42"/>
  <c r="E21" i="47"/>
  <c r="G38" i="46"/>
  <c r="F66" i="47"/>
  <c r="H20" i="46"/>
  <c r="D10" i="46"/>
  <c r="G42" i="47" s="1"/>
  <c r="D105" i="46"/>
  <c r="D18" i="46" s="1"/>
  <c r="I96" i="56"/>
  <c r="I17" i="56"/>
  <c r="H66" i="46"/>
  <c r="E63" i="47"/>
  <c r="F63" i="47"/>
  <c r="F62" i="47"/>
  <c r="G127" i="46"/>
  <c r="F38" i="46"/>
  <c r="F86" i="46"/>
  <c r="F16" i="46" s="1"/>
  <c r="N16" i="46" s="1"/>
  <c r="H19" i="46"/>
  <c r="G55" i="47" s="1"/>
  <c r="H86" i="46"/>
  <c r="H16" i="46" s="1"/>
  <c r="P16" i="46" s="1"/>
  <c r="E127" i="46"/>
  <c r="G78" i="46"/>
  <c r="F95" i="46"/>
  <c r="G116" i="46"/>
  <c r="F116" i="46"/>
  <c r="I25" i="46"/>
  <c r="H66" i="47" s="1"/>
  <c r="E116" i="46"/>
  <c r="D95" i="46"/>
  <c r="D17" i="46" s="1"/>
  <c r="L17" i="46" s="1"/>
  <c r="H14" i="46"/>
  <c r="G46" i="47" s="1"/>
  <c r="F116" i="56"/>
  <c r="H127" i="46"/>
  <c r="G47" i="62"/>
  <c r="N22" i="46"/>
  <c r="E62" i="47"/>
  <c r="I137" i="46"/>
  <c r="F137" i="46"/>
  <c r="H47" i="46"/>
  <c r="H137" i="46"/>
  <c r="G47" i="46"/>
  <c r="F47" i="46"/>
  <c r="H38" i="46"/>
  <c r="F127" i="46"/>
  <c r="J37" i="62"/>
  <c r="J47" i="62" s="1"/>
  <c r="L37" i="62"/>
  <c r="L47" i="62" s="1"/>
  <c r="L16" i="46"/>
  <c r="M37" i="62"/>
  <c r="M47" i="62" s="1"/>
  <c r="N37" i="62"/>
  <c r="N47" i="62" s="1"/>
  <c r="K37" i="62"/>
  <c r="K47" i="62" s="1"/>
  <c r="J33" i="62"/>
  <c r="D70" i="47" s="1"/>
  <c r="I116" i="56"/>
  <c r="N33" i="62"/>
  <c r="H70" i="47" s="1"/>
  <c r="G116" i="56"/>
  <c r="G12" i="46"/>
  <c r="G13" i="46" s="1"/>
  <c r="G26" i="46"/>
  <c r="F67" i="47" s="1"/>
  <c r="G147" i="46"/>
  <c r="M33" i="62"/>
  <c r="G70" i="47" s="1"/>
  <c r="O115" i="56"/>
  <c r="O20" i="56" s="1"/>
  <c r="K33" i="62"/>
  <c r="E70" i="47" s="1"/>
  <c r="Q14" i="56"/>
  <c r="G38" i="56"/>
  <c r="F38" i="56"/>
  <c r="O38" i="56"/>
  <c r="E10" i="56"/>
  <c r="E11" i="56" s="1"/>
  <c r="E137" i="46"/>
  <c r="G137" i="46"/>
  <c r="F64" i="47"/>
  <c r="E47" i="46"/>
  <c r="Q38" i="56"/>
  <c r="N38" i="56"/>
  <c r="P38" i="56"/>
  <c r="E47" i="62"/>
  <c r="I116" i="46"/>
  <c r="H38" i="56"/>
  <c r="E25" i="46"/>
  <c r="D66" i="47" s="1"/>
  <c r="I38" i="56"/>
  <c r="I47" i="46"/>
  <c r="F47" i="62"/>
  <c r="N14" i="56"/>
  <c r="N27" i="56" s="1"/>
  <c r="E23" i="46"/>
  <c r="D64" i="47" s="1"/>
  <c r="F105" i="46"/>
  <c r="F18" i="46" s="1"/>
  <c r="H19" i="47"/>
  <c r="H20" i="47" s="1"/>
  <c r="H47" i="62"/>
  <c r="D47" i="62"/>
  <c r="L33" i="62"/>
  <c r="F70" i="47" s="1"/>
  <c r="O14" i="56"/>
  <c r="O47" i="56"/>
  <c r="H47" i="56"/>
  <c r="P47" i="56"/>
  <c r="I47" i="56"/>
  <c r="F47" i="56"/>
  <c r="G47" i="56"/>
  <c r="I66" i="46"/>
  <c r="Q47" i="56"/>
  <c r="P116" i="56"/>
  <c r="Q10" i="56"/>
  <c r="P27" i="56"/>
  <c r="L27" i="56"/>
  <c r="M27" i="56"/>
  <c r="I20" i="56"/>
  <c r="Q116" i="56"/>
  <c r="N116" i="56"/>
  <c r="E47" i="56"/>
  <c r="M116" i="56"/>
  <c r="E38" i="56"/>
  <c r="I12" i="56"/>
  <c r="I13" i="56" s="1"/>
  <c r="E116" i="56"/>
  <c r="M47" i="56"/>
  <c r="N47" i="56"/>
  <c r="M66" i="56"/>
  <c r="E46" i="47"/>
  <c r="F46" i="47"/>
  <c r="F66" i="46"/>
  <c r="G66" i="46"/>
  <c r="D46" i="47"/>
  <c r="H46" i="47"/>
  <c r="E66" i="46"/>
  <c r="D21" i="47"/>
  <c r="M38" i="56"/>
  <c r="M21" i="56"/>
  <c r="E26" i="42"/>
  <c r="E27" i="42" s="1"/>
  <c r="D20" i="47"/>
  <c r="E18" i="46"/>
  <c r="I18" i="46"/>
  <c r="G78" i="56"/>
  <c r="Q15" i="46"/>
  <c r="I87" i="56"/>
  <c r="E64" i="47"/>
  <c r="F24" i="46"/>
  <c r="G11" i="46"/>
  <c r="M19" i="46"/>
  <c r="D55" i="47"/>
  <c r="F58" i="47"/>
  <c r="F96" i="56"/>
  <c r="O16" i="46"/>
  <c r="Q19" i="46"/>
  <c r="H55" i="47"/>
  <c r="O17" i="46"/>
  <c r="F18" i="56"/>
  <c r="F106" i="56"/>
  <c r="I78" i="56"/>
  <c r="F78" i="56"/>
  <c r="G87" i="46"/>
  <c r="H11" i="46"/>
  <c r="P17" i="46"/>
  <c r="I11" i="46"/>
  <c r="E11" i="46"/>
  <c r="N19" i="46"/>
  <c r="E55" i="47"/>
  <c r="H78" i="56"/>
  <c r="H22" i="46"/>
  <c r="G62" i="47"/>
  <c r="G87" i="56"/>
  <c r="H13" i="46"/>
  <c r="G44" i="47"/>
  <c r="I87" i="46"/>
  <c r="E58" i="47"/>
  <c r="H18" i="56"/>
  <c r="H106" i="56"/>
  <c r="F87" i="56"/>
  <c r="H24" i="46"/>
  <c r="G64" i="47"/>
  <c r="M15" i="46"/>
  <c r="H62" i="47"/>
  <c r="I22" i="46"/>
  <c r="H96" i="56"/>
  <c r="H58" i="47"/>
  <c r="P15" i="46"/>
  <c r="E44" i="47"/>
  <c r="F13" i="46"/>
  <c r="F20" i="47"/>
  <c r="G20" i="47"/>
  <c r="E20" i="47"/>
  <c r="I106" i="56"/>
  <c r="I18" i="56"/>
  <c r="E106" i="56"/>
  <c r="E18" i="56"/>
  <c r="H64" i="47"/>
  <c r="I24" i="46"/>
  <c r="D62" i="47"/>
  <c r="E22" i="46"/>
  <c r="H44" i="47"/>
  <c r="I13" i="46"/>
  <c r="F65" i="47"/>
  <c r="O24" i="46"/>
  <c r="E13" i="46"/>
  <c r="D44" i="47"/>
  <c r="H18" i="46"/>
  <c r="E87" i="46"/>
  <c r="G18" i="46"/>
  <c r="G96" i="56"/>
  <c r="E78" i="56"/>
  <c r="Q17" i="46"/>
  <c r="H87" i="56"/>
  <c r="M16" i="46"/>
  <c r="F55" i="47"/>
  <c r="G66" i="47"/>
  <c r="H26" i="46"/>
  <c r="D58" i="47"/>
  <c r="G18" i="56"/>
  <c r="G106" i="56"/>
  <c r="M17" i="46"/>
  <c r="O15" i="46"/>
  <c r="E87" i="56" l="1"/>
  <c r="E96" i="56"/>
  <c r="I27" i="42"/>
  <c r="I96" i="46"/>
  <c r="H51" i="47"/>
  <c r="G27" i="42"/>
  <c r="H27" i="42"/>
  <c r="F87" i="46"/>
  <c r="E66" i="47"/>
  <c r="G54" i="47"/>
  <c r="H54" i="47"/>
  <c r="E42" i="47"/>
  <c r="G58" i="47"/>
  <c r="H42" i="47"/>
  <c r="F42" i="47"/>
  <c r="D11" i="46"/>
  <c r="H43" i="47" s="1"/>
  <c r="D42" i="47"/>
  <c r="E96" i="46"/>
  <c r="D51" i="47"/>
  <c r="I26" i="46"/>
  <c r="H67" i="47" s="1"/>
  <c r="E106" i="46"/>
  <c r="G106" i="46"/>
  <c r="F54" i="47"/>
  <c r="I106" i="46"/>
  <c r="E54" i="47"/>
  <c r="H87" i="46"/>
  <c r="H106" i="46"/>
  <c r="D54" i="47"/>
  <c r="G96" i="46"/>
  <c r="G51" i="47"/>
  <c r="H96" i="46"/>
  <c r="F51" i="47"/>
  <c r="E78" i="46"/>
  <c r="D15" i="46"/>
  <c r="F96" i="46"/>
  <c r="F17" i="46"/>
  <c r="N17" i="46" s="1"/>
  <c r="F78" i="46"/>
  <c r="P19" i="46"/>
  <c r="O26" i="46"/>
  <c r="H78" i="46"/>
  <c r="I78" i="46"/>
  <c r="N15" i="46"/>
  <c r="G50" i="47"/>
  <c r="D50" i="47"/>
  <c r="F50" i="47"/>
  <c r="H50" i="47"/>
  <c r="E50" i="47"/>
  <c r="Q27" i="56"/>
  <c r="F44" i="47"/>
  <c r="O116" i="56"/>
  <c r="O27" i="56"/>
  <c r="H21" i="47"/>
  <c r="E24" i="46"/>
  <c r="D65" i="47" s="1"/>
  <c r="F106" i="46"/>
  <c r="E26" i="46"/>
  <c r="M26" i="46" s="1"/>
  <c r="F27" i="42"/>
  <c r="Q22" i="46"/>
  <c r="H63" i="47"/>
  <c r="G59" i="47"/>
  <c r="O11" i="46"/>
  <c r="H45" i="47"/>
  <c r="Q13" i="46"/>
  <c r="P13" i="46"/>
  <c r="G45" i="47"/>
  <c r="Q11" i="46"/>
  <c r="H59" i="47"/>
  <c r="E65" i="47"/>
  <c r="N24" i="46"/>
  <c r="P22" i="46"/>
  <c r="G63" i="47"/>
  <c r="D63" i="47"/>
  <c r="M22" i="46"/>
  <c r="E59" i="47"/>
  <c r="F59" i="47"/>
  <c r="M11" i="46"/>
  <c r="D59" i="47"/>
  <c r="N26" i="46"/>
  <c r="E67" i="47"/>
  <c r="O13" i="46"/>
  <c r="F45" i="47"/>
  <c r="H65" i="47"/>
  <c r="Q24" i="46"/>
  <c r="P26" i="46"/>
  <c r="G67" i="47"/>
  <c r="D45" i="47"/>
  <c r="M13" i="46"/>
  <c r="E45" i="47"/>
  <c r="N13" i="46"/>
  <c r="G65" i="47"/>
  <c r="P24" i="46"/>
  <c r="P11" i="46"/>
  <c r="E43" i="47" l="1"/>
  <c r="L11" i="46"/>
  <c r="D43" i="47"/>
  <c r="G43" i="47"/>
  <c r="F43" i="47"/>
  <c r="E51" i="47"/>
  <c r="Q26" i="46"/>
  <c r="N27" i="46"/>
  <c r="E28" i="47" s="1"/>
  <c r="E34" i="47" s="1"/>
  <c r="L15" i="46"/>
  <c r="H49" i="47"/>
  <c r="D49" i="47"/>
  <c r="G49" i="47"/>
  <c r="E49" i="47"/>
  <c r="F49" i="47"/>
  <c r="M24" i="46"/>
  <c r="D67" i="47"/>
  <c r="O27" i="46"/>
  <c r="F28" i="47" s="1"/>
  <c r="F34" i="47" s="1"/>
  <c r="Q27" i="46"/>
  <c r="H28" i="47" s="1"/>
  <c r="M27" i="46"/>
  <c r="D28" i="47" s="1"/>
  <c r="D34" i="47" s="1"/>
  <c r="P27" i="46"/>
  <c r="G28" i="47" s="1"/>
  <c r="L27" i="46" l="1"/>
  <c r="C28" i="47" s="1"/>
  <c r="C34" i="47" s="1"/>
  <c r="D36" i="47" s="1"/>
  <c r="F30" i="47"/>
  <c r="F36" i="47"/>
  <c r="E30" i="47"/>
  <c r="E36" i="47"/>
  <c r="G30" i="47"/>
  <c r="G34" i="47"/>
  <c r="H34" i="47"/>
  <c r="H30" i="47"/>
  <c r="D29" i="47" l="1"/>
  <c r="D30" i="47"/>
  <c r="E29" i="47"/>
  <c r="H29" i="47"/>
  <c r="G29" i="47"/>
  <c r="F29" i="47"/>
  <c r="F35" i="47"/>
  <c r="E35" i="47"/>
  <c r="D35" i="47"/>
  <c r="G35" i="47"/>
  <c r="G36" i="47"/>
  <c r="H35" i="47"/>
  <c r="H36"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<sst xmlns="http://schemas.openxmlformats.org/spreadsheetml/2006/main" count="4834" uniqueCount="2282">
  <si>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</si>
  <si>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</si>
  <si>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</si>
  <si>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</si>
  <si>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</si>
  <si>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</si>
  <si>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</si>
  <si>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</si>
  <si>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</si>
  <si>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</si>
  <si>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</si>
  <si>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</si>
  <si>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</si>
  <si>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</si>
  <si>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</si>
  <si>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</si>
  <si>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</si>
  <si>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</si>
  <si>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</si>
  <si>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</si>
  <si>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</si>
  <si>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</si>
  <si>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</si>
  <si>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</si>
  <si>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</si>
  <si>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</si>
  <si>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</si>
  <si>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</si>
  <si>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</si>
  <si>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</si>
  <si>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</si>
  <si>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</si>
  <si>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</si>
  <si>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</si>
  <si>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</si>
  <si>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</si>
  <si>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</si>
  <si>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</si>
  <si>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</si>
  <si>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</si>
  <si>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</si>
  <si>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</si>
  <si>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</si>
  <si>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</si>
  <si>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</si>
  <si>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</si>
  <si>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</si>
  <si>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</si>
  <si>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</si>
  <si>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</si>
  <si>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</si>
  <si>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</si>
  <si>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</si>
  <si>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</si>
  <si>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</si>
  <si>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</si>
  <si>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</si>
  <si>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</si>
  <si>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</si>
  <si>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</si>
  <si>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</si>
  <si>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</si>
  <si>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</si>
  <si>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</si>
  <si>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</si>
  <si>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</si>
  <si>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</si>
  <si>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</si>
  <si>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</si>
  <si>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</si>
  <si>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</si>
  <si>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</si>
  <si>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</si>
  <si>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</si>
  <si>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</si>
  <si>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</si>
  <si>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</si>
  <si>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</si>
  <si>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</si>
  <si>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</si>
  <si>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</si>
  <si>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</si>
  <si>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</si>
  <si>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</si>
  <si>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</si>
  <si>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</si>
  <si>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</si>
  <si>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</si>
  <si>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</si>
  <si>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</si>
  <si>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</si>
  <si>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</si>
  <si>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</si>
  <si>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</si>
  <si>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</si>
  <si>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</si>
  <si>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</si>
  <si>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</si>
  <si>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</si>
  <si>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</si>
  <si>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</si>
  <si>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</si>
  <si>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</si>
  <si>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</si>
  <si>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</si>
  <si>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</si>
  <si>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</si>
  <si>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</si>
  <si>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</si>
  <si>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</si>
  <si>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</si>
  <si>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</si>
  <si>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</si>
  <si>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</si>
  <si>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</si>
  <si>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</si>
  <si>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</si>
  <si>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</si>
  <si>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</si>
  <si>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</si>
  <si>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</si>
  <si>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</si>
  <si>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</si>
  <si>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</si>
  <si>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</si>
  <si>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</si>
  <si>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</si>
  <si>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</si>
  <si>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</si>
  <si>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</si>
  <si>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</si>
  <si>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</si>
  <si>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</si>
  <si>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</si>
  <si>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</si>
  <si>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</si>
  <si>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</si>
  <si>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</si>
  <si>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</si>
  <si>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</si>
  <si>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</si>
  <si>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</si>
  <si>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</si>
  <si>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</si>
  <si>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</si>
  <si>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</si>
  <si>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</si>
  <si>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</si>
  <si>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</si>
  <si>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</si>
  <si>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</si>
  <si>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</si>
  <si>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</si>
  <si>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</si>
  <si>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</si>
  <si>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</si>
  <si>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</si>
  <si>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</si>
  <si>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</si>
  <si>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</si>
  <si>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</si>
  <si>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</si>
  <si>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</si>
  <si>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</si>
  <si>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</si>
  <si>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</si>
  <si>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</si>
  <si>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</si>
  <si>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</si>
  <si>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</si>
  <si>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</si>
  <si>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</si>
  <si>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</si>
  <si>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</si>
  <si>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</si>
  <si>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</si>
  <si>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</si>
  <si>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</si>
  <si>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</si>
  <si>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</si>
  <si>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</si>
  <si>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</si>
  <si>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</si>
  <si>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</si>
  <si>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</si>
  <si>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</si>
  <si>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</si>
  <si>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</si>
  <si>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</si>
  <si>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</si>
  <si>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</si>
  <si>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</si>
  <si>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</si>
  <si>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</si>
  <si>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</si>
  <si>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</si>
  <si>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</si>
  <si>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</si>
  <si>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</si>
  <si>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</si>
  <si>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</si>
  <si>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</si>
  <si>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</si>
  <si>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</si>
  <si>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</si>
  <si>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</si>
  <si>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</si>
  <si>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</si>
  <si>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</si>
  <si>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</si>
  <si>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</si>
  <si>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</si>
  <si>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</si>
  <si>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</si>
  <si>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</si>
  <si>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</si>
  <si>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</si>
  <si>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</si>
  <si>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</si>
  <si>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</si>
  <si>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</si>
  <si>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</si>
  <si>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</si>
  <si>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</si>
  <si>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</si>
  <si>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</si>
  <si>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</si>
  <si>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</si>
  <si>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</si>
  <si>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</si>
  <si>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</si>
  <si>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</si>
  <si>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</si>
  <si>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</si>
  <si>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</si>
  <si>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</si>
  <si>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</si>
  <si>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</si>
  <si>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</si>
  <si>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</si>
  <si>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</si>
  <si>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</si>
  <si>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</si>
  <si>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</si>
  <si>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</si>
  <si>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</si>
  <si>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</si>
  <si>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</si>
  <si>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</si>
  <si>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</si>
  <si>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</si>
  <si>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</si>
  <si>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</si>
  <si>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</si>
  <si>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</si>
  <si>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</si>
  <si>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</si>
  <si>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</si>
  <si>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</si>
  <si>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</si>
  <si>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</si>
  <si>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</si>
  <si>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</si>
  <si>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</si>
  <si>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</si>
  <si>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</si>
  <si>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</si>
  <si>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</si>
  <si>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</si>
  <si>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</si>
  <si>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</si>
  <si>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</si>
  <si>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</si>
  <si>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</si>
  <si>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</si>
  <si>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</si>
  <si>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</si>
  <si>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</si>
  <si>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</si>
  <si>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</si>
  <si>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</si>
  <si>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</si>
  <si>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</si>
  <si>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</si>
  <si>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</si>
  <si>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</si>
  <si>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</si>
  <si>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</si>
  <si>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</si>
  <si>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</si>
  <si>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</si>
  <si>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</si>
  <si>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</si>
  <si>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</si>
  <si>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</si>
  <si>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</si>
  <si>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</si>
  <si>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</si>
  <si>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</si>
  <si>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</si>
  <si>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</si>
  <si>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</si>
  <si>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</si>
  <si>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</si>
  <si>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</si>
  <si>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</si>
  <si>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</si>
  <si>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</si>
  <si>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</si>
  <si>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</si>
  <si>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</si>
  <si>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</si>
  <si>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</si>
  <si>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</si>
  <si>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</si>
  <si>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</si>
  <si>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</si>
  <si>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</si>
  <si>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</si>
  <si>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</si>
  <si>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</si>
  <si>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</si>
  <si>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</si>
  <si>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</si>
  <si>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</si>
  <si>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</si>
  <si>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</si>
  <si>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</si>
  <si>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</si>
  <si>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</si>
  <si>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</si>
  <si>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</si>
  <si>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</si>
  <si>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</si>
  <si>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</si>
  <si>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</si>
  <si>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</si>
  <si>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</si>
  <si>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</si>
  <si>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</si>
  <si>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</si>
  <si>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</si>
  <si>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</si>
  <si>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</si>
  <si>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</si>
  <si>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</si>
  <si>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</si>
  <si>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</si>
  <si>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</si>
  <si>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</si>
  <si>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</si>
  <si>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</si>
  <si>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</si>
  <si>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</si>
  <si>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</si>
  <si>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</si>
  <si>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</si>
  <si>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</si>
  <si>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</si>
  <si>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</si>
  <si>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</si>
  <si>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</si>
  <si>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</si>
  <si>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</si>
  <si>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</si>
  <si>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</si>
  <si>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</si>
  <si>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</si>
  <si>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</si>
  <si>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</si>
  <si>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</si>
  <si>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</si>
  <si>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</si>
  <si>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</si>
  <si>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</si>
  <si>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</si>
  <si>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</si>
  <si>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</si>
  <si>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</si>
  <si>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</si>
  <si>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</si>
  <si>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</si>
  <si>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</si>
  <si>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</si>
  <si>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</si>
  <si>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</si>
  <si>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</si>
  <si>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</si>
  <si>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</si>
  <si>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</si>
  <si>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</si>
  <si>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</si>
  <si>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</si>
  <si>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</si>
  <si>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</si>
  <si>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</si>
  <si>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</si>
  <si>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</si>
  <si>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</si>
  <si>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</si>
  <si>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</si>
  <si>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</si>
  <si>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</si>
  <si>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</si>
  <si>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</si>
  <si>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</si>
  <si>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</si>
  <si>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</si>
  <si>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</si>
  <si>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</si>
  <si>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</si>
  <si>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</si>
  <si>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</si>
  <si>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</si>
  <si>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</si>
  <si>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</si>
  <si>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</si>
  <si>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</si>
  <si>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</si>
  <si>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</si>
  <si>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</si>
  <si>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</si>
  <si>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</si>
  <si>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</si>
  <si>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</si>
  <si>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</si>
  <si>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</si>
  <si>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</si>
  <si>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</si>
  <si>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</si>
  <si>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</si>
  <si>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</si>
  <si>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</si>
  <si>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</si>
  <si>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</si>
  <si>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</si>
  <si>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</si>
  <si>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</si>
  <si>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</si>
  <si>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</si>
  <si>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</si>
  <si>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</si>
  <si>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</si>
  <si>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</si>
  <si>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</si>
  <si>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</si>
  <si>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</si>
  <si>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</si>
  <si>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</si>
  <si>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</si>
  <si>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</si>
  <si>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</si>
  <si>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</si>
  <si>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</si>
  <si>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</si>
  <si>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</si>
  <si>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</si>
  <si>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</si>
  <si>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</si>
  <si>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</si>
  <si>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</si>
  <si>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</si>
  <si>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</si>
  <si>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</si>
  <si>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</si>
  <si>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</si>
  <si>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</si>
  <si>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</si>
  <si>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</si>
  <si>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</si>
  <si>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</si>
  <si>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</si>
  <si>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</si>
  <si>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</si>
  <si>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</si>
  <si>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</si>
  <si>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</si>
  <si>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</si>
  <si>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</si>
  <si>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</si>
  <si>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</si>
  <si>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</si>
  <si>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</si>
  <si>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</si>
  <si>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</si>
  <si>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</si>
  <si>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</si>
  <si>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</si>
  <si>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</si>
  <si>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</si>
  <si>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</si>
  <si>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</si>
  <si>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</si>
  <si>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</si>
  <si>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</si>
  <si>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</si>
  <si>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</si>
  <si>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</si>
  <si>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</si>
  <si>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</si>
  <si>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</si>
  <si>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</si>
  <si>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</si>
  <si>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</si>
  <si>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</si>
  <si>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</si>
  <si>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</si>
  <si>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</si>
  <si>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</si>
  <si>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</si>
  <si>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</si>
  <si>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</si>
  <si>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</si>
  <si>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</si>
  <si>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</si>
  <si>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</si>
  <si>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</si>
  <si>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</si>
  <si>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</si>
  <si>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</si>
  <si>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</si>
  <si>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</si>
  <si>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</si>
  <si>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</si>
  <si>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</si>
  <si>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</si>
  <si>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</si>
  <si>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</si>
  <si>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</si>
  <si>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</si>
  <si>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</si>
  <si>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</si>
  <si>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</si>
  <si>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</si>
  <si>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</si>
  <si>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</si>
  <si>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</si>
  <si>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</si>
  <si>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</si>
  <si>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</si>
  <si>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</si>
  <si>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</si>
  <si>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</si>
  <si>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</si>
  <si>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</si>
  <si>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</si>
  <si>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</si>
  <si>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</si>
  <si>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</si>
  <si>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</si>
  <si>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</si>
  <si>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</si>
  <si>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</si>
  <si>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</si>
  <si>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</si>
  <si>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</si>
  <si>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</si>
  <si>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</si>
  <si>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</si>
  <si>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</si>
  <si>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</si>
  <si>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</si>
  <si>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</si>
  <si>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</si>
  <si>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</si>
  <si>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</si>
  <si>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</si>
  <si>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</si>
  <si>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</si>
  <si>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</si>
  <si>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</si>
  <si>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</si>
  <si>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</si>
  <si>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</si>
  <si>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</si>
  <si>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</si>
  <si>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</si>
  <si>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</si>
  <si>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</si>
  <si>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</si>
  <si>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</si>
  <si>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</si>
  <si>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</si>
  <si>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</si>
  <si>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</si>
  <si>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</si>
  <si>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</si>
  <si>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</si>
  <si>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</si>
  <si>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</si>
  <si>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</si>
  <si>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</si>
  <si>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</si>
  <si>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</si>
  <si>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</si>
  <si>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</si>
  <si>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</si>
  <si>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</si>
  <si>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</si>
  <si>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</si>
  <si>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</si>
  <si>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</si>
  <si>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</si>
  <si>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</si>
  <si>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</si>
  <si>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</si>
  <si>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</si>
  <si>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</si>
  <si>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</si>
  <si>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</si>
  <si>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</si>
  <si>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</si>
  <si>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</si>
  <si>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</si>
  <si>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</si>
  <si>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</si>
  <si>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</si>
  <si>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</si>
  <si>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</si>
  <si>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</si>
  <si>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</si>
  <si>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</si>
  <si>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</si>
  <si>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</si>
  <si>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</si>
  <si>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</si>
  <si>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</si>
  <si>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</si>
  <si>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</si>
  <si>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</si>
  <si>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</si>
  <si>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</si>
  <si>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</si>
  <si>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</si>
  <si>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</si>
  <si>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</si>
  <si>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</si>
  <si>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</si>
  <si>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</si>
  <si>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</si>
  <si>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</si>
  <si>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</si>
  <si>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</si>
  <si>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</si>
  <si>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</si>
  <si>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</si>
  <si>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</si>
  <si>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</si>
  <si>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</si>
  <si>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</si>
  <si>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</si>
  <si>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</si>
  <si>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</si>
  <si>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</si>
  <si>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</si>
  <si>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</si>
  <si>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</si>
  <si>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</si>
  <si>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</si>
  <si>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</si>
  <si>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</si>
  <si>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</si>
  <si>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</si>
  <si>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</si>
  <si>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</si>
  <si>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</si>
  <si>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</si>
  <si>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</si>
  <si>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</si>
  <si>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</si>
  <si>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</si>
  <si>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</si>
  <si>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</si>
  <si>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</si>
  <si>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</si>
  <si>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</si>
  <si>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</si>
  <si>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</si>
  <si>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</si>
  <si>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</si>
  <si>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</si>
  <si>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</si>
  <si>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</si>
  <si>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</si>
  <si>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</si>
  <si>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</si>
  <si>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</si>
  <si>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</si>
  <si>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</si>
  <si>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</si>
  <si>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</si>
  <si>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</si>
  <si>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</si>
  <si>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</si>
  <si>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</si>
  <si>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</si>
  <si>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</si>
  <si>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</si>
  <si>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</si>
  <si>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</si>
  <si>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</si>
  <si>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</si>
  <si>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</si>
  <si>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</si>
  <si>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</si>
  <si>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</si>
  <si>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</si>
  <si>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</si>
  <si>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</si>
  <si>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</si>
  <si>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</si>
  <si>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</si>
  <si>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</si>
  <si>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</si>
  <si>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</si>
  <si>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</si>
  <si>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</si>
  <si>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</si>
  <si>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</si>
  <si>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</si>
  <si>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</si>
  <si>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</si>
  <si>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</si>
  <si>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</si>
  <si>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</si>
  <si>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</si>
  <si>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</si>
  <si>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</si>
  <si>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</si>
  <si>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</si>
  <si>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</si>
  <si>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</si>
  <si>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</si>
  <si>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</si>
  <si>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</si>
  <si>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</si>
  <si>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</si>
  <si>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</si>
  <si>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</si>
  <si>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</si>
  <si>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</si>
  <si>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</si>
  <si>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</si>
  <si>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</si>
  <si>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</si>
  <si>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</si>
  <si>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</si>
  <si>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</si>
  <si>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</si>
  <si>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</si>
  <si>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</si>
  <si>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</si>
  <si>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</si>
  <si>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</si>
  <si>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</si>
  <si>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</si>
  <si>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</si>
  <si>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</si>
  <si>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</si>
  <si>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</si>
  <si>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</si>
  <si>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</si>
  <si>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</si>
  <si>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</si>
  <si>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</si>
  <si>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</si>
  <si>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</si>
  <si>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</si>
  <si>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</si>
  <si>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</si>
  <si>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</si>
  <si>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</si>
  <si>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</si>
  <si>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</si>
  <si>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</si>
  <si>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</si>
  <si>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</si>
  <si>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</si>
  <si>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</si>
  <si>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</si>
  <si>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</si>
  <si>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</si>
  <si>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</si>
  <si>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</si>
  <si>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</si>
  <si>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</si>
  <si>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</si>
  <si>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</si>
  <si>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</si>
  <si>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</si>
  <si>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</si>
  <si>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</si>
  <si>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</si>
  <si>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</si>
  <si>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</si>
  <si>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</si>
  <si>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</si>
  <si>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</si>
  <si>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</si>
  <si>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</si>
  <si>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</si>
  <si>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</si>
  <si>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</si>
  <si>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</si>
  <si>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</si>
  <si>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</si>
  <si>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</si>
  <si>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</si>
  <si>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</si>
  <si>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</si>
  <si>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</si>
  <si>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</si>
  <si>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</si>
  <si>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</si>
  <si>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</si>
  <si>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</si>
  <si>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</si>
  <si>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</si>
  <si>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</si>
  <si>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</si>
  <si>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</si>
  <si>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</si>
  <si>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</si>
  <si>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</si>
  <si>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</si>
  <si>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</si>
  <si>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</si>
  <si>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</si>
  <si>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</si>
  <si>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</si>
  <si>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</si>
  <si>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</si>
  <si>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</si>
  <si>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</si>
  <si>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</si>
  <si>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</si>
  <si>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</si>
  <si>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</si>
  <si>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</si>
  <si>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</si>
  <si>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</si>
  <si>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</si>
  <si>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</si>
  <si>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</si>
  <si>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</si>
  <si>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</si>
  <si>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</si>
  <si>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</si>
  <si>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</si>
  <si>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</si>
  <si>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</si>
  <si>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</si>
  <si>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</si>
  <si>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</si>
  <si>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</si>
  <si>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</si>
  <si>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</si>
  <si>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</si>
  <si>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</si>
  <si>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</si>
  <si>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</si>
  <si>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</si>
  <si>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</si>
  <si>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</si>
  <si>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</si>
  <si>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</si>
  <si>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</si>
  <si>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</si>
  <si>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</si>
  <si>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</si>
  <si>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</si>
  <si>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</si>
  <si>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</si>
  <si>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</si>
  <si>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</si>
  <si>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</si>
  <si>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</si>
  <si>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</si>
  <si>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</si>
  <si>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</si>
  <si>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</si>
  <si>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</si>
  <si>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</si>
  <si>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</si>
  <si>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</si>
  <si>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</si>
  <si>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</si>
  <si>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</si>
  <si>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</si>
  <si>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</si>
  <si>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</si>
  <si>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</si>
  <si>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</si>
  <si>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</si>
  <si>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</si>
  <si>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</si>
  <si>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</si>
  <si>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</si>
  <si>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</si>
  <si>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</si>
  <si>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</si>
  <si>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</si>
  <si>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</si>
  <si>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</si>
  <si>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</si>
  <si>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</si>
  <si>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</si>
  <si>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</si>
  <si>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</si>
  <si>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</si>
  <si>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</si>
  <si>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</si>
  <si>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</si>
  <si>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</si>
  <si>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</si>
  <si>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</si>
  <si>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</si>
  <si>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</si>
  <si>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</si>
  <si>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</si>
  <si>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</si>
  <si>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</si>
  <si>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</si>
  <si>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</si>
  <si>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</si>
  <si>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</si>
  <si>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</si>
  <si>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</si>
  <si>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</si>
  <si>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</si>
  <si>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</si>
  <si>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</si>
  <si>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</si>
  <si>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</si>
  <si>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</si>
  <si>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</si>
  <si>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</si>
  <si>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</si>
  <si>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</si>
  <si>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</si>
  <si>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</si>
  <si>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</si>
  <si>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</si>
  <si>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</si>
  <si>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</si>
  <si>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</si>
  <si>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</si>
  <si>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</si>
  <si>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</si>
  <si>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</si>
  <si>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</si>
  <si>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</si>
  <si>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</si>
  <si>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</si>
  <si>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</si>
  <si>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</si>
  <si>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</si>
  <si>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</si>
  <si>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</si>
  <si>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</si>
  <si>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</si>
  <si>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</si>
  <si>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</si>
  <si>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</si>
  <si>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</si>
  <si>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</si>
  <si>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</si>
  <si>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</si>
  <si>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</si>
  <si>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</si>
  <si>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</si>
  <si>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</si>
  <si>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</si>
  <si>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</si>
  <si>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</si>
  <si>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</si>
  <si>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</si>
  <si>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</si>
  <si>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</si>
  <si>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</si>
  <si>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</si>
  <si>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</si>
  <si>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</si>
  <si>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</si>
  <si>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</si>
  <si>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</si>
  <si>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</si>
  <si>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</si>
  <si>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</si>
  <si>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</si>
  <si>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</si>
  <si>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</si>
  <si>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</si>
  <si>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</si>
  <si>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</si>
  <si>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</si>
  <si>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</si>
  <si>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</si>
  <si>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</si>
  <si>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</si>
  <si>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</si>
  <si>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</si>
  <si>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</si>
  <si>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</si>
  <si>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</si>
  <si>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</si>
  <si>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</si>
  <si>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</si>
  <si>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</si>
  <si>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</si>
  <si>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</si>
  <si>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</si>
  <si>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</si>
  <si>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</si>
  <si>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</si>
  <si>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</si>
  <si>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</si>
  <si>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</si>
  <si>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</si>
  <si>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</si>
  <si>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</si>
  <si>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</si>
  <si>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</si>
  <si>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</si>
  <si>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</si>
  <si>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</si>
  <si>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</si>
  <si>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</si>
  <si>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</si>
  <si>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</si>
  <si>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</si>
  <si>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</si>
  <si>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</si>
  <si>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</si>
  <si>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</si>
  <si>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</si>
  <si>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</si>
  <si>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</si>
  <si>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</si>
  <si>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</si>
  <si>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</si>
  <si>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</si>
  <si>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</si>
  <si>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</si>
  <si>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</si>
  <si>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</si>
  <si>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</si>
  <si>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</si>
  <si>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</si>
  <si>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</si>
  <si>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</si>
  <si>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</si>
  <si>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</si>
  <si>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</si>
  <si>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</si>
  <si>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</si>
  <si>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</si>
  <si>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</si>
  <si>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</si>
  <si>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</si>
  <si>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</si>
  <si>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</si>
  <si>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</si>
  <si>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</si>
  <si>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</si>
  <si>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</si>
  <si>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</si>
  <si>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</si>
  <si>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</si>
  <si>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</si>
  <si>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</si>
  <si>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</si>
  <si>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</si>
  <si>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</si>
  <si>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</si>
  <si>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</si>
  <si>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</si>
  <si>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</si>
  <si>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</si>
  <si>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</si>
  <si>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</si>
  <si>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</si>
  <si>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</si>
  <si>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</si>
  <si>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</si>
  <si>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</si>
  <si>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</si>
  <si>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</si>
  <si>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</si>
  <si>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</si>
  <si>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</si>
  <si>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</si>
  <si>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</si>
  <si>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</si>
  <si>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</si>
  <si>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</si>
  <si>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</si>
  <si>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</si>
  <si>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</si>
  <si>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</si>
  <si>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</si>
  <si>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</si>
  <si>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</si>
  <si>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</si>
  <si>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</si>
  <si>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</si>
  <si>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</si>
  <si>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</si>
  <si>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</si>
  <si>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</si>
  <si>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</si>
  <si>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</si>
  <si>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</si>
  <si>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</si>
  <si>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</si>
  <si>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</si>
  <si>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</si>
  <si>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</si>
  <si>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</si>
  <si>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</si>
  <si>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</si>
  <si>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</si>
  <si>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</si>
  <si>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</si>
  <si>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</si>
  <si>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</si>
  <si>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</si>
  <si>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</si>
  <si>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</si>
  <si>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</si>
  <si>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</si>
  <si>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</si>
  <si>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</si>
  <si>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</si>
  <si>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</si>
  <si>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</si>
  <si>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</si>
  <si>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</si>
  <si>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</si>
  <si>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</si>
  <si>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</si>
  <si>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</si>
  <si>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</si>
  <si>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</si>
  <si>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</si>
  <si>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</si>
  <si>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</si>
  <si>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</si>
  <si>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</si>
  <si>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</si>
  <si>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</si>
  <si>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</si>
  <si>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</si>
  <si>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</si>
  <si>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</si>
  <si>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</si>
  <si>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</si>
  <si>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</si>
  <si>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</si>
  <si>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</si>
  <si>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</si>
  <si>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</si>
  <si>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</si>
  <si>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</si>
  <si>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</si>
  <si>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</si>
  <si>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</si>
  <si>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</si>
  <si>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</si>
  <si>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</si>
  <si>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</si>
  <si>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</si>
  <si>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</si>
  <si>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</si>
  <si>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</si>
  <si>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</si>
  <si>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</si>
  <si>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</si>
  <si>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</si>
  <si>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</si>
  <si>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</si>
  <si>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</si>
  <si>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</si>
  <si>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</si>
  <si>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</si>
  <si>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</si>
  <si>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</si>
  <si>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</si>
  <si>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</si>
  <si>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</si>
  <si>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</si>
  <si>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</si>
  <si>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</si>
  <si>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</si>
  <si>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</si>
  <si>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</si>
  <si>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</si>
  <si>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</si>
  <si>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</si>
  <si>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</si>
  <si>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</si>
  <si>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</si>
  <si>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</si>
  <si>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</si>
  <si>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</si>
  <si>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</si>
  <si>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</si>
  <si>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</si>
  <si>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</si>
  <si>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</si>
  <si>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</si>
  <si>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</si>
  <si>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</si>
  <si>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</si>
  <si>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</si>
  <si>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</si>
  <si>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</si>
  <si>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</si>
  <si>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</si>
  <si>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</si>
  <si>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</si>
  <si>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</si>
  <si>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</si>
  <si>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</si>
  <si>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</si>
  <si>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</si>
  <si>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</si>
  <si>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</si>
  <si>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</si>
  <si>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</si>
  <si>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</si>
  <si>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</si>
  <si>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</si>
  <si>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</si>
  <si>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</si>
  <si>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</si>
  <si>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</si>
  <si>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</si>
  <si>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</si>
  <si>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</si>
  <si>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</si>
  <si>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</si>
  <si>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</si>
  <si>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</si>
  <si>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</si>
  <si>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</si>
  <si>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</si>
  <si>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</si>
  <si>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</si>
  <si>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</si>
  <si>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</si>
  <si>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</si>
  <si>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</si>
  <si>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</si>
  <si>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</si>
  <si>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</si>
  <si>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</si>
  <si>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</si>
  <si>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</si>
  <si>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</si>
  <si>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</si>
  <si>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</si>
  <si>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</si>
  <si>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</si>
  <si>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</si>
  <si>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</si>
  <si>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</si>
  <si>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</si>
  <si>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</si>
  <si>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</si>
  <si>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</si>
  <si>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</si>
  <si>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</si>
  <si>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</si>
  <si>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</si>
  <si>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</si>
  <si>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</si>
  <si>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</si>
  <si>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</si>
  <si>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</si>
  <si>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</si>
  <si>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</si>
  <si>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</si>
  <si>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</si>
  <si>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</si>
  <si>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</si>
  <si>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</si>
  <si>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</si>
  <si>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</si>
  <si>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</si>
  <si>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</si>
  <si>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</si>
  <si>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</si>
  <si>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</si>
  <si>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</si>
  <si>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</si>
  <si>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</si>
  <si>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</si>
  <si>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</si>
  <si>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</si>
  <si>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</si>
  <si>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</si>
  <si>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</si>
  <si>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</si>
  <si>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</si>
  <si>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</si>
  <si>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</si>
  <si>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</si>
  <si>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</si>
  <si>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</si>
  <si>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</si>
  <si>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</si>
  <si>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</si>
  <si>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</si>
  <si>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</si>
  <si>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</si>
  <si>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</si>
  <si>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</si>
  <si>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</si>
  <si>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</si>
  <si>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</si>
  <si>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</si>
  <si>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</si>
  <si>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</si>
  <si>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</si>
  <si>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</si>
  <si>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</si>
  <si>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</si>
  <si>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</si>
  <si>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</si>
  <si>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</si>
  <si>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</si>
  <si>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</si>
  <si>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</si>
  <si>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</si>
  <si>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</si>
  <si>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</si>
  <si>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</si>
  <si>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</si>
  <si>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</si>
  <si>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</si>
  <si>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</si>
  <si>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</si>
  <si>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</si>
  <si>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</si>
  <si>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</si>
  <si>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</si>
  <si>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</si>
  <si>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</si>
  <si>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</si>
  <si>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</si>
  <si>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</si>
  <si>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</si>
  <si>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</si>
  <si>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</si>
  <si>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</si>
  <si>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</si>
  <si>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</si>
  <si>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</si>
  <si>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</si>
  <si>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</si>
  <si>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</si>
  <si>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</si>
  <si>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</si>
  <si>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</si>
  <si>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</si>
  <si>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</si>
  <si>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</si>
  <si>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</si>
  <si>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</si>
  <si>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</si>
  <si>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</si>
  <si>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</si>
  <si>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</si>
  <si>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</si>
  <si>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</si>
  <si>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</si>
  <si>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</si>
  <si>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</si>
  <si>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</si>
  <si>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</si>
  <si>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</si>
  <si>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</si>
  <si>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</si>
  <si>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</si>
  <si>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</si>
  <si>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</si>
  <si>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</si>
  <si>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</si>
  <si>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</si>
  <si>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</si>
  <si>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</si>
  <si>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</si>
  <si>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</si>
  <si>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</si>
  <si>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</si>
  <si>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</si>
  <si>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</si>
  <si>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</si>
  <si>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</si>
  <si>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</si>
  <si>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</si>
  <si>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</si>
  <si>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</si>
  <si>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</si>
  <si>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</si>
  <si>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</si>
  <si>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</si>
  <si>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</si>
  <si>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</si>
  <si>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</si>
  <si>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</si>
  <si>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</si>
  <si>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</si>
  <si>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</si>
  <si>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</si>
  <si>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</si>
  <si>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</si>
  <si>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</si>
  <si>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</si>
  <si>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</si>
  <si>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</si>
  <si>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</si>
  <si>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</si>
  <si>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</si>
  <si>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</si>
  <si>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</si>
  <si>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</si>
  <si>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</si>
  <si>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</si>
  <si>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</si>
  <si>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</si>
  <si>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</si>
  <si>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</si>
  <si>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</si>
  <si>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</si>
  <si>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</si>
  <si>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</si>
  <si>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</si>
  <si>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</si>
  <si>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</si>
  <si>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</si>
  <si>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</si>
  <si>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</si>
  <si>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</si>
  <si>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</si>
  <si>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</si>
  <si>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</si>
  <si>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</si>
  <si>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</si>
  <si>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</si>
  <si>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</si>
  <si>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</si>
  <si>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</si>
  <si>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</si>
  <si>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</si>
  <si>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</si>
  <si>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</si>
  <si>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</si>
  <si>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</si>
  <si>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</si>
  <si>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</si>
  <si>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</si>
  <si>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</si>
  <si>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</si>
  <si>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</si>
  <si>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</si>
  <si>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</si>
  <si>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</si>
  <si>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</si>
  <si>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</si>
  <si>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</si>
  <si>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</si>
  <si>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</si>
  <si>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</si>
  <si>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</si>
  <si>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</si>
  <si>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</si>
  <si>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</si>
  <si>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</si>
  <si>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</si>
  <si>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</si>
  <si>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</si>
  <si>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</si>
  <si>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</si>
  <si>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</si>
  <si>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</si>
  <si>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</si>
  <si>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</si>
  <si>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</si>
  <si>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</si>
  <si>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</si>
  <si>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</si>
  <si>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</si>
  <si>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</si>
  <si>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</si>
  <si>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</si>
  <si>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</si>
  <si>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</si>
  <si>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</si>
  <si>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</si>
  <si>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</si>
  <si>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</si>
  <si>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</si>
  <si>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</si>
  <si>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</si>
  <si>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</si>
  <si>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</si>
  <si>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</si>
  <si>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</si>
  <si>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</si>
  <si>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</si>
  <si>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</si>
  <si>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</si>
  <si>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</si>
  <si>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</si>
  <si>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</si>
  <si>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</si>
  <si>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</si>
  <si>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</si>
  <si>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</si>
  <si>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</si>
  <si>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</si>
  <si>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</si>
  <si>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</si>
  <si>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</si>
  <si>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</si>
  <si>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</si>
  <si>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</si>
  <si>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</si>
  <si>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</si>
  <si>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</si>
  <si>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</si>
  <si>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</si>
  <si>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</si>
  <si>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</si>
  <si>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</si>
  <si>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</si>
  <si>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</si>
  <si>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</si>
  <si>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</si>
  <si>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</si>
  <si>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</si>
  <si>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</si>
  <si>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</si>
  <si>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</si>
  <si>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</si>
  <si>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</si>
  <si>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</si>
  <si>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</si>
  <si>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</si>
  <si>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</si>
  <si>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</si>
  <si>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</si>
  <si>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</si>
  <si>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</si>
  <si>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</si>
  <si>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</si>
  <si>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</si>
  <si>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</si>
  <si>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</si>
  <si>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</si>
  <si>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</si>
  <si>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</si>
  <si>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</si>
  <si>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</si>
  <si>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</si>
  <si>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</si>
  <si>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</si>
  <si>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</si>
  <si>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</si>
  <si>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</si>
  <si>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</si>
  <si>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</si>
  <si>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</si>
  <si>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</si>
  <si>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</si>
  <si>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</si>
  <si>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</si>
  <si>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</si>
  <si>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</si>
  <si>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</si>
  <si>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</si>
  <si>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</si>
  <si>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</si>
  <si>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</si>
  <si>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</si>
  <si>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</si>
  <si>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</si>
  <si>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</si>
  <si>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</si>
  <si>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</si>
  <si>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</si>
  <si>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</si>
  <si>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</si>
  <si>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</si>
  <si>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</si>
  <si>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</si>
  <si>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</si>
  <si>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</si>
  <si>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</si>
  <si>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</si>
  <si>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</si>
  <si>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</si>
  <si>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</si>
  <si>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</si>
  <si>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</si>
  <si>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</si>
  <si>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</si>
  <si>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</si>
  <si>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</si>
  <si>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</si>
  <si>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</si>
  <si>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</si>
  <si>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</si>
  <si>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</si>
  <si>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</si>
  <si>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</si>
  <si>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</si>
  <si>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</si>
  <si>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</si>
  <si>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</si>
  <si>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</si>
  <si>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</si>
  <si>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</si>
  <si>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</si>
  <si>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</si>
  <si>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</si>
  <si>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</si>
  <si>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</si>
  <si>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</si>
  <si>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</si>
  <si>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</si>
  <si>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</si>
  <si>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</si>
  <si>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</si>
  <si>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</si>
  <si>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</si>
  <si>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</si>
  <si>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</si>
  <si>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</si>
  <si>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</si>
  <si>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</si>
  <si>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</si>
  <si>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</si>
  <si>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</si>
  <si>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</si>
  <si>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</si>
  <si>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</si>
  <si>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</si>
  <si>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</si>
  <si>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</si>
  <si>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</si>
  <si>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</si>
  <si>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</si>
  <si>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</si>
  <si>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</si>
  <si>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</si>
  <si>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</si>
  <si>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</si>
  <si>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</si>
  <si>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</si>
  <si>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</si>
  <si>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</si>
  <si>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</si>
  <si>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</si>
  <si>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</si>
  <si>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</si>
  <si>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</si>
  <si>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</si>
  <si>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</si>
  <si>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</si>
  <si>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</si>
  <si>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</si>
  <si>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</si>
  <si>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</si>
  <si>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</si>
  <si>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</si>
  <si>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</si>
  <si>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</si>
  <si>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</si>
  <si>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</si>
  <si>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</si>
  <si>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</si>
  <si>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</si>
  <si>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</si>
  <si>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</si>
  <si>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</si>
  <si>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</si>
  <si>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</si>
  <si>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</si>
  <si>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</si>
  <si>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</si>
  <si>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</si>
  <si>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</si>
  <si>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</si>
  <si>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</si>
  <si>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</si>
  <si>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</si>
  <si>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</si>
  <si>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</si>
  <si>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</si>
  <si>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</si>
  <si>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</si>
  <si>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</si>
  <si>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</si>
  <si>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</si>
  <si>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</si>
  <si>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</si>
  <si>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</si>
  <si>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</si>
  <si>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</si>
  <si>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</si>
  <si>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</si>
  <si>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</si>
  <si>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</si>
  <si>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</si>
  <si>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</si>
  <si>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</si>
  <si>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</si>
  <si>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</si>
  <si>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</si>
  <si>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</si>
  <si>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</si>
  <si>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</si>
  <si>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</si>
  <si>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</si>
  <si>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</si>
  <si>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</si>
  <si>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</si>
  <si>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</si>
  <si>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</si>
  <si>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</si>
  <si>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</si>
  <si>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</si>
  <si>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</si>
  <si>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</si>
  <si>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</si>
  <si>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</si>
  <si>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</si>
  <si>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</si>
  <si>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</si>
  <si>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</si>
  <si>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</si>
  <si>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</si>
  <si>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</si>
  <si>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</si>
  <si>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</si>
  <si>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</si>
  <si>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</si>
  <si>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</si>
  <si>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</si>
  <si>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</si>
  <si>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</si>
  <si>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</si>
  <si>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</si>
  <si>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</si>
  <si>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</si>
  <si>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</si>
  <si>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</si>
  <si>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</si>
  <si>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</si>
  <si>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</si>
  <si>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</si>
  <si>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</si>
  <si>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</si>
  <si>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</si>
  <si>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</si>
  <si>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</si>
  <si>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</si>
  <si>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</si>
  <si>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</si>
  <si>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</si>
  <si>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</si>
  <si>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</si>
  <si>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</si>
  <si>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</si>
  <si>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</si>
  <si>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</si>
  <si>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</si>
  <si>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</si>
  <si>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</si>
  <si>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</si>
  <si>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</si>
  <si>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</si>
  <si>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</si>
  <si>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</si>
  <si>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</si>
  <si>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</si>
  <si>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</si>
  <si>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</si>
  <si>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</si>
  <si>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</si>
  <si>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</si>
  <si>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</si>
  <si>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</si>
  <si>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</si>
  <si>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</si>
  <si>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</si>
  <si>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</si>
  <si>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</si>
  <si>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</si>
  <si>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</si>
  <si>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</si>
  <si>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</si>
  <si>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</si>
  <si>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</si>
  <si>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</si>
  <si>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</si>
  <si>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</si>
  <si>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</si>
  <si>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</si>
  <si>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</si>
  <si>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</si>
  <si>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</si>
  <si>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</si>
  <si>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</si>
  <si>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</si>
  <si>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</si>
  <si>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</si>
  <si>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</si>
  <si>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</si>
  <si>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</si>
  <si>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</si>
  <si>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</si>
  <si>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</si>
  <si>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</si>
  <si>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</si>
  <si>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</si>
  <si>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</si>
  <si>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 xml:space="preserve">Durvalumab with tremelimumab for untreated </t>
  </si>
  <si>
    <t>advanced or unresectable hepatocellular carcinoma</t>
  </si>
  <si>
    <t>Time from publication to routine commissioning funding</t>
  </si>
  <si>
    <t>90 days</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</si>
  <si>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</si>
  <si>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</si>
  <si>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</si>
  <si>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</si>
  <si>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</si>
  <si>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</si>
  <si>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</si>
  <si>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</si>
  <si>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</si>
  <si>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</si>
  <si>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</si>
  <si>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</si>
  <si>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</si>
  <si>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</si>
  <si>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</si>
  <si>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</si>
  <si>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</si>
  <si>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</si>
  <si>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</si>
  <si>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</si>
  <si>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</si>
  <si>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</si>
  <si>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</si>
  <si>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</si>
  <si>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</si>
  <si>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</si>
  <si>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</si>
  <si>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</si>
  <si>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</si>
  <si>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</si>
  <si>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</si>
  <si>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</si>
  <si>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</si>
  <si>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</si>
  <si>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</si>
  <si>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</si>
  <si>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</si>
  <si>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</si>
  <si>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</si>
  <si>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</si>
  <si>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</si>
  <si>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</si>
  <si>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</si>
  <si>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</si>
  <si>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</si>
  <si>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</si>
  <si>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</si>
  <si>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</si>
  <si>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</si>
  <si>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</si>
  <si>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</si>
  <si>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</si>
  <si>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</si>
  <si>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</si>
  <si>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</si>
  <si>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</si>
  <si>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</si>
  <si>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</si>
  <si>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</si>
  <si>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</si>
  <si>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Eligible population - adjust locally if required</t>
  </si>
  <si>
    <r>
      <t>Calculated from % assumptions. A</t>
    </r>
    <r>
      <rPr>
        <b/>
        <sz val="11"/>
        <color theme="1"/>
        <rFont val="Calibri"/>
        <family val="2"/>
        <scheme val="minor"/>
      </rPr>
      <t>djust locally if required</t>
    </r>
  </si>
  <si>
    <t>Eligible population adjusted for forecast disease rate change</t>
  </si>
  <si>
    <t>Interventions</t>
  </si>
  <si>
    <t>length of a cycle (days)</t>
  </si>
  <si>
    <t>Day(s) in cycle taken</t>
  </si>
  <si>
    <t>Number of days per cycle</t>
  </si>
  <si>
    <t>cycles 
year 1</t>
  </si>
  <si>
    <t xml:space="preserve">Durvalumab (IV) </t>
  </si>
  <si>
    <t>1,8</t>
  </si>
  <si>
    <t>Tremelimumab</t>
  </si>
  <si>
    <t>Bevacizumab (IV)</t>
  </si>
  <si>
    <t>Lenvatinib (oral)</t>
  </si>
  <si>
    <t>Sorafenib (oral)</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</si>
  <si>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</si>
  <si>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</si>
  <si>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</si>
  <si>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</si>
  <si>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</si>
  <si>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</si>
  <si>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</si>
  <si>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</si>
  <si>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</si>
  <si>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</si>
  <si>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</si>
  <si>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</si>
  <si>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</si>
  <si>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IV</t>
  </si>
  <si>
    <t>vial</t>
  </si>
  <si>
    <t>oral</t>
  </si>
  <si>
    <t>Average weight (kg)</t>
  </si>
  <si>
    <t>Market Shares</t>
  </si>
  <si>
    <t>Current, year 0</t>
  </si>
  <si>
    <t>year 1</t>
  </si>
  <si>
    <t>year 2</t>
  </si>
  <si>
    <t>year 3</t>
  </si>
  <si>
    <t>year 4</t>
  </si>
  <si>
    <t>year 5</t>
  </si>
  <si>
    <t>Treatment option E</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</si>
  <si>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</si>
  <si>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</si>
  <si>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</si>
  <si>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</si>
  <si>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</si>
  <si>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</si>
  <si>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</si>
  <si>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</si>
  <si>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</si>
  <si>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</si>
  <si>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</si>
  <si>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</si>
  <si>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</si>
  <si>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</si>
  <si>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</si>
  <si>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</si>
  <si>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</si>
  <si>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</si>
  <si>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</si>
  <si>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</si>
  <si>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</si>
  <si>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Treatment E</t>
  </si>
  <si>
    <t>Staff grade</t>
  </si>
  <si>
    <t>Hourly cost</t>
  </si>
  <si>
    <t>specialty appointments</t>
  </si>
  <si>
    <t>Number of first attendances</t>
  </si>
  <si>
    <t>per patient per visit</t>
  </si>
  <si>
    <t>Consultant mid</t>
  </si>
  <si>
    <t>Number of follow up attendances</t>
  </si>
  <si>
    <t>nursing</t>
  </si>
  <si>
    <t>Band 7 Mid</t>
  </si>
  <si>
    <t>Patient preparation time before administration (mins)</t>
  </si>
  <si>
    <t>Post administration nursing time (mins)</t>
  </si>
  <si>
    <t>pharmacy support</t>
  </si>
  <si>
    <t>Pharmacy activities</t>
  </si>
  <si>
    <t>per patient per admin</t>
  </si>
  <si>
    <t>Band 8a Bottom</t>
  </si>
  <si>
    <t>per patient/year</t>
  </si>
  <si>
    <t>radiology</t>
  </si>
  <si>
    <t>Images taken</t>
  </si>
  <si>
    <t>pathology</t>
  </si>
  <si>
    <t>Lab test</t>
  </si>
  <si>
    <t>Band 6 Mid</t>
  </si>
  <si>
    <t>Genomic tests</t>
  </si>
  <si>
    <t>Band 8a Mid</t>
  </si>
  <si>
    <t>HCAS rate is selected on the payscales worksheet</t>
  </si>
  <si>
    <t>Notes</t>
  </si>
  <si>
    <t xml:space="preserve">Pharmacy support will vary for each drug and condition and will include controls, administration, preparation and dispensing.  Aseptics preparations may be bought-in, or created in-house.  </t>
  </si>
  <si>
    <t>Adverse events, annual costs and rates</t>
  </si>
  <si>
    <t>Annual rate of events</t>
  </si>
  <si>
    <t>Event</t>
  </si>
  <si>
    <t>Treatment option A</t>
  </si>
  <si>
    <t>Treatment option B</t>
  </si>
  <si>
    <t>Treatment option C</t>
  </si>
  <si>
    <t>Treatment option D</t>
  </si>
  <si>
    <t>Cost of event</t>
  </si>
  <si>
    <t>Event 1</t>
  </si>
  <si>
    <t>Event 2</t>
  </si>
  <si>
    <t>Event 3</t>
  </si>
  <si>
    <t>Event 4</t>
  </si>
  <si>
    <t>Event 5</t>
  </si>
  <si>
    <t>Event 6</t>
  </si>
  <si>
    <t>Event 7</t>
  </si>
  <si>
    <t>Event 8</t>
  </si>
  <si>
    <t>Event 9</t>
  </si>
  <si>
    <t>Event 10</t>
  </si>
  <si>
    <t>An annual per person percentage likelihood rate of each event occuring is shown</t>
  </si>
  <si>
    <t>This is based on &lt;source&gt;</t>
  </si>
  <si>
    <t>The cost of the event is based on &lt;source&gt;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</si>
  <si>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</si>
  <si>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</si>
  <si>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</si>
  <si>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</si>
  <si>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</si>
  <si>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</si>
  <si>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</si>
  <si>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Dose per administration (mg)</t>
  </si>
  <si>
    <t>Year</t>
  </si>
  <si>
    <t>Drug cost per year per patient</t>
  </si>
  <si>
    <t>Average cycles per year per patient</t>
  </si>
  <si>
    <t>Average admins per year per patient</t>
  </si>
  <si>
    <t xml:space="preserve">Year 1 </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</si>
  <si>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</si>
  <si>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</si>
  <si>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</si>
  <si>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</si>
  <si>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</si>
  <si>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</si>
  <si>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Dose per admin</t>
  </si>
  <si>
    <t>Frequency per cycle (days)</t>
  </si>
  <si>
    <t>Number of cycles</t>
  </si>
  <si>
    <t>Total dosage required (mg)</t>
  </si>
  <si>
    <t>Total number of packs required</t>
  </si>
  <si>
    <t>Cost per pack</t>
  </si>
  <si>
    <t>VAT rate</t>
  </si>
  <si>
    <t>Annual cost</t>
  </si>
  <si>
    <t>n/a</t>
  </si>
  <si>
    <t>&lt;spare row&gt;</t>
  </si>
  <si>
    <t>All components</t>
  </si>
  <si>
    <t>Administration cost</t>
  </si>
  <si>
    <t>Treatment option</t>
  </si>
  <si>
    <t>HRG code</t>
  </si>
  <si>
    <t>HRG description</t>
  </si>
  <si>
    <t>day(s)</t>
  </si>
  <si>
    <t>No. times per cycle</t>
  </si>
  <si>
    <t>Tariff</t>
  </si>
  <si>
    <t>Drug name X</t>
  </si>
  <si>
    <t>SB12Z</t>
  </si>
  <si>
    <t>Duration of treatment as per</t>
  </si>
  <si>
    <t>Dosing as per</t>
  </si>
  <si>
    <t>Drug costs from Gov.UK electronic market information tool (eMIT): online [accessed dd.mm.yy]</t>
  </si>
  <si>
    <t>Drug costs from British National Formulary (BNF): online [accessed dd.mm.yy]</t>
  </si>
  <si>
    <t>Administration cost as per 2023-25 NHS England national tariff payment system –  24-25 prices</t>
  </si>
  <si>
    <t>Dose per admin (mg)</t>
  </si>
  <si>
    <t>Appointments with specialist</t>
  </si>
  <si>
    <t>First attendance</t>
  </si>
  <si>
    <t>Follow up attendance</t>
  </si>
  <si>
    <t>Based on 2023-25 National Tariff Payment System –  24-25 prices</t>
  </si>
  <si>
    <t>all options</t>
  </si>
  <si>
    <t>MRI imaging</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</si>
  <si>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</si>
  <si>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</si>
  <si>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</si>
  <si>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</si>
  <si>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</si>
  <si>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</si>
  <si>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</si>
  <si>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</si>
  <si>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</si>
  <si>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</si>
  <si>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</si>
  <si>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</si>
  <si>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</si>
  <si>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</si>
  <si>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</si>
  <si>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</si>
  <si>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</si>
  <si>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</si>
  <si>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</si>
  <si>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</si>
  <si>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</si>
  <si>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</si>
  <si>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</si>
  <si>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</si>
  <si>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</si>
  <si>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Total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</si>
  <si>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</si>
  <si>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</si>
  <si>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</si>
  <si>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</si>
  <si>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</si>
  <si>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</si>
  <si>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</si>
  <si>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</si>
  <si>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</si>
  <si>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</si>
  <si>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</si>
  <si>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</si>
  <si>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</si>
  <si>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</si>
  <si>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</si>
  <si>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</si>
  <si>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</si>
  <si>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</si>
  <si>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</si>
  <si>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</si>
  <si>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</si>
  <si>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</si>
  <si>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</si>
  <si>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</si>
  <si>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</si>
  <si>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</si>
  <si>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staffing</t>
  </si>
  <si>
    <t>Pharmacy</t>
  </si>
  <si>
    <t>Pharmacy support</t>
  </si>
  <si>
    <t>Pharmacy support activities - change in number to current practice</t>
  </si>
  <si>
    <t>Radiology / pathology / genomic testing</t>
  </si>
  <si>
    <t>Imaging scans</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</si>
  <si>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</si>
  <si>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</si>
  <si>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</si>
  <si>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</si>
  <si>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</si>
  <si>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</si>
  <si>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</si>
  <si>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</si>
  <si>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</si>
  <si>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</si>
  <si>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</si>
  <si>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</si>
  <si>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</si>
  <si>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</si>
  <si>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</si>
  <si>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</si>
  <si>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Pay award not included in pay scales</t>
  </si>
  <si>
    <t>Band</t>
  </si>
  <si>
    <t>Pay scale</t>
  </si>
  <si>
    <t>AfC Salary with 2025/26 pay award</t>
  </si>
  <si>
    <t>Pay award not included in current pay scales</t>
  </si>
  <si>
    <t>Adjusted pay</t>
  </si>
  <si>
    <t xml:space="preserve">Employers NI </t>
  </si>
  <si>
    <t xml:space="preserve">Apprenticeship levy </t>
  </si>
  <si>
    <t>Employer Pension</t>
  </si>
  <si>
    <t>Total salary cost incl. oncosts</t>
  </si>
  <si>
    <t>Annual working hours contracted (based on column W calcs)</t>
  </si>
  <si>
    <t>% of hours directly clinical (e.g. exclude admin time)</t>
  </si>
  <si>
    <t>Hours to calculate hourly rate</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</si>
  <si>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</si>
  <si>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</si>
  <si>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</si>
  <si>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</si>
  <si>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</si>
  <si>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</si>
  <si>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</si>
  <si>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</si>
  <si>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</si>
  <si>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</si>
  <si>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</si>
  <si>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</si>
  <si>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</si>
  <si>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</si>
  <si>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</si>
  <si>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</si>
  <si>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</si>
  <si>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</si>
  <si>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</si>
  <si>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</si>
  <si>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</si>
  <si>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</si>
  <si>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</si>
  <si>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</si>
  <si>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</si>
  <si>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</si>
  <si>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</si>
  <si>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</si>
  <si>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</si>
  <si>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</si>
  <si>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</si>
  <si>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</si>
  <si>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</si>
  <si>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</si>
  <si>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</si>
  <si>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</si>
  <si>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</si>
  <si>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</si>
  <si>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</si>
  <si>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</si>
  <si>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</si>
  <si>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</si>
  <si>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</si>
  <si>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</si>
  <si>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</si>
  <si>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</si>
  <si>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</si>
  <si>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</si>
  <si>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</si>
  <si>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</si>
  <si>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</si>
  <si>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</si>
  <si>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</si>
  <si>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</si>
  <si>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</si>
  <si>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</si>
  <si>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</si>
  <si>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</si>
  <si>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</si>
  <si>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Incidence of liver cancer in adults</t>
  </si>
  <si>
    <t>Proportion with hepatocellular carcinoma (HCC)</t>
  </si>
  <si>
    <t>Proportion of people with advanced or unresectable HCC, ineligible for treatment with locoregional therapy</t>
  </si>
  <si>
    <t>Burton et al 2021</t>
  </si>
  <si>
    <t>Company BI submission. Based on cancer registration statistics</t>
  </si>
  <si>
    <t>tablet</t>
  </si>
  <si>
    <t>Local input</t>
  </si>
  <si>
    <t>Average weight of 70.9kg from company submission based on HIMALYA trial</t>
  </si>
  <si>
    <t>FE22Z Diagnostic Endoscopic Upper Gastrointestinal Tract Procedures, 19 years and over</t>
  </si>
  <si>
    <t xml:space="preserve">FE22Z </t>
  </si>
  <si>
    <t>Pre-treatment diagnostic endoscopy</t>
  </si>
  <si>
    <t>NHS England</t>
  </si>
  <si>
    <t>NHS Hospital trusts</t>
  </si>
  <si>
    <t xml:space="preserve">Durvalumab + Tremelimumab </t>
  </si>
  <si>
    <t xml:space="preserve">Atezolizumab with bevacizumab </t>
  </si>
  <si>
    <t xml:space="preserve">Lenvatinib </t>
  </si>
  <si>
    <t>Sorafenib</t>
  </si>
  <si>
    <t>Cancer registration statistics, England 2022.  ICD-10 code C22.</t>
  </si>
  <si>
    <t>daily</t>
  </si>
  <si>
    <t>Durvalumab with tremelimumab for untreated advanced or unresectable hepatocellular carcinoma</t>
  </si>
  <si>
    <t>1,9</t>
  </si>
  <si>
    <t>SB13Z</t>
  </si>
  <si>
    <t>SB13Z Deliver more complex parenteral chemotherapy at first Attendance. First cycle.  Tremelimumab plus durvalumab</t>
  </si>
  <si>
    <t>SB12Z Deliver simple parenteral chemotherapy at first Attendance. Subsequent cycles.  Durvalumab only</t>
  </si>
  <si>
    <t>Durvalumab</t>
  </si>
  <si>
    <t>Bevacizumab</t>
  </si>
  <si>
    <t>Number of packs per admin</t>
  </si>
  <si>
    <t>SB13Z Deliver more complex parenteral chemotherapy at first Attendance</t>
  </si>
  <si>
    <t>Lenvatinib</t>
  </si>
  <si>
    <t>SB11Z</t>
  </si>
  <si>
    <t>SB11Z Deliver Exclusively Oral Chemotherapy</t>
  </si>
  <si>
    <t>Pre-treatment endoscopy appointments</t>
  </si>
  <si>
    <t xml:space="preserve">No. times </t>
  </si>
  <si>
    <t>Diagnostic endoscopy</t>
  </si>
  <si>
    <t>Administration cost as per NHS England 2025/26 NHS Payment Scheme</t>
  </si>
  <si>
    <t>Based on NHS England 2025/26 NHS Payment Scheme</t>
  </si>
  <si>
    <t>Duration of treatment as per company submission Data on File: HIMALAYA CSR (Jan 2022), 2022.</t>
  </si>
  <si>
    <t xml:space="preserve"> Tremelimumab </t>
  </si>
  <si>
    <t xml:space="preserve">Atezolizumab </t>
  </si>
  <si>
    <t xml:space="preserve">Durvalumab </t>
  </si>
  <si>
    <t>Cost per administration</t>
  </si>
  <si>
    <t>Appointments with specialist for local input</t>
  </si>
  <si>
    <t>Diagnostic</t>
  </si>
  <si>
    <t>Total nursing time (mins)</t>
  </si>
  <si>
    <t>Endoscopy appointments - change to current practice</t>
  </si>
  <si>
    <t>People choosing durvalumab with tremelimumab</t>
  </si>
  <si>
    <t>First line</t>
  </si>
  <si>
    <t>Carcinoma</t>
  </si>
  <si>
    <t>Cancer</t>
  </si>
  <si>
    <t>PBC 02X</t>
  </si>
  <si>
    <t>Durvalumab with tremelimumab</t>
  </si>
  <si>
    <t>Atezolizumab (IV) with bevacizumab (IV)</t>
  </si>
  <si>
    <t>Tremelimumab (IV)</t>
  </si>
  <si>
    <t>Future practice - year 3</t>
  </si>
  <si>
    <t>Mins per administration</t>
  </si>
  <si>
    <t>Nursing - administrations (hours)</t>
  </si>
  <si>
    <t>Nursing patient preparation time (hours)</t>
  </si>
  <si>
    <t>Post administration nursing time (hours)</t>
  </si>
  <si>
    <t>Nursing time - change in hours to current practice</t>
  </si>
  <si>
    <t>Nursing patient preparation time - change in hours to current practice</t>
  </si>
  <si>
    <t>Nursing post administration time - change in hours to current practice</t>
  </si>
  <si>
    <t>Published: August 2025</t>
  </si>
  <si>
    <t>Market shares estimated by NHS England</t>
  </si>
  <si>
    <t>See tables below for the calculations for each treatment option</t>
  </si>
  <si>
    <t>genomic testing</t>
  </si>
  <si>
    <t xml:space="preserve">For pharmacy support, enter an estimate of total person-hours required per patient for supporting the use of the drug.  Select an estimate of the average grade of staff required for the entirety of the various types of support required. </t>
  </si>
  <si>
    <t>Average slot length for appointment/treatment</t>
  </si>
  <si>
    <t xml:space="preserve">Durvalumab with tremelimumab </t>
  </si>
  <si>
    <t>Durvalumab (IV) with tremelimumab (IV)</t>
  </si>
  <si>
    <t>Pharmacy time - please input local requirement and adjust grade of staff required accordingly e.g. if 20 minutes for durvalumab and tremelimumab enter 2 in cell G18 to reflect 2 x 10 minute slots</t>
  </si>
  <si>
    <t>Preparation time, Band 7 assumed,  before and post administration based on consensus of expert clinical opinions.  Amend where necessary</t>
  </si>
  <si>
    <t>Each capacity areas requires the average slot length to be entered and then for each treatment how many of these would be required</t>
  </si>
  <si>
    <t>Duration of administration (mins) - 1st administration</t>
  </si>
  <si>
    <t>Duration of administration (mins) - subsequent administrations</t>
  </si>
  <si>
    <t>Durvalumab with tremelimumab - 1st infusion</t>
  </si>
  <si>
    <t>Durvalumab with tremelimumab - subsequent infusions</t>
  </si>
  <si>
    <t>Atezolizumab with bevacizumab - 1st infusion</t>
  </si>
  <si>
    <t>Atezolizumab with bevacizumab - subsequent infusions</t>
  </si>
  <si>
    <t>Atezolizumab (IV) or (SC)</t>
  </si>
  <si>
    <t xml:space="preserve"> Atezolizumab (IV) or (SC) with bevacizumab (IV)</t>
  </si>
  <si>
    <t>IV or SC</t>
  </si>
  <si>
    <t>Atezolizumab with bevacizumab administration time based on estimated atezolizumab IV administration time if using subcut amend accordingly</t>
  </si>
  <si>
    <t>TA1090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</si>
</sst>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0.0000%"/>
    <numFmt numFmtId="175" formatCode="#,##0.0"/>
    <numFmt numFmtId="176" formatCode="_-* #,##0.0_-;\-* #,##0.0_-;_-* &quot;-&quot;?_-;_-@_-"/>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b/>
      <sz val="10"/>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style="medium">
        <color indexed="64"/>
      </top>
      <bottom style="medium">
        <color indexed="64"/>
      </bottom>
      <diagonal/>
    </border>
    <border>
      <left/>
      <right style="thin">
        <color rgb="FF000000"/>
      </right>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54">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53" fillId="0" borderId="0" xfId="72" applyFont="1" applyFill="1" applyAlignment="1" applyProtection="1">
      <alignment vertical="top"/>
    </xf>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9" fontId="0" fillId="0" borderId="11" xfId="0" applyNumberFormat="1" applyBorder="1"/>
    <xf numFmtId="9" fontId="27" fillId="0" borderId="11" xfId="92" applyFont="1" applyFill="1" applyBorder="1" applyAlignment="1" applyProtection="1">
      <alignment horizontal="right" vertical="center"/>
      <protection locked="0"/>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8" xfId="0" applyFill="1" applyBorder="1" applyAlignment="1">
      <alignment horizontal="center"/>
    </xf>
    <xf numFmtId="3" fontId="0" fillId="39" borderId="31" xfId="0" applyNumberFormat="1" applyFill="1" applyBorder="1" applyAlignment="1">
      <alignment horizontal="right"/>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8"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4"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168" fontId="46" fillId="39" borderId="12" xfId="82" applyNumberFormat="1" applyFont="1" applyFill="1" applyBorder="1" applyProtection="1">
      <protection locked="0"/>
    </xf>
    <xf numFmtId="3" fontId="46" fillId="39" borderId="12" xfId="82" applyNumberFormat="1" applyFont="1" applyFill="1" applyBorder="1" applyProtection="1">
      <protection locked="0"/>
    </xf>
    <xf numFmtId="2" fontId="46" fillId="39" borderId="12" xfId="82" applyNumberFormat="1" applyFont="1" applyFill="1" applyBorder="1" applyProtection="1">
      <protection locked="0"/>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164" fontId="0" fillId="0" borderId="28" xfId="0" applyNumberFormat="1" applyBorder="1" applyAlignment="1" applyProtection="1">
      <alignment horizontal="right" vertical="center"/>
      <protection locked="0"/>
    </xf>
    <xf numFmtId="9" fontId="27" fillId="0" borderId="28"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8" fillId="44" borderId="0" xfId="0" applyFont="1" applyFill="1"/>
    <xf numFmtId="0" fontId="68" fillId="44" borderId="20" xfId="0" applyFont="1" applyFill="1" applyBorder="1" applyAlignment="1">
      <alignment horizontal="center"/>
    </xf>
    <xf numFmtId="4" fontId="68" fillId="44" borderId="20" xfId="0" applyNumberFormat="1" applyFont="1" applyFill="1" applyBorder="1"/>
    <xf numFmtId="164" fontId="68" fillId="44" borderId="20" xfId="0" applyNumberFormat="1" applyFont="1" applyFill="1" applyBorder="1"/>
    <xf numFmtId="0" fontId="68" fillId="44" borderId="20" xfId="0" applyFont="1" applyFill="1" applyBorder="1"/>
    <xf numFmtId="0" fontId="68" fillId="44" borderId="17" xfId="0" applyFont="1" applyFill="1" applyBorder="1"/>
    <xf numFmtId="0" fontId="48" fillId="44" borderId="12" xfId="0" applyFont="1" applyFill="1" applyBorder="1" applyAlignment="1">
      <alignment horizontal="left" vertical="center"/>
    </xf>
    <xf numFmtId="0" fontId="70" fillId="24" borderId="43" xfId="0" applyFont="1" applyFill="1" applyBorder="1" applyAlignment="1">
      <alignment horizontal="center" vertical="center"/>
    </xf>
    <xf numFmtId="0" fontId="40" fillId="24" borderId="42" xfId="0" applyFont="1" applyFill="1" applyBorder="1" applyAlignment="1">
      <alignment vertical="center"/>
    </xf>
    <xf numFmtId="169" fontId="46" fillId="0" borderId="23" xfId="57" applyNumberFormat="1" applyFont="1" applyFill="1" applyBorder="1" applyProtection="1"/>
    <xf numFmtId="0" fontId="71"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4" xfId="0" applyFont="1" applyFill="1" applyBorder="1" applyAlignment="1">
      <alignment horizontal="center"/>
    </xf>
    <xf numFmtId="0" fontId="44" fillId="24" borderId="45" xfId="82" applyFont="1" applyFill="1" applyBorder="1" applyAlignment="1">
      <alignment horizontal="center"/>
    </xf>
    <xf numFmtId="0" fontId="44" fillId="24" borderId="45" xfId="110" applyFont="1" applyFill="1" applyBorder="1" applyAlignment="1">
      <alignment horizontal="center" wrapText="1"/>
    </xf>
    <xf numFmtId="3" fontId="44" fillId="24" borderId="45" xfId="110" applyNumberFormat="1" applyFont="1" applyFill="1" applyBorder="1" applyAlignment="1">
      <alignment horizontal="center" wrapText="1"/>
    </xf>
    <xf numFmtId="0" fontId="44" fillId="24" borderId="46" xfId="110" applyFont="1" applyFill="1" applyBorder="1" applyAlignment="1">
      <alignment horizontal="center" wrapText="1"/>
    </xf>
    <xf numFmtId="0" fontId="44" fillId="24" borderId="44" xfId="0" applyFont="1" applyFill="1" applyBorder="1" applyAlignment="1">
      <alignment horizontal="center" wrapText="1"/>
    </xf>
    <xf numFmtId="0" fontId="44" fillId="47" borderId="45" xfId="0" applyFont="1" applyFill="1" applyBorder="1" applyAlignment="1">
      <alignment horizontal="center" wrapText="1"/>
    </xf>
    <xf numFmtId="0" fontId="44" fillId="24" borderId="45" xfId="0" applyFont="1" applyFill="1" applyBorder="1" applyAlignment="1">
      <alignment horizontal="center" wrapText="1"/>
    </xf>
    <xf numFmtId="0" fontId="44" fillId="24" borderId="46" xfId="0" applyFont="1" applyFill="1" applyBorder="1" applyAlignment="1">
      <alignment horizontal="center" wrapText="1"/>
    </xf>
    <xf numFmtId="0" fontId="0" fillId="0" borderId="47" xfId="0" applyBorder="1" applyAlignment="1">
      <alignment horizontal="center"/>
    </xf>
    <xf numFmtId="169" fontId="46" fillId="0" borderId="19" xfId="57" applyNumberFormat="1" applyFont="1" applyFill="1" applyBorder="1" applyProtection="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4" xfId="0" applyNumberFormat="1" applyBorder="1"/>
    <xf numFmtId="0" fontId="0" fillId="0" borderId="48" xfId="0" applyBorder="1" applyAlignment="1">
      <alignment horizontal="center"/>
    </xf>
    <xf numFmtId="0" fontId="0" fillId="0" borderId="15" xfId="0" applyBorder="1"/>
    <xf numFmtId="169" fontId="46" fillId="39" borderId="36" xfId="57" applyNumberFormat="1" applyFont="1" applyFill="1" applyBorder="1" applyAlignment="1" applyProtection="1">
      <alignment horizontal="right"/>
    </xf>
    <xf numFmtId="169" fontId="46" fillId="39" borderId="36" xfId="57" applyNumberFormat="1" applyFont="1" applyFill="1" applyBorder="1" applyProtection="1"/>
    <xf numFmtId="10" fontId="46" fillId="39" borderId="36" xfId="92" applyNumberFormat="1" applyFont="1" applyFill="1" applyBorder="1" applyProtection="1"/>
    <xf numFmtId="10" fontId="46" fillId="39" borderId="26" xfId="92" applyNumberFormat="1" applyFont="1" applyFill="1" applyBorder="1" applyProtection="1"/>
    <xf numFmtId="3" fontId="0" fillId="0" borderId="19" xfId="0" applyNumberFormat="1" applyBorder="1"/>
    <xf numFmtId="3" fontId="0" fillId="0" borderId="28" xfId="0" applyNumberFormat="1" applyBorder="1"/>
    <xf numFmtId="0" fontId="72" fillId="48" borderId="0" xfId="0" applyFont="1" applyFill="1" applyAlignment="1">
      <alignment horizontal="left" vertical="center"/>
    </xf>
    <xf numFmtId="0" fontId="39" fillId="48" borderId="0" xfId="0" applyFont="1" applyFill="1" applyAlignment="1">
      <alignment horizontal="left" vertical="center"/>
    </xf>
    <xf numFmtId="0" fontId="73" fillId="48" borderId="0" xfId="0" applyFont="1" applyFill="1"/>
    <xf numFmtId="0" fontId="74" fillId="25" borderId="0" xfId="0" applyFont="1" applyFill="1"/>
    <xf numFmtId="0" fontId="74" fillId="0" borderId="0" xfId="0" applyFont="1"/>
    <xf numFmtId="0" fontId="74"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5"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9" xfId="0" applyFont="1" applyBorder="1"/>
    <xf numFmtId="0" fontId="0" fillId="0" borderId="40" xfId="0" applyBorder="1" applyAlignment="1">
      <alignment horizontal="center" wrapText="1"/>
    </xf>
    <xf numFmtId="0" fontId="29" fillId="0" borderId="39" xfId="0" applyFont="1" applyBorder="1" applyAlignment="1">
      <alignment horizontal="center"/>
    </xf>
    <xf numFmtId="0" fontId="0" fillId="0" borderId="41"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5"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5"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4"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4" fillId="25" borderId="0" xfId="0" applyNumberFormat="1" applyFont="1" applyFill="1"/>
    <xf numFmtId="0" fontId="29" fillId="25" borderId="0" xfId="0" applyFont="1" applyFill="1" applyAlignment="1">
      <alignment horizontal="right"/>
    </xf>
    <xf numFmtId="0" fontId="74" fillId="25" borderId="0" xfId="0" applyFont="1" applyFill="1" applyAlignment="1">
      <alignment horizontal="right"/>
    </xf>
    <xf numFmtId="9" fontId="29" fillId="49" borderId="0" xfId="92" applyFont="1" applyFill="1"/>
    <xf numFmtId="173" fontId="76" fillId="25" borderId="0" xfId="92" applyNumberFormat="1" applyFont="1" applyFill="1" applyAlignment="1">
      <alignment horizontal="right"/>
    </xf>
    <xf numFmtId="9" fontId="76" fillId="25" borderId="0" xfId="92" applyFont="1" applyFill="1" applyAlignment="1">
      <alignment horizontal="right"/>
    </xf>
    <xf numFmtId="0" fontId="76"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4" fillId="0" borderId="0" xfId="0" applyNumberFormat="1" applyFont="1"/>
    <xf numFmtId="165" fontId="74" fillId="24" borderId="0" xfId="0" applyNumberFormat="1" applyFont="1" applyFill="1"/>
    <xf numFmtId="0" fontId="4" fillId="24" borderId="0" xfId="0" applyFont="1" applyFill="1" applyAlignment="1">
      <alignment horizontal="left" vertical="center" wrapText="1"/>
    </xf>
    <xf numFmtId="3" fontId="74"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7"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2" fillId="24" borderId="17" xfId="82" applyFill="1" applyBorder="1"/>
    <xf numFmtId="0" fontId="46" fillId="0" borderId="18" xfId="82" applyFont="1" applyBorder="1"/>
    <xf numFmtId="0" fontId="0" fillId="39" borderId="32" xfId="0" applyFill="1" applyBorder="1" applyAlignment="1" applyProtection="1">
      <alignment horizontal="right"/>
      <protection locked="0"/>
    </xf>
    <xf numFmtId="0" fontId="0" fillId="39" borderId="33" xfId="0" applyFill="1" applyBorder="1" applyAlignment="1" applyProtection="1">
      <alignment horizontal="right"/>
      <protection locked="0"/>
    </xf>
    <xf numFmtId="0" fontId="53" fillId="0" borderId="0" xfId="72" applyFont="1" applyFill="1" applyBorder="1" applyAlignment="1" applyProtection="1">
      <alignment horizontal="left"/>
    </xf>
    <xf numFmtId="0" fontId="78"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7" fillId="0" borderId="18" xfId="0" applyFont="1" applyBorder="1"/>
    <xf numFmtId="0" fontId="56" fillId="39" borderId="11" xfId="82" applyFont="1" applyFill="1" applyBorder="1" applyAlignment="1" applyProtection="1">
      <alignment horizontal="right"/>
      <protection locked="0"/>
    </xf>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0" fillId="0" borderId="49"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5"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0" fontId="0" fillId="0" borderId="0" xfId="0" quotePrefix="1"/>
    <xf numFmtId="3" fontId="44" fillId="28" borderId="11" xfId="0" applyNumberFormat="1" applyFont="1" applyFill="1" applyBorder="1"/>
    <xf numFmtId="3" fontId="44" fillId="39"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9" xfId="92" applyNumberFormat="1" applyFont="1" applyFill="1" applyBorder="1"/>
    <xf numFmtId="0" fontId="44" fillId="28" borderId="12" xfId="0" applyFont="1" applyFill="1" applyBorder="1"/>
    <xf numFmtId="10" fontId="0" fillId="28" borderId="17" xfId="92" applyNumberFormat="1" applyFont="1" applyFill="1" applyBorder="1"/>
    <xf numFmtId="0" fontId="0" fillId="39" borderId="33"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50" xfId="0" applyBorder="1" applyAlignment="1">
      <alignment horizontal="right"/>
    </xf>
    <xf numFmtId="0" fontId="0" fillId="0" borderId="50"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51" xfId="0" applyFill="1" applyBorder="1" applyProtection="1">
      <protection locked="0"/>
    </xf>
    <xf numFmtId="166" fontId="46" fillId="0" borderId="12" xfId="56" applyNumberFormat="1" applyFont="1" applyFill="1" applyBorder="1" applyProtection="1">
      <protection locked="0"/>
    </xf>
    <xf numFmtId="0" fontId="46" fillId="0" borderId="11" xfId="82" applyFont="1" applyBorder="1" applyAlignment="1" applyProtection="1">
      <alignment horizontal="right"/>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0" fontId="0" fillId="39" borderId="55" xfId="0" applyFill="1" applyBorder="1" applyProtection="1">
      <protection locked="0"/>
    </xf>
    <xf numFmtId="0" fontId="0" fillId="39" borderId="56"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50" xfId="82" applyFont="1" applyBorder="1"/>
    <xf numFmtId="0" fontId="79" fillId="24" borderId="12" xfId="82" applyFont="1" applyFill="1" applyBorder="1"/>
    <xf numFmtId="0" fontId="7" fillId="24" borderId="20" xfId="82" applyFont="1" applyFill="1" applyBorder="1"/>
    <xf numFmtId="0" fontId="79" fillId="24" borderId="12" xfId="82" applyFont="1" applyFill="1" applyBorder="1" applyAlignment="1">
      <alignment horizontal="center"/>
    </xf>
    <xf numFmtId="0" fontId="6" fillId="24" borderId="17" xfId="82" applyFont="1" applyFill="1" applyBorder="1"/>
    <xf numFmtId="0" fontId="0" fillId="24" borderId="50" xfId="0" applyFill="1" applyBorder="1"/>
    <xf numFmtId="0" fontId="0" fillId="24" borderId="49"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166" fontId="46" fillId="39"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50" xfId="0" applyFont="1" applyFill="1" applyBorder="1" applyAlignment="1">
      <alignment horizontal="left"/>
    </xf>
    <xf numFmtId="0" fontId="29" fillId="26" borderId="50" xfId="0" applyFont="1" applyFill="1" applyBorder="1"/>
    <xf numFmtId="0" fontId="29" fillId="26" borderId="49" xfId="0" applyFont="1" applyFill="1" applyBorder="1"/>
    <xf numFmtId="0" fontId="32" fillId="30" borderId="50" xfId="0" applyFont="1" applyFill="1" applyBorder="1" applyAlignment="1">
      <alignment vertical="center" wrapText="1"/>
    </xf>
    <xf numFmtId="0" fontId="32" fillId="30" borderId="49" xfId="0" applyFont="1" applyFill="1" applyBorder="1" applyAlignment="1">
      <alignment vertical="center" wrapText="1"/>
    </xf>
    <xf numFmtId="0" fontId="32" fillId="27" borderId="50" xfId="0" applyFont="1" applyFill="1" applyBorder="1"/>
    <xf numFmtId="0" fontId="32" fillId="27" borderId="49" xfId="0" applyFont="1" applyFill="1" applyBorder="1"/>
    <xf numFmtId="0" fontId="6" fillId="0" borderId="49" xfId="0" applyFont="1" applyBorder="1"/>
    <xf numFmtId="0" fontId="29" fillId="0" borderId="49" xfId="0" applyFont="1" applyBorder="1"/>
    <xf numFmtId="0" fontId="29" fillId="0" borderId="50" xfId="0" applyFont="1" applyBorder="1"/>
    <xf numFmtId="0" fontId="7" fillId="0" borderId="49" xfId="0" applyFont="1" applyBorder="1"/>
    <xf numFmtId="3" fontId="7" fillId="0" borderId="49" xfId="0" applyNumberFormat="1" applyFont="1" applyBorder="1"/>
    <xf numFmtId="3" fontId="32" fillId="0" borderId="50" xfId="0" applyNumberFormat="1" applyFont="1" applyBorder="1"/>
    <xf numFmtId="3" fontId="32" fillId="0" borderId="49" xfId="0" applyNumberFormat="1" applyFont="1" applyBorder="1"/>
    <xf numFmtId="3" fontId="7" fillId="0" borderId="50" xfId="0" applyNumberFormat="1" applyFont="1" applyBorder="1"/>
    <xf numFmtId="3" fontId="6" fillId="0" borderId="49" xfId="0" applyNumberFormat="1" applyFont="1" applyBorder="1"/>
    <xf numFmtId="3" fontId="29" fillId="0" borderId="50" xfId="0" applyNumberFormat="1" applyFont="1" applyBorder="1"/>
    <xf numFmtId="3" fontId="29" fillId="0" borderId="49" xfId="0" applyNumberFormat="1" applyFont="1" applyBorder="1"/>
    <xf numFmtId="3" fontId="6" fillId="0" borderId="50" xfId="0" applyNumberFormat="1" applyFont="1" applyBorder="1"/>
    <xf numFmtId="0" fontId="6" fillId="0" borderId="50" xfId="0" applyFont="1" applyBorder="1"/>
    <xf numFmtId="173" fontId="32" fillId="25" borderId="50" xfId="92" applyNumberFormat="1" applyFont="1" applyFill="1" applyBorder="1"/>
    <xf numFmtId="9" fontId="0" fillId="0" borderId="50" xfId="0" applyNumberFormat="1" applyBorder="1" applyAlignment="1">
      <alignment horizontal="right"/>
    </xf>
    <xf numFmtId="0" fontId="39" fillId="0" borderId="49" xfId="82" applyFont="1" applyBorder="1"/>
    <xf numFmtId="0" fontId="39" fillId="37" borderId="50" xfId="0" applyFont="1" applyFill="1" applyBorder="1" applyAlignment="1">
      <alignment horizontal="center" wrapText="1"/>
    </xf>
    <xf numFmtId="165" fontId="27" fillId="0" borderId="49" xfId="0" applyNumberFormat="1" applyFont="1" applyBorder="1"/>
    <xf numFmtId="0" fontId="0" fillId="24" borderId="49" xfId="0" applyFill="1" applyBorder="1" applyAlignment="1">
      <alignment horizontal="center" wrapText="1"/>
    </xf>
    <xf numFmtId="0" fontId="44" fillId="40" borderId="50" xfId="0" applyFont="1" applyFill="1" applyBorder="1" applyAlignment="1">
      <alignment horizontal="left"/>
    </xf>
    <xf numFmtId="0" fontId="39" fillId="40" borderId="50" xfId="0" applyFont="1" applyFill="1" applyBorder="1"/>
    <xf numFmtId="0" fontId="44" fillId="40" borderId="49" xfId="0" applyFont="1" applyFill="1" applyBorder="1"/>
    <xf numFmtId="165" fontId="44" fillId="45" borderId="49" xfId="0" applyNumberFormat="1" applyFont="1" applyFill="1" applyBorder="1"/>
    <xf numFmtId="0" fontId="0" fillId="45" borderId="49" xfId="0" applyFill="1" applyBorder="1"/>
    <xf numFmtId="0" fontId="44" fillId="0" borderId="50"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0" fontId="0" fillId="0" borderId="20" xfId="0" applyBorder="1" applyAlignment="1">
      <alignment horizontal="left" vertical="center"/>
    </xf>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44" fillId="24" borderId="57" xfId="0" applyFont="1" applyFill="1" applyBorder="1" applyAlignment="1">
      <alignment horizontal="center" wrapText="1"/>
    </xf>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174" fontId="0" fillId="39" borderId="11" xfId="92" applyNumberFormat="1" applyFont="1" applyFill="1" applyBorder="1" applyProtection="1">
      <protection locked="0"/>
    </xf>
    <xf numFmtId="0" fontId="28" fillId="0" borderId="0" xfId="72" applyFill="1" applyAlignment="1" applyProtection="1"/>
    <xf numFmtId="0" fontId="46" fillId="25" borderId="0" xfId="82" applyFont="1" applyFill="1" applyProtection="1">
      <protection locked="0"/>
    </xf>
    <xf numFmtId="166" fontId="46" fillId="25" borderId="0" xfId="56" applyNumberFormat="1" applyFont="1" applyFill="1" applyBorder="1" applyAlignment="1" applyProtection="1">
      <alignment horizontal="left"/>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0" fontId="56" fillId="25" borderId="0" xfId="82" applyFont="1" applyFill="1" applyAlignment="1" applyProtection="1">
      <alignment horizontal="right"/>
      <protection locked="0"/>
    </xf>
    <xf numFmtId="0" fontId="56" fillId="25" borderId="0" xfId="82" applyFont="1" applyFill="1" applyProtection="1">
      <protection locked="0"/>
    </xf>
    <xf numFmtId="165" fontId="46" fillId="25" borderId="0" xfId="82" applyNumberFormat="1" applyFont="1" applyFill="1" applyProtection="1">
      <protection locked="0"/>
    </xf>
    <xf numFmtId="0" fontId="48" fillId="25" borderId="0" xfId="82" applyFont="1" applyFill="1" applyAlignment="1">
      <alignment horizontal="left"/>
    </xf>
    <xf numFmtId="166" fontId="6" fillId="25" borderId="0" xfId="56" applyNumberFormat="1" applyFont="1" applyFill="1" applyBorder="1" applyAlignment="1">
      <alignment horizontal="center"/>
    </xf>
    <xf numFmtId="0" fontId="6" fillId="25" borderId="0" xfId="82" applyFont="1" applyFill="1" applyAlignment="1">
      <alignment horizontal="left"/>
    </xf>
    <xf numFmtId="0" fontId="6" fillId="25" borderId="0" xfId="82" applyFont="1" applyFill="1" applyAlignment="1">
      <alignment horizontal="right"/>
    </xf>
    <xf numFmtId="166" fontId="6" fillId="25" borderId="0" xfId="56" applyNumberFormat="1" applyFont="1" applyFill="1" applyBorder="1"/>
    <xf numFmtId="0" fontId="6" fillId="25" borderId="0" xfId="82" applyFont="1" applyFill="1"/>
    <xf numFmtId="0" fontId="6" fillId="25" borderId="0" xfId="82" applyFont="1" applyFill="1" applyAlignment="1">
      <alignment horizontal="center"/>
    </xf>
    <xf numFmtId="0" fontId="46" fillId="25" borderId="0" xfId="82" applyFont="1" applyFill="1"/>
    <xf numFmtId="0" fontId="28" fillId="0" borderId="20" xfId="72" applyBorder="1" applyAlignment="1" applyProtection="1"/>
    <xf numFmtId="0" fontId="46" fillId="25" borderId="12" xfId="82" applyFont="1" applyFill="1" applyBorder="1" applyProtection="1">
      <protection locked="0"/>
    </xf>
    <xf numFmtId="0" fontId="46" fillId="25" borderId="11" xfId="82" applyFont="1" applyFill="1" applyBorder="1" applyAlignment="1" applyProtection="1">
      <alignment horizontal="center"/>
      <protection locked="0"/>
    </xf>
    <xf numFmtId="166" fontId="46" fillId="25" borderId="11" xfId="56" applyNumberFormat="1" applyFont="1" applyFill="1" applyBorder="1" applyProtection="1">
      <protection locked="0"/>
    </xf>
    <xf numFmtId="0" fontId="46" fillId="25" borderId="11" xfId="82" applyFont="1" applyFill="1" applyBorder="1" applyAlignment="1" applyProtection="1">
      <alignment horizontal="right"/>
      <protection locked="0"/>
    </xf>
    <xf numFmtId="0" fontId="46" fillId="25" borderId="11" xfId="82" applyFont="1" applyFill="1" applyBorder="1" applyProtection="1">
      <protection locked="0"/>
    </xf>
    <xf numFmtId="166" fontId="46" fillId="25" borderId="11" xfId="82" applyNumberFormat="1" applyFont="1" applyFill="1" applyBorder="1" applyProtection="1">
      <protection locked="0"/>
    </xf>
    <xf numFmtId="1" fontId="46" fillId="25" borderId="11" xfId="82" applyNumberFormat="1" applyFont="1" applyFill="1" applyBorder="1" applyProtection="1">
      <protection locked="0"/>
    </xf>
    <xf numFmtId="164" fontId="46" fillId="25" borderId="12" xfId="82" applyNumberFormat="1" applyFont="1" applyFill="1" applyBorder="1" applyProtection="1">
      <protection locked="0"/>
    </xf>
    <xf numFmtId="9" fontId="46" fillId="25" borderId="11" xfId="82" applyNumberFormat="1" applyFont="1" applyFill="1" applyBorder="1" applyProtection="1">
      <protection locked="0"/>
    </xf>
    <xf numFmtId="165" fontId="46" fillId="25" borderId="11" xfId="82" applyNumberFormat="1" applyFont="1" applyFill="1" applyBorder="1" applyProtection="1">
      <protection locked="0"/>
    </xf>
    <xf numFmtId="175" fontId="46" fillId="0" borderId="11" xfId="82" applyNumberFormat="1" applyFont="1" applyBorder="1" applyProtection="1">
      <protection locked="0"/>
    </xf>
    <xf numFmtId="176" fontId="46" fillId="0" borderId="11" xfId="82" applyNumberFormat="1" applyFont="1" applyBorder="1" applyProtection="1">
      <protection locked="0"/>
    </xf>
    <xf numFmtId="43" fontId="46" fillId="0" borderId="11" xfId="82" applyNumberFormat="1" applyFont="1" applyBorder="1" applyProtection="1">
      <protection locked="0"/>
    </xf>
    <xf numFmtId="0" fontId="46" fillId="39" borderId="12" xfId="82" applyFont="1" applyFill="1" applyBorder="1" applyAlignment="1" applyProtection="1">
      <alignment wrapText="1"/>
      <protection locked="0"/>
    </xf>
    <xf numFmtId="166" fontId="46" fillId="39" borderId="12" xfId="56" applyNumberFormat="1" applyFont="1" applyFill="1" applyBorder="1" applyAlignment="1" applyProtection="1">
      <alignment horizontal="center"/>
      <protection locked="0"/>
    </xf>
    <xf numFmtId="0" fontId="46" fillId="25" borderId="0" xfId="82" applyFont="1" applyFill="1" applyAlignment="1">
      <alignment horizontal="center"/>
    </xf>
    <xf numFmtId="0" fontId="28" fillId="25" borderId="0" xfId="72" applyFill="1" applyAlignment="1" applyProtection="1">
      <alignment vertical="top"/>
    </xf>
    <xf numFmtId="0" fontId="80" fillId="24" borderId="11" xfId="82" applyFont="1" applyFill="1" applyBorder="1" applyAlignment="1">
      <alignment horizontal="center" wrapText="1"/>
    </xf>
    <xf numFmtId="0" fontId="48" fillId="24" borderId="11" xfId="0" applyFont="1" applyFill="1" applyBorder="1" applyAlignment="1">
      <alignment vertical="center"/>
    </xf>
    <xf numFmtId="165" fontId="46" fillId="0" borderId="20" xfId="82" applyNumberFormat="1" applyFont="1" applyBorder="1" applyAlignment="1">
      <alignment horizontal="right" wrapText="1"/>
    </xf>
    <xf numFmtId="0" fontId="46" fillId="0" borderId="0" xfId="0" applyFont="1" applyAlignment="1">
      <alignment vertical="center" wrapText="1"/>
    </xf>
    <xf numFmtId="165" fontId="46" fillId="0" borderId="12" xfId="82" applyNumberFormat="1" applyFont="1" applyBorder="1" applyAlignment="1">
      <alignment horizontal="right" wrapText="1"/>
    </xf>
    <xf numFmtId="166" fontId="46" fillId="0" borderId="11" xfId="82" applyNumberFormat="1" applyFont="1" applyBorder="1" applyProtection="1">
      <protection locked="0"/>
    </xf>
    <xf numFmtId="0" fontId="0" fillId="25" borderId="12" xfId="0" applyFill="1" applyBorder="1" applyAlignment="1">
      <alignment horizontal="left"/>
    </xf>
    <xf numFmtId="0" fontId="0" fillId="25" borderId="0" xfId="0" applyFill="1"/>
    <xf numFmtId="0" fontId="0" fillId="25" borderId="11" xfId="0" applyFill="1" applyBorder="1"/>
    <xf numFmtId="3" fontId="0" fillId="25" borderId="11" xfId="0" applyNumberFormat="1" applyFill="1" applyBorder="1"/>
    <xf numFmtId="0" fontId="0" fillId="25" borderId="11" xfId="0" applyFill="1" applyBorder="1" applyAlignment="1">
      <alignment horizontal="left" vertical="center"/>
    </xf>
    <xf numFmtId="0" fontId="0" fillId="25" borderId="11" xfId="0" applyFill="1" applyBorder="1" applyAlignment="1">
      <alignment horizontal="left"/>
    </xf>
    <xf numFmtId="164" fontId="0" fillId="25" borderId="11" xfId="0" applyNumberFormat="1" applyFill="1" applyBorder="1" applyProtection="1">
      <protection locked="0"/>
    </xf>
    <xf numFmtId="165" fontId="46" fillId="25" borderId="11" xfId="82" applyNumberFormat="1" applyFont="1" applyFill="1" applyBorder="1" applyAlignment="1">
      <alignment horizontal="right" wrapText="1"/>
    </xf>
    <xf numFmtId="166" fontId="46" fillId="25" borderId="11" xfId="82" applyNumberFormat="1" applyFont="1" applyFill="1" applyBorder="1" applyAlignment="1">
      <alignment horizontal="center" wrapText="1"/>
    </xf>
    <xf numFmtId="1" fontId="0" fillId="0" borderId="0" xfId="0" applyNumberFormat="1" applyAlignment="1">
      <alignment horizontal="center"/>
    </xf>
    <xf numFmtId="0" fontId="0" fillId="25" borderId="0" xfId="0" applyFill="1" applyAlignment="1">
      <alignment horizontal="center"/>
    </xf>
    <xf numFmtId="3" fontId="44" fillId="25" borderId="0" xfId="0" applyNumberFormat="1" applyFont="1" applyFill="1"/>
    <xf numFmtId="9" fontId="0" fillId="25" borderId="0" xfId="0" applyNumberFormat="1" applyFill="1" applyAlignment="1" applyProtection="1">
      <alignment horizontal="right"/>
      <protection locked="0"/>
    </xf>
    <xf numFmtId="168" fontId="0" fillId="25" borderId="0" xfId="0" applyNumberFormat="1" applyFill="1"/>
    <xf numFmtId="1" fontId="0" fillId="25" borderId="0" xfId="0" applyNumberFormat="1" applyFill="1"/>
    <xf numFmtId="1" fontId="44" fillId="25" borderId="0" xfId="0" applyNumberFormat="1" applyFont="1" applyFill="1"/>
    <xf numFmtId="1" fontId="0" fillId="25" borderId="0" xfId="0" applyNumberFormat="1" applyFill="1" applyAlignment="1" applyProtection="1">
      <alignment horizontal="right"/>
      <protection locked="0"/>
    </xf>
    <xf numFmtId="0" fontId="28" fillId="25" borderId="0" xfId="72" applyFill="1" applyBorder="1" applyAlignment="1" applyProtection="1"/>
    <xf numFmtId="0" fontId="44" fillId="0" borderId="0" xfId="0" applyFont="1" applyAlignment="1">
      <alignment wrapText="1"/>
    </xf>
    <xf numFmtId="10" fontId="27" fillId="0" borderId="0" xfId="92" applyNumberFormat="1" applyFont="1" applyFill="1" applyBorder="1"/>
    <xf numFmtId="0" fontId="44" fillId="0" borderId="50" xfId="0" applyFont="1" applyBorder="1"/>
    <xf numFmtId="0" fontId="0" fillId="25" borderId="10" xfId="0" applyFill="1" applyBorder="1"/>
    <xf numFmtId="9" fontId="0" fillId="0" borderId="10" xfId="0" applyNumberFormat="1" applyBorder="1" applyAlignment="1">
      <alignment horizontal="right"/>
    </xf>
    <xf numFmtId="2" fontId="46" fillId="25" borderId="11" xfId="82" applyNumberFormat="1" applyFont="1" applyFill="1" applyBorder="1" applyProtection="1">
      <protection locked="0"/>
    </xf>
    <xf numFmtId="0" fontId="56" fillId="0" borderId="11" xfId="72" applyFont="1" applyBorder="1" applyAlignment="1" applyProtection="1"/>
    <xf numFmtId="0" fontId="0" fillId="39" borderId="32" xfId="0" applyFill="1" applyBorder="1" applyProtection="1">
      <protection locked="0"/>
    </xf>
    <xf numFmtId="0" fontId="0" fillId="39" borderId="0" xfId="0" applyFill="1" applyProtection="1">
      <protection locked="0"/>
    </xf>
    <xf numFmtId="0" fontId="0" fillId="39" borderId="58" xfId="0" applyFill="1" applyBorder="1" applyProtection="1">
      <protection locked="0"/>
    </xf>
    <xf numFmtId="9" fontId="0" fillId="39" borderId="0" xfId="0" applyNumberFormat="1" applyFill="1" applyProtection="1">
      <protection locked="0"/>
    </xf>
    <xf numFmtId="3" fontId="0" fillId="39" borderId="19" xfId="0" applyNumberFormat="1" applyFill="1" applyBorder="1" applyProtection="1">
      <protection locked="0"/>
    </xf>
    <xf numFmtId="9" fontId="0" fillId="39" borderId="19" xfId="92" applyFont="1" applyFill="1" applyBorder="1" applyProtection="1">
      <protection locked="0"/>
    </xf>
    <xf numFmtId="3" fontId="0" fillId="39" borderId="11" xfId="0" applyNumberFormat="1" applyFill="1" applyBorder="1" applyProtection="1">
      <protection locked="0"/>
    </xf>
    <xf numFmtId="3" fontId="0" fillId="39" borderId="28" xfId="0" applyNumberFormat="1" applyFill="1" applyBorder="1" applyProtection="1">
      <protection locked="0"/>
    </xf>
    <xf numFmtId="9" fontId="0" fillId="39" borderId="28" xfId="92"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39" borderId="12" xfId="82" applyFont="1" applyFill="1" applyBorder="1" applyAlignment="1">
      <alignment vertical="top" wrapText="1"/>
    </xf>
    <xf numFmtId="0" fontId="0" fillId="39" borderId="20" xfId="82" applyFont="1" applyFill="1" applyBorder="1" applyAlignment="1">
      <alignment vertical="top" wrapText="1"/>
    </xf>
    <xf numFmtId="0" fontId="0" fillId="39" borderId="17" xfId="82" applyFont="1" applyFill="1" applyBorder="1" applyAlignment="1">
      <alignment vertical="top"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pmc.ncbi.nlm.nih.gov/articles/PMC7966867/"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digital.nhs.uk/data-and-information/publications/statistical/cancer-registration-statistics/england-2022?dm_i=21A8,8R9FN,7GWY7Z,10ES7C,1" TargetMode="External"/><Relationship Id="rId5" Type="http://schemas.openxmlformats.org/officeDocument/2006/relationships/hyperlink" Target="https://ascopubs.org/doi/10.1200/JCO.2022.40.4_suppl.379" TargetMode="External"/><Relationship Id="rId10" Type="http://schemas.openxmlformats.org/officeDocument/2006/relationships/comments" Target="../comments1.x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england.nhs.uk/publication/2025-26-nhs-payment-scheme/"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s://www.england.nhs.uk/publication/2025-26-nhs-payment-scheme/"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ublication/2025-26-nhs-payment-scheme/" TargetMode="External"/><Relationship Id="rId11" Type="http://schemas.openxmlformats.org/officeDocument/2006/relationships/printerSettings" Target="../printerSettings/printerSettings7.bin"/><Relationship Id="rId5" Type="http://schemas.openxmlformats.org/officeDocument/2006/relationships/hyperlink" Target="https://www.england.nhs.uk/publication/2025-26-nhs-payment-scheme/" TargetMode="External"/><Relationship Id="rId10" Type="http://schemas.openxmlformats.org/officeDocument/2006/relationships/hyperlink" Target="https://www.england.nhs.uk/publication/2025-26-nhs-payment-scheme/" TargetMode="External"/><Relationship Id="rId4" Type="http://schemas.openxmlformats.org/officeDocument/2006/relationships/hyperlink" Target="https://bnf.nice.org.uk/" TargetMode="External"/><Relationship Id="rId9" Type="http://schemas.openxmlformats.org/officeDocument/2006/relationships/hyperlink" Target="https://www.england.nhs.uk/publication/2025-26-nhs-payment-schem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topLeftCell="A5" zoomScale="90" zoomScaleNormal="90" zoomScaleSheetLayoutView="80" workbookViewId="0">
      <selection activeCell="A7" sqref="A7"/>
    </sheetView>
  </sheetViews>
  <sheetFormatPr defaultRowHeight="14.4" x14ac:dyDescent="0.3"/>
  <cols>
    <col min="1" max="1" width="32.33203125" customWidth="1"/>
    <col min="2" max="2" width="78.109375" customWidth="1"/>
    <col min="3" max="3" width="1.44140625" customWidth="1"/>
    <col min="8" max="8" width="31" customWidth="1"/>
  </cols>
  <sheetData>
    <row r="1" spans="1:2" x14ac:dyDescent="0.3">
      <c r="A1" s="158"/>
      <c r="B1" s="720"/>
    </row>
    <row r="2" spans="1:2" x14ac:dyDescent="0.3">
      <c r="A2" s="769"/>
      <c r="B2" s="774"/>
    </row>
    <row r="3" spans="1:2" ht="31.2" x14ac:dyDescent="0.6">
      <c r="A3" s="770" t="s">
        <v>1828</v>
      </c>
      <c r="B3" s="774"/>
    </row>
    <row r="4" spans="1:2" x14ac:dyDescent="0.3">
      <c r="A4" s="769"/>
      <c r="B4" s="774"/>
    </row>
    <row r="5" spans="1:2" x14ac:dyDescent="0.3">
      <c r="A5" s="147"/>
      <c r="B5" s="146"/>
    </row>
    <row r="6" spans="1:2" ht="31.2" x14ac:dyDescent="0.6">
      <c r="A6" s="771" t="s">
        <v>1829</v>
      </c>
      <c r="B6" s="146"/>
    </row>
    <row r="7" spans="1:2" ht="31.2" x14ac:dyDescent="0.3">
      <c r="A7" s="772" t="s">
        <v>1830</v>
      </c>
      <c r="B7" s="146"/>
    </row>
    <row r="8" spans="1:2" ht="31.2" x14ac:dyDescent="0.3">
      <c r="A8" s="772" t="s">
        <v>1831</v>
      </c>
      <c r="B8" s="146"/>
    </row>
    <row r="9" spans="1:2" ht="31.2" x14ac:dyDescent="0.3">
      <c r="A9" s="772"/>
      <c r="B9" s="146"/>
    </row>
    <row r="10" spans="1:2" ht="25.8" x14ac:dyDescent="0.5">
      <c r="A10" s="773" t="s">
        <v>2260</v>
      </c>
      <c r="B10" s="146"/>
    </row>
    <row r="11" spans="1:2" x14ac:dyDescent="0.3">
      <c r="A11" s="147"/>
      <c r="B11" s="146"/>
    </row>
    <row r="12" spans="1:2" ht="31.2" x14ac:dyDescent="0.3">
      <c r="A12" s="772" t="s">
        <v>2281</v>
      </c>
      <c r="B12" s="146"/>
    </row>
    <row r="13" spans="1:2" x14ac:dyDescent="0.3">
      <c r="A13" s="147"/>
      <c r="B13" s="146"/>
    </row>
    <row r="14" spans="1:2" x14ac:dyDescent="0.3">
      <c r="A14" s="147"/>
      <c r="B14" s="150"/>
    </row>
    <row r="15" spans="1:2" ht="28.8" x14ac:dyDescent="0.3">
      <c r="A15" s="775" t="s">
        <v>1832</v>
      </c>
      <c r="B15" s="150" t="s">
        <v>1833</v>
      </c>
    </row>
    <row r="16" spans="1:2" x14ac:dyDescent="0.3">
      <c r="A16" s="214" t="s">
        <v>1834</v>
      </c>
      <c r="B16" s="137" t="s">
        <v>2248</v>
      </c>
    </row>
    <row r="17" spans="1:2" x14ac:dyDescent="0.3">
      <c r="A17" s="214" t="s">
        <v>1835</v>
      </c>
      <c r="B17" s="137" t="s">
        <v>2210</v>
      </c>
    </row>
    <row r="18" spans="1:2" x14ac:dyDescent="0.3">
      <c r="A18" s="214" t="s">
        <v>1836</v>
      </c>
      <c r="B18" s="137" t="s">
        <v>2211</v>
      </c>
    </row>
    <row r="19" spans="1:2" x14ac:dyDescent="0.3">
      <c r="A19" s="214" t="s">
        <v>1837</v>
      </c>
      <c r="B19" s="137" t="s">
        <v>2245</v>
      </c>
    </row>
    <row r="20" spans="1:2" x14ac:dyDescent="0.3">
      <c r="A20" s="214" t="s">
        <v>1838</v>
      </c>
      <c r="B20" s="137" t="s">
        <v>2246</v>
      </c>
    </row>
    <row r="21" spans="1:2" x14ac:dyDescent="0.3">
      <c r="A21" s="214" t="s">
        <v>1839</v>
      </c>
      <c r="B21" s="137" t="s">
        <v>2247</v>
      </c>
    </row>
    <row r="22" spans="1:2" x14ac:dyDescent="0.3">
      <c r="A22" s="214" t="s">
        <v>1840</v>
      </c>
      <c r="B22" s="137" t="s">
        <v>1921</v>
      </c>
    </row>
    <row r="23" spans="1:2" x14ac:dyDescent="0.3">
      <c r="A23" s="148"/>
      <c r="B23" s="150"/>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1"/>
  <sheetViews>
    <sheetView showGridLines="0" zoomScale="90" zoomScaleNormal="90" zoomScaleSheetLayoutView="80" workbookViewId="0"/>
  </sheetViews>
  <sheetFormatPr defaultColWidth="8.88671875" defaultRowHeight="14.4" x14ac:dyDescent="0.3"/>
  <cols>
    <col min="1" max="1" width="3.5546875" customWidth="1"/>
    <col min="2" max="2" width="50.5546875" style="1" customWidth="1"/>
    <col min="3" max="8" width="11.5546875" customWidth="1"/>
    <col min="9" max="9" width="10.44140625" customWidth="1"/>
    <col min="10" max="12" width="11.44140625" bestFit="1" customWidth="1"/>
    <col min="13" max="13" width="11.44140625" customWidth="1"/>
    <col min="14" max="14" width="1.5546875" customWidth="1"/>
    <col min="15" max="20" width="10.88671875" customWidth="1"/>
    <col min="22" max="35" width="8.88671875" customWidth="1"/>
  </cols>
  <sheetData>
    <row r="1" spans="2:34" ht="30" customHeight="1" x14ac:dyDescent="0.3">
      <c r="B1" s="451" t="str">
        <f>'Inputs and population'!B1</f>
        <v>Durvalumab with tremelimumab for untreated advanced or unresectable hepatocellular carcinoma</v>
      </c>
      <c r="C1" s="115"/>
      <c r="D1" s="115"/>
      <c r="E1" s="115"/>
      <c r="F1" s="115"/>
      <c r="G1" s="115"/>
      <c r="H1" s="115"/>
      <c r="I1" s="115"/>
      <c r="J1" s="115"/>
      <c r="K1" s="115"/>
      <c r="L1" s="115"/>
      <c r="M1" s="115"/>
      <c r="N1" s="115"/>
      <c r="O1" s="115"/>
      <c r="P1" s="115"/>
      <c r="Q1" s="115"/>
      <c r="R1" s="115"/>
      <c r="S1" s="115"/>
      <c r="T1" s="115"/>
    </row>
    <row r="2" spans="2:34" ht="38.1" customHeight="1" x14ac:dyDescent="0.3">
      <c r="B2" s="334" t="s">
        <v>2079</v>
      </c>
      <c r="C2" s="115" t="s">
        <v>1893</v>
      </c>
      <c r="D2" s="115" t="s">
        <v>1893</v>
      </c>
      <c r="E2" s="115" t="s">
        <v>1893</v>
      </c>
      <c r="F2" s="115" t="s">
        <v>1893</v>
      </c>
      <c r="G2" s="115" t="s">
        <v>1893</v>
      </c>
      <c r="H2" s="115"/>
      <c r="I2" s="115" t="s">
        <v>1893</v>
      </c>
      <c r="J2" s="115" t="s">
        <v>1893</v>
      </c>
      <c r="K2" s="121"/>
      <c r="L2" s="115"/>
      <c r="M2" s="115"/>
      <c r="N2" s="115"/>
      <c r="O2" s="115"/>
      <c r="P2" s="115"/>
      <c r="Q2" s="115"/>
      <c r="R2" s="115"/>
      <c r="S2" s="115"/>
      <c r="T2" s="115"/>
    </row>
    <row r="3" spans="2:34" x14ac:dyDescent="0.3">
      <c r="B3" s="118" t="s">
        <v>1893</v>
      </c>
      <c r="C3" s="121" t="s">
        <v>1893</v>
      </c>
      <c r="D3" s="121" t="s">
        <v>1893</v>
      </c>
      <c r="E3" s="121" t="s">
        <v>1893</v>
      </c>
      <c r="F3" s="121" t="s">
        <v>1893</v>
      </c>
      <c r="G3" s="121" t="s">
        <v>1893</v>
      </c>
      <c r="H3" s="121" t="s">
        <v>1893</v>
      </c>
      <c r="I3" s="121" t="s">
        <v>1893</v>
      </c>
      <c r="J3" s="121" t="s">
        <v>1893</v>
      </c>
      <c r="K3" s="121"/>
      <c r="L3" s="121"/>
      <c r="M3" s="121"/>
      <c r="N3" s="121"/>
      <c r="O3" s="121"/>
      <c r="P3" s="121"/>
      <c r="Q3" s="121"/>
      <c r="R3" s="121"/>
      <c r="S3" s="121"/>
      <c r="T3" s="121"/>
    </row>
    <row r="4" spans="2:34" s="217" customFormat="1" x14ac:dyDescent="0.3">
      <c r="B4" s="222" t="s">
        <v>2080</v>
      </c>
      <c r="F4" s="121"/>
      <c r="G4" s="121"/>
      <c r="H4" s="121"/>
      <c r="I4" s="121"/>
      <c r="J4" s="121" t="s">
        <v>1893</v>
      </c>
      <c r="K4" s="121"/>
      <c r="L4" s="121"/>
      <c r="M4" s="121"/>
      <c r="N4" s="121"/>
      <c r="O4" s="121"/>
      <c r="P4" s="121"/>
      <c r="Q4" s="121"/>
      <c r="R4" s="121"/>
      <c r="S4" s="121"/>
      <c r="T4" s="121"/>
    </row>
    <row r="5" spans="2:34" s="217" customFormat="1" x14ac:dyDescent="0.3">
      <c r="B5" s="222" t="s">
        <v>2081</v>
      </c>
      <c r="F5" s="121"/>
      <c r="G5" s="121"/>
      <c r="H5" s="121"/>
      <c r="I5" s="121"/>
      <c r="J5" s="121"/>
      <c r="K5" s="121"/>
      <c r="L5" s="121"/>
      <c r="M5" s="121"/>
      <c r="N5" s="121"/>
      <c r="O5" s="121"/>
      <c r="P5" s="121"/>
      <c r="Q5" s="121"/>
      <c r="R5" s="121"/>
      <c r="S5" s="121"/>
      <c r="T5" s="121"/>
    </row>
    <row r="6" spans="2:34" s="217" customFormat="1" x14ac:dyDescent="0.3">
      <c r="B6" s="222"/>
      <c r="C6" s="121" t="s">
        <v>1893</v>
      </c>
      <c r="D6" s="121" t="s">
        <v>1893</v>
      </c>
      <c r="E6" s="121"/>
      <c r="F6" s="121"/>
      <c r="G6" s="121"/>
      <c r="H6" s="121"/>
      <c r="I6" s="121" t="s">
        <v>1893</v>
      </c>
      <c r="J6" s="121" t="s">
        <v>1893</v>
      </c>
      <c r="K6" s="121"/>
      <c r="L6" s="121"/>
      <c r="M6" s="121"/>
      <c r="N6" s="121"/>
      <c r="O6" s="121"/>
      <c r="P6" s="121"/>
      <c r="Q6" s="121"/>
      <c r="R6" s="121"/>
      <c r="S6" s="121"/>
      <c r="T6" s="121"/>
    </row>
    <row r="7" spans="2:34" s="217" customFormat="1" ht="43.2" x14ac:dyDescent="0.3">
      <c r="B7" s="233" t="s">
        <v>2057</v>
      </c>
      <c r="C7" s="244"/>
      <c r="D7" s="840" t="s">
        <v>2082</v>
      </c>
      <c r="E7" s="245" t="s">
        <v>1885</v>
      </c>
      <c r="F7" s="245" t="s">
        <v>1886</v>
      </c>
      <c r="G7" s="246" t="s">
        <v>2054</v>
      </c>
      <c r="H7" s="246" t="s">
        <v>2055</v>
      </c>
      <c r="I7" s="245" t="s">
        <v>2056</v>
      </c>
      <c r="K7" s="121"/>
      <c r="L7" s="121"/>
      <c r="N7" s="121"/>
      <c r="O7" s="121"/>
      <c r="P7" s="121"/>
      <c r="Q7" s="121"/>
      <c r="R7" s="121"/>
      <c r="S7" s="121"/>
      <c r="T7" s="121"/>
    </row>
    <row r="8" spans="2:34" s="136" customFormat="1" x14ac:dyDescent="0.3">
      <c r="B8" s="204" t="s">
        <v>2057</v>
      </c>
      <c r="C8" s="164"/>
      <c r="D8" s="163">
        <f>'Inputs and population'!E31</f>
        <v>1177.6867008390193</v>
      </c>
      <c r="E8" s="163">
        <f>'Inputs and population'!F31</f>
        <v>1188.0395320269201</v>
      </c>
      <c r="F8" s="163">
        <f>'Inputs and population'!G31</f>
        <v>1198.4833730848727</v>
      </c>
      <c r="G8" s="163">
        <f>'Inputs and population'!H31</f>
        <v>1209.0190240642155</v>
      </c>
      <c r="H8" s="163">
        <f>'Inputs and population'!I31</f>
        <v>1219.6472920493936</v>
      </c>
      <c r="I8" s="163">
        <f>'Inputs and population'!J31</f>
        <v>1230.368991219786</v>
      </c>
      <c r="K8" s="121"/>
      <c r="L8" s="121"/>
    </row>
    <row r="9" spans="2:34" s="217" customFormat="1" x14ac:dyDescent="0.3">
      <c r="B9" s="219" t="s">
        <v>1893</v>
      </c>
      <c r="C9" s="121" t="s">
        <v>1893</v>
      </c>
      <c r="D9" s="121" t="s">
        <v>1893</v>
      </c>
      <c r="E9" s="121" t="s">
        <v>1893</v>
      </c>
      <c r="F9" s="121" t="s">
        <v>1893</v>
      </c>
      <c r="G9" s="121" t="s">
        <v>1893</v>
      </c>
      <c r="H9" s="121"/>
      <c r="I9" s="121"/>
      <c r="K9" s="121"/>
      <c r="L9" s="121"/>
      <c r="N9" s="121"/>
      <c r="O9" s="121"/>
      <c r="P9" s="121"/>
      <c r="Q9" s="121"/>
      <c r="R9" s="121"/>
      <c r="S9" s="121"/>
      <c r="T9" s="121"/>
      <c r="AD9" s="247"/>
      <c r="AE9" s="247"/>
      <c r="AF9" s="247"/>
      <c r="AG9" s="247"/>
      <c r="AH9" s="247"/>
    </row>
    <row r="10" spans="2:34" s="217" customFormat="1" x14ac:dyDescent="0.3">
      <c r="B10" s="307" t="s">
        <v>2060</v>
      </c>
      <c r="C10" s="308"/>
      <c r="D10" s="309"/>
      <c r="E10" s="309"/>
      <c r="F10" s="309"/>
      <c r="G10" s="309"/>
      <c r="H10" s="309"/>
      <c r="I10" s="310"/>
      <c r="K10" s="121"/>
      <c r="L10" s="121"/>
      <c r="N10" s="121"/>
      <c r="O10" s="121"/>
      <c r="P10" s="121"/>
      <c r="Q10" s="121"/>
      <c r="R10" s="121"/>
      <c r="S10" s="121"/>
      <c r="T10" s="121"/>
    </row>
    <row r="11" spans="2:34" s="217" customFormat="1" x14ac:dyDescent="0.3">
      <c r="B11" s="219"/>
      <c r="C11" s="121"/>
      <c r="D11" s="121"/>
      <c r="E11" s="121"/>
      <c r="F11" s="121"/>
      <c r="G11" s="121"/>
      <c r="H11" s="121"/>
      <c r="I11" s="121"/>
      <c r="N11" s="121"/>
      <c r="O11" s="121"/>
      <c r="P11" s="121"/>
      <c r="Q11" s="121"/>
      <c r="R11" s="121"/>
      <c r="S11" s="121"/>
      <c r="T11" s="121"/>
      <c r="AD11" s="247"/>
      <c r="AE11" s="247"/>
      <c r="AF11" s="247"/>
      <c r="AG11" s="247"/>
      <c r="AH11" s="247"/>
    </row>
    <row r="12" spans="2:34" s="217" customFormat="1" x14ac:dyDescent="0.3">
      <c r="B12" s="253" t="s">
        <v>2083</v>
      </c>
      <c r="C12" s="248"/>
      <c r="D12" s="165"/>
      <c r="E12" s="165"/>
      <c r="F12" s="165"/>
      <c r="G12" s="165"/>
      <c r="H12" s="165"/>
      <c r="I12" s="166"/>
      <c r="N12" s="121"/>
      <c r="O12" s="121"/>
      <c r="P12" s="121"/>
      <c r="Q12" s="121"/>
      <c r="R12" s="121"/>
      <c r="S12" s="121"/>
      <c r="T12" s="121"/>
    </row>
    <row r="13" spans="2:34" s="217" customFormat="1" x14ac:dyDescent="0.3">
      <c r="B13" s="137" t="s">
        <v>2249</v>
      </c>
      <c r="C13" s="841"/>
      <c r="D13" s="249">
        <f>'Inputs and population'!K35</f>
        <v>0</v>
      </c>
      <c r="E13" s="249">
        <f>'Inputs and population'!L35</f>
        <v>89.102964902019011</v>
      </c>
      <c r="F13" s="249">
        <f>'Inputs and population'!M35</f>
        <v>179.77250596273089</v>
      </c>
      <c r="G13" s="249">
        <f>'Inputs and population'!N35</f>
        <v>181.35285360963232</v>
      </c>
      <c r="H13" s="249">
        <f>'Inputs and population'!O35</f>
        <v>182.94709380740903</v>
      </c>
      <c r="I13" s="249">
        <f>'Inputs and population'!P35</f>
        <v>184.55534868296789</v>
      </c>
      <c r="N13" s="121"/>
      <c r="O13" s="121"/>
      <c r="P13" s="121"/>
      <c r="Q13" s="121"/>
      <c r="R13" s="121"/>
      <c r="S13" s="121"/>
      <c r="T13" s="121"/>
      <c r="V13" s="247"/>
      <c r="W13" s="247"/>
      <c r="X13" s="247"/>
      <c r="Y13" s="247"/>
      <c r="Z13" s="247"/>
      <c r="AA13" s="247"/>
      <c r="AC13" s="247"/>
      <c r="AD13" s="247"/>
      <c r="AE13" s="247"/>
      <c r="AF13" s="247"/>
      <c r="AG13" s="247"/>
      <c r="AH13" s="247"/>
    </row>
    <row r="14" spans="2:34" s="217" customFormat="1" x14ac:dyDescent="0.3">
      <c r="B14" s="137" t="s">
        <v>2213</v>
      </c>
      <c r="C14" s="841"/>
      <c r="D14" s="249">
        <f>'Inputs and population'!K36</f>
        <v>683.05828648663112</v>
      </c>
      <c r="E14" s="249">
        <f>'Inputs and population'!L36</f>
        <v>659.36194027494071</v>
      </c>
      <c r="F14" s="249">
        <f>'Inputs and population'!M36</f>
        <v>635.19618773498257</v>
      </c>
      <c r="G14" s="249">
        <f>'Inputs and population'!N36</f>
        <v>640.7800827540342</v>
      </c>
      <c r="H14" s="249">
        <f>'Inputs and population'!O36</f>
        <v>646.41306478617867</v>
      </c>
      <c r="I14" s="249">
        <f>'Inputs and population'!P36</f>
        <v>652.09556534648664</v>
      </c>
      <c r="N14" s="121"/>
      <c r="O14" s="121"/>
      <c r="P14" s="121"/>
      <c r="Q14" s="121"/>
      <c r="R14" s="121"/>
      <c r="S14" s="121"/>
      <c r="T14" s="121"/>
      <c r="V14" s="247"/>
      <c r="W14" s="247"/>
      <c r="X14" s="247"/>
      <c r="Y14" s="247"/>
      <c r="Z14" s="247"/>
      <c r="AA14" s="247"/>
      <c r="AC14" s="247"/>
      <c r="AD14" s="247"/>
      <c r="AE14" s="247"/>
      <c r="AF14" s="247"/>
      <c r="AG14" s="247"/>
      <c r="AH14" s="247"/>
    </row>
    <row r="15" spans="2:34" s="217" customFormat="1" x14ac:dyDescent="0.3">
      <c r="B15" s="137" t="s">
        <v>2214</v>
      </c>
      <c r="C15" s="314"/>
      <c r="D15" s="249">
        <f>'Inputs and population'!K37</f>
        <v>223.76047315941366</v>
      </c>
      <c r="E15" s="249">
        <f>'Inputs and population'!L37</f>
        <v>196.02652278444182</v>
      </c>
      <c r="F15" s="249">
        <f>'Inputs and population'!M37</f>
        <v>167.7876722318822</v>
      </c>
      <c r="G15" s="249">
        <f>'Inputs and population'!N37</f>
        <v>169.26266336899019</v>
      </c>
      <c r="H15" s="249">
        <f>'Inputs and population'!O37</f>
        <v>170.75062088691513</v>
      </c>
      <c r="I15" s="249">
        <f>'Inputs and population'!P37</f>
        <v>172.25165877077006</v>
      </c>
      <c r="N15" s="121"/>
      <c r="O15" s="121"/>
      <c r="P15" s="121"/>
      <c r="Q15" s="121"/>
      <c r="R15" s="121"/>
      <c r="S15" s="121"/>
      <c r="T15" s="121"/>
      <c r="V15" s="247"/>
      <c r="W15" s="247"/>
      <c r="X15" s="247"/>
      <c r="Y15" s="247"/>
      <c r="Z15" s="247"/>
      <c r="AA15" s="247"/>
      <c r="AC15" s="247"/>
      <c r="AD15" s="247"/>
      <c r="AE15" s="247"/>
      <c r="AF15" s="247"/>
      <c r="AG15" s="247"/>
      <c r="AH15" s="247"/>
    </row>
    <row r="16" spans="2:34" s="217" customFormat="1" x14ac:dyDescent="0.3">
      <c r="B16" s="137" t="s">
        <v>2215</v>
      </c>
      <c r="C16" s="314"/>
      <c r="D16" s="249">
        <f>'Inputs and population'!K38</f>
        <v>270.86794119297446</v>
      </c>
      <c r="E16" s="249">
        <f>'Inputs and population'!L38</f>
        <v>243.5481040655186</v>
      </c>
      <c r="F16" s="249">
        <f>'Inputs and population'!M38</f>
        <v>215.72700715527708</v>
      </c>
      <c r="G16" s="249">
        <f>'Inputs and population'!N38</f>
        <v>217.62342433155879</v>
      </c>
      <c r="H16" s="249">
        <f>'Inputs and population'!O38</f>
        <v>219.53651256889086</v>
      </c>
      <c r="I16" s="249">
        <f>'Inputs and population'!P38</f>
        <v>221.46641841956148</v>
      </c>
      <c r="N16" s="121"/>
      <c r="O16" s="121"/>
      <c r="P16" s="121"/>
      <c r="Q16" s="121"/>
      <c r="R16" s="121"/>
      <c r="S16" s="121"/>
      <c r="T16" s="121"/>
      <c r="V16" s="247"/>
      <c r="W16" s="247"/>
      <c r="X16" s="247"/>
      <c r="Y16" s="247"/>
      <c r="Z16" s="247"/>
      <c r="AA16" s="247"/>
      <c r="AC16" s="247"/>
      <c r="AD16" s="247"/>
      <c r="AE16" s="247"/>
      <c r="AF16" s="247"/>
      <c r="AG16" s="247"/>
      <c r="AH16" s="247"/>
    </row>
    <row r="17" spans="2:34" s="217" customFormat="1" x14ac:dyDescent="0.3">
      <c r="B17" s="254"/>
      <c r="C17" s="167"/>
      <c r="D17" s="168">
        <f t="shared" ref="D17:I17" si="0">SUM(D13:D16)</f>
        <v>1177.6867008390193</v>
      </c>
      <c r="E17" s="168">
        <f t="shared" si="0"/>
        <v>1188.0395320269201</v>
      </c>
      <c r="F17" s="168">
        <f t="shared" si="0"/>
        <v>1198.4833730848727</v>
      </c>
      <c r="G17" s="168">
        <f t="shared" si="0"/>
        <v>1209.0190240642155</v>
      </c>
      <c r="H17" s="168">
        <f t="shared" si="0"/>
        <v>1219.6472920493936</v>
      </c>
      <c r="I17" s="168">
        <f t="shared" si="0"/>
        <v>1230.368991219786</v>
      </c>
      <c r="N17" s="121"/>
      <c r="O17" s="121"/>
      <c r="P17" s="121"/>
      <c r="Q17" s="121"/>
      <c r="R17" s="121"/>
      <c r="S17" s="121"/>
      <c r="T17" s="121"/>
      <c r="V17" s="247"/>
      <c r="W17" s="247"/>
      <c r="X17" s="247"/>
      <c r="Y17" s="247"/>
      <c r="Z17" s="247"/>
      <c r="AA17" s="247"/>
      <c r="AC17" s="247"/>
      <c r="AD17" s="247"/>
      <c r="AE17" s="247"/>
      <c r="AF17" s="247"/>
      <c r="AG17" s="247"/>
      <c r="AH17" s="247"/>
    </row>
    <row r="18" spans="2:34" s="217" customFormat="1" x14ac:dyDescent="0.3">
      <c r="B18" s="255"/>
      <c r="C18" s="121"/>
      <c r="D18" s="121"/>
      <c r="E18" s="121"/>
      <c r="F18" s="121"/>
      <c r="G18" s="121"/>
      <c r="H18" s="121"/>
      <c r="I18" s="121"/>
      <c r="N18" s="121"/>
      <c r="O18" s="121"/>
      <c r="P18" s="121"/>
      <c r="Q18" s="121"/>
      <c r="R18" s="121"/>
      <c r="S18" s="121"/>
      <c r="T18" s="121"/>
      <c r="AD18" s="247"/>
      <c r="AE18" s="247"/>
      <c r="AF18" s="247"/>
      <c r="AG18" s="247"/>
      <c r="AH18" s="247"/>
    </row>
    <row r="19" spans="2:34" s="217" customFormat="1" x14ac:dyDescent="0.3">
      <c r="B19" s="256" t="s">
        <v>2084</v>
      </c>
      <c r="C19" s="250" t="s">
        <v>2085</v>
      </c>
      <c r="D19" s="560" t="s">
        <v>2061</v>
      </c>
      <c r="E19" s="560" t="s">
        <v>2061</v>
      </c>
      <c r="F19" s="560" t="s">
        <v>2061</v>
      </c>
      <c r="G19" s="560" t="s">
        <v>2061</v>
      </c>
      <c r="H19" s="560" t="s">
        <v>2061</v>
      </c>
      <c r="I19" s="560" t="s">
        <v>2061</v>
      </c>
      <c r="N19" s="121"/>
      <c r="O19" s="121"/>
      <c r="P19" s="121"/>
      <c r="Q19" s="121"/>
      <c r="R19" s="121"/>
      <c r="S19" s="121"/>
      <c r="T19" s="121"/>
      <c r="AD19" s="247"/>
      <c r="AE19" s="247"/>
      <c r="AF19" s="247"/>
      <c r="AG19" s="247"/>
      <c r="AH19" s="247"/>
    </row>
    <row r="20" spans="2:34" s="217" customFormat="1" x14ac:dyDescent="0.3">
      <c r="B20" s="137" t="s">
        <v>2249</v>
      </c>
      <c r="C20" s="251">
        <f>'Unit costs'!Q29</f>
        <v>0</v>
      </c>
      <c r="D20" s="251">
        <f t="shared" ref="D20:I23" si="1">D13*$C20/1000</f>
        <v>0</v>
      </c>
      <c r="E20" s="251">
        <f t="shared" si="1"/>
        <v>0</v>
      </c>
      <c r="F20" s="251">
        <f t="shared" si="1"/>
        <v>0</v>
      </c>
      <c r="G20" s="251">
        <f t="shared" si="1"/>
        <v>0</v>
      </c>
      <c r="H20" s="251">
        <f t="shared" si="1"/>
        <v>0</v>
      </c>
      <c r="I20" s="251">
        <f t="shared" si="1"/>
        <v>0</v>
      </c>
      <c r="N20" s="121"/>
      <c r="O20" s="121"/>
      <c r="P20" s="121"/>
      <c r="Q20" s="121"/>
      <c r="R20" s="121"/>
      <c r="S20" s="121"/>
      <c r="T20" s="121"/>
      <c r="AD20" s="247"/>
      <c r="AE20" s="247"/>
      <c r="AF20" s="247"/>
      <c r="AG20" s="247"/>
      <c r="AH20" s="247"/>
    </row>
    <row r="21" spans="2:34" s="217" customFormat="1" x14ac:dyDescent="0.3">
      <c r="B21" s="137" t="s">
        <v>2213</v>
      </c>
      <c r="C21" s="251">
        <f>'Unit costs'!Q46</f>
        <v>0</v>
      </c>
      <c r="D21" s="251">
        <f t="shared" si="1"/>
        <v>0</v>
      </c>
      <c r="E21" s="251">
        <f t="shared" si="1"/>
        <v>0</v>
      </c>
      <c r="F21" s="251">
        <f t="shared" si="1"/>
        <v>0</v>
      </c>
      <c r="G21" s="251">
        <f t="shared" si="1"/>
        <v>0</v>
      </c>
      <c r="H21" s="251">
        <f t="shared" si="1"/>
        <v>0</v>
      </c>
      <c r="I21" s="251">
        <f t="shared" si="1"/>
        <v>0</v>
      </c>
      <c r="N21" s="121"/>
      <c r="O21" s="121"/>
      <c r="P21" s="121"/>
      <c r="Q21" s="121"/>
      <c r="R21" s="121"/>
      <c r="S21" s="121"/>
      <c r="T21" s="121"/>
      <c r="AD21" s="247"/>
      <c r="AE21" s="247"/>
      <c r="AF21" s="247"/>
      <c r="AG21" s="247"/>
      <c r="AH21" s="247"/>
    </row>
    <row r="22" spans="2:34" s="217" customFormat="1" x14ac:dyDescent="0.3">
      <c r="B22" s="137" t="s">
        <v>2214</v>
      </c>
      <c r="C22" s="251">
        <f>'Unit costs'!Q67</f>
        <v>0</v>
      </c>
      <c r="D22" s="251">
        <f t="shared" si="1"/>
        <v>0</v>
      </c>
      <c r="E22" s="251">
        <f t="shared" si="1"/>
        <v>0</v>
      </c>
      <c r="F22" s="251">
        <f t="shared" si="1"/>
        <v>0</v>
      </c>
      <c r="G22" s="251">
        <f t="shared" si="1"/>
        <v>0</v>
      </c>
      <c r="H22" s="251">
        <f t="shared" si="1"/>
        <v>0</v>
      </c>
      <c r="I22" s="251">
        <f t="shared" si="1"/>
        <v>0</v>
      </c>
      <c r="N22" s="121"/>
      <c r="O22" s="121"/>
      <c r="P22" s="121"/>
      <c r="Q22" s="121"/>
      <c r="R22" s="121"/>
      <c r="S22" s="121"/>
      <c r="T22" s="121"/>
      <c r="AD22" s="247"/>
      <c r="AE22" s="247"/>
      <c r="AF22" s="247"/>
      <c r="AG22" s="247"/>
      <c r="AH22" s="247"/>
    </row>
    <row r="23" spans="2:34" s="217" customFormat="1" x14ac:dyDescent="0.3">
      <c r="B23" s="137" t="s">
        <v>2215</v>
      </c>
      <c r="C23" s="251">
        <f>'Unit costs'!Q82</f>
        <v>0</v>
      </c>
      <c r="D23" s="251">
        <f t="shared" si="1"/>
        <v>0</v>
      </c>
      <c r="E23" s="251">
        <f t="shared" si="1"/>
        <v>0</v>
      </c>
      <c r="F23" s="251">
        <f t="shared" si="1"/>
        <v>0</v>
      </c>
      <c r="G23" s="251">
        <f t="shared" si="1"/>
        <v>0</v>
      </c>
      <c r="H23" s="251">
        <f t="shared" si="1"/>
        <v>0</v>
      </c>
      <c r="I23" s="251">
        <f t="shared" si="1"/>
        <v>0</v>
      </c>
      <c r="N23" s="121"/>
      <c r="O23" s="121"/>
      <c r="P23" s="121"/>
      <c r="Q23" s="121"/>
      <c r="R23" s="121"/>
      <c r="S23" s="121"/>
      <c r="T23" s="121"/>
      <c r="AD23" s="247"/>
      <c r="AE23" s="247"/>
      <c r="AF23" s="247"/>
      <c r="AG23" s="247"/>
      <c r="AH23" s="247"/>
    </row>
    <row r="24" spans="2:34" s="217" customFormat="1" x14ac:dyDescent="0.3">
      <c r="B24" s="254" t="s">
        <v>2086</v>
      </c>
      <c r="C24" s="545"/>
      <c r="D24" s="169">
        <f t="shared" ref="D24:I24" si="2">SUM(D20:D23)</f>
        <v>0</v>
      </c>
      <c r="E24" s="169">
        <f t="shared" si="2"/>
        <v>0</v>
      </c>
      <c r="F24" s="169">
        <f t="shared" si="2"/>
        <v>0</v>
      </c>
      <c r="G24" s="169">
        <f t="shared" si="2"/>
        <v>0</v>
      </c>
      <c r="H24" s="169">
        <f t="shared" si="2"/>
        <v>0</v>
      </c>
      <c r="I24" s="169">
        <f t="shared" si="2"/>
        <v>0</v>
      </c>
      <c r="J24" s="319"/>
      <c r="N24" s="121"/>
      <c r="O24" s="121"/>
      <c r="P24" s="121"/>
      <c r="Q24" s="121"/>
      <c r="R24" s="121"/>
      <c r="S24" s="121"/>
      <c r="T24" s="121"/>
      <c r="AD24" s="247"/>
      <c r="AE24" s="247"/>
      <c r="AF24" s="247"/>
      <c r="AG24" s="247"/>
      <c r="AH24" s="247"/>
    </row>
    <row r="25" spans="2:34" s="217" customFormat="1" x14ac:dyDescent="0.3">
      <c r="B25" s="255"/>
      <c r="C25" s="121"/>
      <c r="D25" s="121"/>
      <c r="E25" s="121"/>
      <c r="F25" s="121"/>
      <c r="G25" s="121"/>
      <c r="H25" s="121"/>
      <c r="I25" s="121"/>
      <c r="N25" s="121"/>
      <c r="O25" s="121"/>
      <c r="P25" s="121"/>
      <c r="Q25" s="121"/>
      <c r="R25" s="121"/>
      <c r="S25" s="121"/>
      <c r="T25" s="121"/>
      <c r="AD25" s="247"/>
      <c r="AE25" s="247"/>
      <c r="AF25" s="247"/>
      <c r="AG25" s="247"/>
      <c r="AH25" s="247"/>
    </row>
    <row r="26" spans="2:34" s="217" customFormat="1" x14ac:dyDescent="0.3">
      <c r="B26" s="335"/>
      <c r="C26" s="252"/>
      <c r="D26" s="318" t="s">
        <v>2063</v>
      </c>
      <c r="E26" s="169">
        <f>E24-$D$24</f>
        <v>0</v>
      </c>
      <c r="F26" s="169">
        <f t="shared" ref="F26:I26" si="3">F24-$D$24</f>
        <v>0</v>
      </c>
      <c r="G26" s="169">
        <f t="shared" si="3"/>
        <v>0</v>
      </c>
      <c r="H26" s="169">
        <f t="shared" si="3"/>
        <v>0</v>
      </c>
      <c r="I26" s="169">
        <f t="shared" si="3"/>
        <v>0</v>
      </c>
      <c r="N26" s="121"/>
      <c r="O26" s="121"/>
      <c r="P26" s="121"/>
      <c r="Q26" s="121"/>
      <c r="R26" s="121"/>
      <c r="S26" s="121"/>
      <c r="T26" s="121"/>
      <c r="AD26" s="247"/>
      <c r="AE26" s="247"/>
      <c r="AF26" s="247"/>
      <c r="AG26" s="247"/>
      <c r="AH26" s="247"/>
    </row>
    <row r="27" spans="2:34" s="217" customFormat="1" x14ac:dyDescent="0.3">
      <c r="B27" s="335"/>
      <c r="C27" s="252"/>
      <c r="D27" s="258" t="s">
        <v>2087</v>
      </c>
      <c r="E27" s="169">
        <f>E26</f>
        <v>0</v>
      </c>
      <c r="F27" s="170">
        <f>F26-E26</f>
        <v>0</v>
      </c>
      <c r="G27" s="170">
        <f t="shared" ref="G27:I27" si="4">G26-F26</f>
        <v>0</v>
      </c>
      <c r="H27" s="170">
        <f t="shared" si="4"/>
        <v>0</v>
      </c>
      <c r="I27" s="170">
        <f t="shared" si="4"/>
        <v>0</v>
      </c>
      <c r="J27" s="121"/>
      <c r="K27" s="121"/>
      <c r="L27" s="121"/>
      <c r="M27" s="121"/>
      <c r="N27" s="121"/>
      <c r="O27" s="121"/>
      <c r="P27" s="121"/>
      <c r="Q27" s="121"/>
      <c r="R27" s="121"/>
      <c r="S27" s="121"/>
      <c r="T27" s="121"/>
      <c r="AD27" s="247"/>
      <c r="AE27" s="247"/>
      <c r="AF27" s="247"/>
      <c r="AG27" s="247"/>
      <c r="AH27" s="247"/>
    </row>
    <row r="29" spans="2:34" x14ac:dyDescent="0.3">
      <c r="J29" s="217"/>
      <c r="K29" s="217"/>
    </row>
    <row r="30" spans="2:34" x14ac:dyDescent="0.3">
      <c r="J30" s="217"/>
      <c r="K30" s="217"/>
    </row>
    <row r="31" spans="2:34" x14ac:dyDescent="0.3">
      <c r="J31" s="217"/>
      <c r="K31" s="217"/>
    </row>
  </sheetData>
  <sheetProtection algorithmName="SHA-512" hashValue="crlDiDPDnB48HVNAP6pg1dUUf7Wd39mRI5CzeBHLR0F8ziwRkEt3cyifKkYsVG4eB26zO0TtSrpvAPCgSw2N7g==" saltValue="NpPqP+YWGfPFY4Ppk/xi2w=="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53"/>
  <sheetViews>
    <sheetView showGridLines="0" zoomScale="80" zoomScaleNormal="80" zoomScaleSheetLayoutView="30" workbookViewId="0">
      <selection activeCell="G16" sqref="G16"/>
    </sheetView>
  </sheetViews>
  <sheetFormatPr defaultColWidth="8.88671875" defaultRowHeight="14.4" x14ac:dyDescent="0.3"/>
  <cols>
    <col min="1" max="1" width="3.5546875" customWidth="1"/>
    <col min="2" max="2" width="56.5546875" style="1" customWidth="1"/>
    <col min="3" max="3" width="14.44140625" customWidth="1"/>
    <col min="4" max="9" width="12.5546875" customWidth="1"/>
    <col min="10" max="10" width="1.88671875" customWidth="1"/>
    <col min="11" max="18" width="11.5546875" customWidth="1"/>
    <col min="19" max="19" width="11.44140625" customWidth="1"/>
    <col min="20" max="20" width="11.5546875" customWidth="1"/>
    <col min="21" max="26" width="10.88671875" customWidth="1"/>
    <col min="28" max="41" width="0" hidden="1" customWidth="1"/>
  </cols>
  <sheetData>
    <row r="1" spans="1:40" ht="30" customHeight="1" x14ac:dyDescent="0.3">
      <c r="B1" s="451" t="str">
        <f>'Inputs and population'!B1</f>
        <v>Durvalumab with tremelimumab for untreated advanced or unresectable hepatocellular carcinoma</v>
      </c>
      <c r="C1" s="115"/>
      <c r="D1" s="115"/>
      <c r="F1" s="115"/>
      <c r="G1" s="115"/>
      <c r="H1" s="115"/>
      <c r="I1" s="115"/>
      <c r="J1" s="115"/>
      <c r="K1" s="115"/>
      <c r="L1" s="115"/>
      <c r="M1" s="115"/>
      <c r="N1" s="115"/>
      <c r="O1" s="115"/>
      <c r="P1" s="115"/>
      <c r="R1" s="115"/>
      <c r="S1" s="115"/>
      <c r="T1" s="115"/>
      <c r="U1" s="115"/>
      <c r="V1" s="115"/>
      <c r="W1" s="115"/>
      <c r="X1" s="115"/>
      <c r="Y1" s="115"/>
      <c r="Z1" s="115"/>
    </row>
    <row r="2" spans="1:40" ht="42.6" customHeight="1" x14ac:dyDescent="0.3">
      <c r="B2" s="193" t="s">
        <v>2088</v>
      </c>
      <c r="C2" s="115" t="s">
        <v>1893</v>
      </c>
      <c r="D2" s="115" t="s">
        <v>1893</v>
      </c>
      <c r="E2" s="427"/>
      <c r="F2" s="115" t="s">
        <v>1893</v>
      </c>
      <c r="G2" s="115" t="s">
        <v>1893</v>
      </c>
      <c r="H2" s="115" t="s">
        <v>1893</v>
      </c>
      <c r="I2" s="115" t="s">
        <v>1893</v>
      </c>
      <c r="J2" s="115"/>
      <c r="K2" s="115"/>
      <c r="L2" s="115"/>
      <c r="M2" s="115"/>
      <c r="N2" s="115"/>
      <c r="O2" s="115"/>
      <c r="P2" s="115"/>
      <c r="Q2" s="115"/>
      <c r="R2" s="115"/>
      <c r="S2" s="115"/>
      <c r="T2" s="115"/>
      <c r="U2" s="115"/>
      <c r="V2" s="115"/>
      <c r="W2" s="115"/>
      <c r="X2" s="115"/>
      <c r="Y2" s="115"/>
      <c r="Z2" s="115"/>
    </row>
    <row r="3" spans="1:40" ht="14.4" customHeight="1" x14ac:dyDescent="0.3">
      <c r="B3" s="118" t="s">
        <v>1893</v>
      </c>
      <c r="C3" s="121" t="s">
        <v>1893</v>
      </c>
      <c r="D3" s="121" t="s">
        <v>1893</v>
      </c>
      <c r="F3" s="121" t="s">
        <v>1893</v>
      </c>
      <c r="G3" s="121" t="s">
        <v>1893</v>
      </c>
      <c r="H3" s="121" t="s">
        <v>1893</v>
      </c>
      <c r="I3" s="121" t="s">
        <v>1893</v>
      </c>
      <c r="J3" s="115"/>
      <c r="K3" s="115"/>
      <c r="L3" s="115"/>
      <c r="M3" s="115"/>
      <c r="N3" s="115"/>
      <c r="O3" s="115"/>
      <c r="P3" s="115"/>
      <c r="Q3" s="121"/>
      <c r="R3" s="121"/>
      <c r="S3" s="121"/>
      <c r="T3" s="121"/>
      <c r="U3" s="121"/>
      <c r="V3" s="121"/>
      <c r="W3" s="121"/>
      <c r="X3" s="121"/>
      <c r="Y3" s="121"/>
      <c r="Z3" s="121"/>
    </row>
    <row r="4" spans="1:40" ht="14.4" customHeight="1" x14ac:dyDescent="0.3">
      <c r="B4" t="s">
        <v>2089</v>
      </c>
      <c r="C4" s="121"/>
      <c r="D4" s="121"/>
      <c r="F4" s="121"/>
      <c r="G4" s="121"/>
      <c r="H4" s="121"/>
      <c r="I4" s="121"/>
      <c r="J4" s="121"/>
      <c r="K4" s="121"/>
      <c r="L4" s="121"/>
      <c r="M4" s="121"/>
      <c r="N4" s="121"/>
      <c r="O4" s="121"/>
      <c r="P4" s="121"/>
      <c r="Q4" s="121"/>
      <c r="R4" s="121"/>
      <c r="S4" s="121"/>
      <c r="T4" s="121"/>
      <c r="U4" s="121"/>
      <c r="V4" s="121"/>
      <c r="W4" s="121"/>
      <c r="X4" s="121"/>
      <c r="Y4" s="121"/>
      <c r="Z4" s="121"/>
    </row>
    <row r="5" spans="1:40" ht="14.4" customHeight="1" x14ac:dyDescent="0.3">
      <c r="B5" s="5"/>
      <c r="F5" s="121"/>
      <c r="G5" s="121"/>
      <c r="H5" s="121"/>
      <c r="I5" s="121"/>
      <c r="J5" s="121"/>
      <c r="K5" s="121"/>
      <c r="L5" s="121"/>
      <c r="M5" s="121"/>
      <c r="N5" s="121"/>
      <c r="O5" s="121"/>
      <c r="P5" s="121"/>
      <c r="Q5" s="121"/>
      <c r="R5" s="121"/>
      <c r="S5" s="121"/>
      <c r="T5" s="121"/>
      <c r="U5" s="121"/>
      <c r="V5" s="121"/>
      <c r="W5" s="121"/>
      <c r="X5" s="121"/>
      <c r="Y5" s="121"/>
      <c r="Z5" s="121"/>
    </row>
    <row r="6" spans="1:40" ht="43.2" x14ac:dyDescent="0.3">
      <c r="B6" s="233" t="s">
        <v>2057</v>
      </c>
      <c r="C6" s="189"/>
      <c r="D6" s="840" t="s">
        <v>2082</v>
      </c>
      <c r="E6" s="231" t="s">
        <v>1885</v>
      </c>
      <c r="F6" s="231" t="s">
        <v>1886</v>
      </c>
      <c r="G6" s="152" t="s">
        <v>2054</v>
      </c>
      <c r="H6" s="152" t="s">
        <v>2055</v>
      </c>
      <c r="I6" s="231" t="s">
        <v>2056</v>
      </c>
      <c r="L6" s="840" t="s">
        <v>2082</v>
      </c>
      <c r="M6" s="231" t="s">
        <v>1885</v>
      </c>
      <c r="N6" s="231" t="s">
        <v>1886</v>
      </c>
      <c r="O6" s="152" t="s">
        <v>2054</v>
      </c>
      <c r="P6" s="152" t="s">
        <v>2055</v>
      </c>
      <c r="Q6" s="231" t="s">
        <v>2056</v>
      </c>
      <c r="R6" s="121"/>
      <c r="S6" s="121"/>
      <c r="T6" s="121"/>
      <c r="U6" s="121"/>
      <c r="V6" s="121"/>
      <c r="W6" s="121"/>
      <c r="X6" s="121"/>
      <c r="Y6" s="121"/>
      <c r="Z6" s="121"/>
      <c r="AJ6" s="260"/>
      <c r="AK6" s="260"/>
      <c r="AL6" s="260"/>
      <c r="AM6" s="260"/>
      <c r="AN6" s="260"/>
    </row>
    <row r="7" spans="1:40" x14ac:dyDescent="0.3">
      <c r="B7" s="204" t="s">
        <v>2057</v>
      </c>
      <c r="C7" s="155"/>
      <c r="D7" s="336">
        <f>'Inputs and population'!E31</f>
        <v>1177.6867008390193</v>
      </c>
      <c r="E7" s="336">
        <f>'Inputs and population'!F31</f>
        <v>1188.0395320269201</v>
      </c>
      <c r="F7" s="336">
        <f>'Inputs and population'!G31</f>
        <v>1198.4833730848727</v>
      </c>
      <c r="G7" s="336">
        <f>'Inputs and population'!H31</f>
        <v>1209.0190240642155</v>
      </c>
      <c r="H7" s="336">
        <f>'Inputs and population'!I31</f>
        <v>1219.6472920493936</v>
      </c>
      <c r="I7" s="336">
        <f>'Inputs and population'!J31</f>
        <v>1230.368991219786</v>
      </c>
      <c r="P7" s="121"/>
      <c r="Q7" s="121"/>
      <c r="R7" s="121"/>
      <c r="S7" s="121"/>
      <c r="T7" s="121"/>
      <c r="U7" s="121"/>
      <c r="V7" s="121"/>
      <c r="W7" s="121"/>
      <c r="X7" s="121"/>
      <c r="Y7" s="121"/>
      <c r="Z7" s="121"/>
      <c r="AJ7" s="260"/>
      <c r="AK7" s="260"/>
      <c r="AL7" s="260"/>
      <c r="AM7" s="260"/>
      <c r="AN7" s="260"/>
    </row>
    <row r="8" spans="1:40" x14ac:dyDescent="0.3">
      <c r="B8"/>
      <c r="P8" s="121"/>
      <c r="Q8" s="121"/>
      <c r="R8" s="121"/>
      <c r="S8" s="121"/>
      <c r="T8" s="121"/>
      <c r="U8" s="121"/>
      <c r="V8" s="121"/>
      <c r="W8" s="121"/>
      <c r="X8" s="121"/>
      <c r="Y8" s="121"/>
      <c r="Z8" s="121"/>
      <c r="AJ8" s="260"/>
      <c r="AK8" s="260"/>
      <c r="AL8" s="260"/>
      <c r="AM8" s="260"/>
      <c r="AN8" s="260"/>
    </row>
    <row r="9" spans="1:40" x14ac:dyDescent="0.3">
      <c r="B9" s="253" t="s">
        <v>2090</v>
      </c>
      <c r="C9" s="363" t="s">
        <v>2091</v>
      </c>
      <c r="D9" s="381"/>
      <c r="E9" s="382"/>
      <c r="F9" s="381"/>
      <c r="G9" s="383"/>
      <c r="H9" s="384"/>
      <c r="I9" s="472"/>
      <c r="K9" s="707" t="s">
        <v>2092</v>
      </c>
      <c r="L9" s="560" t="s">
        <v>2061</v>
      </c>
      <c r="M9" s="560" t="s">
        <v>2061</v>
      </c>
      <c r="N9" s="560" t="s">
        <v>2061</v>
      </c>
      <c r="O9" s="560" t="s">
        <v>2061</v>
      </c>
      <c r="P9" s="560" t="s">
        <v>2061</v>
      </c>
      <c r="Q9" s="560" t="s">
        <v>2061</v>
      </c>
      <c r="R9" s="121"/>
      <c r="S9" s="121"/>
      <c r="T9" s="121"/>
      <c r="U9" s="121"/>
      <c r="V9" s="121"/>
      <c r="W9" s="121"/>
      <c r="X9" s="121"/>
      <c r="Y9" s="121"/>
      <c r="Z9" s="121"/>
      <c r="AJ9" s="260"/>
      <c r="AK9" s="260"/>
      <c r="AL9" s="260"/>
      <c r="AM9" s="260"/>
      <c r="AN9" s="260"/>
    </row>
    <row r="10" spans="1:40" x14ac:dyDescent="0.3">
      <c r="A10" s="262"/>
      <c r="B10" s="468" t="str">
        <f>B31</f>
        <v>First attendances</v>
      </c>
      <c r="C10" s="341"/>
      <c r="D10" s="371">
        <f>D37</f>
        <v>0</v>
      </c>
      <c r="E10" s="371">
        <f>E37</f>
        <v>0</v>
      </c>
      <c r="F10" s="371">
        <f t="shared" ref="F10:I10" si="0">F37</f>
        <v>0</v>
      </c>
      <c r="G10" s="371">
        <f t="shared" si="0"/>
        <v>0</v>
      </c>
      <c r="H10" s="371">
        <f t="shared" si="0"/>
        <v>0</v>
      </c>
      <c r="I10" s="371">
        <f t="shared" si="0"/>
        <v>0</v>
      </c>
      <c r="K10" s="155"/>
      <c r="L10" s="227"/>
      <c r="M10" s="227"/>
      <c r="N10" s="227"/>
      <c r="O10" s="227"/>
      <c r="P10" s="227"/>
      <c r="Q10" s="227"/>
      <c r="R10" s="121"/>
      <c r="S10" s="121"/>
      <c r="T10" s="121"/>
      <c r="U10" s="121"/>
      <c r="V10" s="121"/>
      <c r="W10" s="121"/>
      <c r="X10" s="121"/>
      <c r="Y10" s="121"/>
      <c r="Z10" s="121"/>
      <c r="AJ10" s="260"/>
      <c r="AK10" s="260"/>
      <c r="AL10" s="260"/>
      <c r="AM10" s="260"/>
      <c r="AN10" s="260"/>
    </row>
    <row r="11" spans="1:40" x14ac:dyDescent="0.3">
      <c r="A11" s="262"/>
      <c r="B11" s="468" t="str">
        <f>B31&amp;" - hours"</f>
        <v>First attendances - hours</v>
      </c>
      <c r="C11" s="708">
        <f>'Capacity inputs'!F14</f>
        <v>0</v>
      </c>
      <c r="D11" s="371">
        <f>$C11/60*D10</f>
        <v>0</v>
      </c>
      <c r="E11" s="371">
        <f t="shared" ref="E11:I11" si="1">$C11/60*E10</f>
        <v>0</v>
      </c>
      <c r="F11" s="371">
        <f t="shared" si="1"/>
        <v>0</v>
      </c>
      <c r="G11" s="371">
        <f t="shared" si="1"/>
        <v>0</v>
      </c>
      <c r="H11" s="371">
        <f t="shared" si="1"/>
        <v>0</v>
      </c>
      <c r="I11" s="371">
        <f t="shared" si="1"/>
        <v>0</v>
      </c>
      <c r="K11" s="467">
        <f>'Capacity inputs'!N14</f>
        <v>132.04</v>
      </c>
      <c r="L11" s="469">
        <f>$K11*D11/1000</f>
        <v>0</v>
      </c>
      <c r="M11" s="469">
        <f t="shared" ref="M11:Q11" si="2">$K11*E11/1000</f>
        <v>0</v>
      </c>
      <c r="N11" s="469">
        <f t="shared" si="2"/>
        <v>0</v>
      </c>
      <c r="O11" s="469">
        <f t="shared" si="2"/>
        <v>0</v>
      </c>
      <c r="P11" s="469">
        <f t="shared" si="2"/>
        <v>0</v>
      </c>
      <c r="Q11" s="469">
        <f t="shared" si="2"/>
        <v>0</v>
      </c>
      <c r="R11" s="121"/>
      <c r="S11" s="121"/>
      <c r="T11" s="121"/>
      <c r="U11" s="121"/>
      <c r="V11" s="121"/>
      <c r="W11" s="121"/>
      <c r="X11" s="121"/>
      <c r="Y11" s="121"/>
      <c r="Z11" s="121"/>
      <c r="AJ11" s="260"/>
      <c r="AK11" s="260"/>
      <c r="AL11" s="260"/>
      <c r="AM11" s="260"/>
      <c r="AN11" s="260"/>
    </row>
    <row r="12" spans="1:40" x14ac:dyDescent="0.3">
      <c r="A12" s="262"/>
      <c r="B12" s="468" t="str">
        <f>B40</f>
        <v>Follow up attendances</v>
      </c>
      <c r="C12" s="341"/>
      <c r="D12" s="371">
        <f>D46</f>
        <v>0</v>
      </c>
      <c r="E12" s="371">
        <f t="shared" ref="E12:I12" si="3">E46</f>
        <v>0</v>
      </c>
      <c r="F12" s="371">
        <f t="shared" si="3"/>
        <v>0</v>
      </c>
      <c r="G12" s="371">
        <f t="shared" si="3"/>
        <v>0</v>
      </c>
      <c r="H12" s="371">
        <f t="shared" si="3"/>
        <v>0</v>
      </c>
      <c r="I12" s="371">
        <f t="shared" si="3"/>
        <v>0</v>
      </c>
      <c r="K12" s="155"/>
      <c r="L12" s="227"/>
      <c r="M12" s="227"/>
      <c r="N12" s="227"/>
      <c r="O12" s="227"/>
      <c r="P12" s="227"/>
      <c r="Q12" s="227"/>
      <c r="R12" s="121"/>
      <c r="S12" s="121"/>
      <c r="T12" s="121"/>
      <c r="U12" s="121"/>
      <c r="V12" s="121"/>
      <c r="W12" s="121"/>
      <c r="X12" s="121"/>
      <c r="Y12" s="121"/>
      <c r="Z12" s="121"/>
      <c r="AJ12" s="260"/>
      <c r="AK12" s="260"/>
      <c r="AL12" s="260"/>
      <c r="AM12" s="260"/>
      <c r="AN12" s="260"/>
    </row>
    <row r="13" spans="1:40" x14ac:dyDescent="0.3">
      <c r="A13" s="262"/>
      <c r="B13" s="468" t="str">
        <f>B40&amp;" - hours"</f>
        <v>Follow up attendances - hours</v>
      </c>
      <c r="C13" s="708">
        <f>'Capacity inputs'!F15</f>
        <v>0</v>
      </c>
      <c r="D13" s="371">
        <f>$C13/60*D12</f>
        <v>0</v>
      </c>
      <c r="E13" s="371">
        <f t="shared" ref="E13:I13" si="4">$C13/60*E12</f>
        <v>0</v>
      </c>
      <c r="F13" s="371">
        <f t="shared" si="4"/>
        <v>0</v>
      </c>
      <c r="G13" s="371">
        <f t="shared" si="4"/>
        <v>0</v>
      </c>
      <c r="H13" s="371">
        <f t="shared" si="4"/>
        <v>0</v>
      </c>
      <c r="I13" s="371">
        <f t="shared" si="4"/>
        <v>0</v>
      </c>
      <c r="K13" s="467">
        <f>'Capacity inputs'!N15</f>
        <v>132.04</v>
      </c>
      <c r="L13" s="469">
        <f>$K13*D13/1000</f>
        <v>0</v>
      </c>
      <c r="M13" s="469">
        <f t="shared" ref="M13:Q13" si="5">$K13*E13/1000</f>
        <v>0</v>
      </c>
      <c r="N13" s="469">
        <f t="shared" si="5"/>
        <v>0</v>
      </c>
      <c r="O13" s="469">
        <f t="shared" si="5"/>
        <v>0</v>
      </c>
      <c r="P13" s="469">
        <f t="shared" si="5"/>
        <v>0</v>
      </c>
      <c r="Q13" s="469">
        <f t="shared" si="5"/>
        <v>0</v>
      </c>
      <c r="R13" s="121"/>
      <c r="S13" s="121"/>
      <c r="T13" s="121"/>
      <c r="U13" s="121"/>
      <c r="V13" s="121"/>
      <c r="W13" s="121"/>
      <c r="X13" s="121"/>
      <c r="Y13" s="121"/>
      <c r="Z13" s="121"/>
      <c r="AJ13" s="260"/>
      <c r="AK13" s="260"/>
      <c r="AL13" s="260"/>
      <c r="AM13" s="260"/>
      <c r="AN13" s="260"/>
    </row>
    <row r="14" spans="1:40" x14ac:dyDescent="0.3">
      <c r="A14" s="268"/>
      <c r="B14" s="385" t="str">
        <f>B59</f>
        <v>Number of administrations</v>
      </c>
      <c r="C14" s="367"/>
      <c r="D14" s="366">
        <f>D65</f>
        <v>6625.665378920321</v>
      </c>
      <c r="E14" s="366">
        <f t="shared" ref="E14:I14" si="6">E65</f>
        <v>6395.810820666924</v>
      </c>
      <c r="F14" s="366">
        <f t="shared" si="6"/>
        <v>6161.4030210293304</v>
      </c>
      <c r="G14" s="366">
        <f t="shared" si="6"/>
        <v>6215.566802714131</v>
      </c>
      <c r="H14" s="366">
        <f t="shared" si="6"/>
        <v>6270.2067284259329</v>
      </c>
      <c r="I14" s="366">
        <f t="shared" si="6"/>
        <v>6325.3269838609203</v>
      </c>
      <c r="K14" s="720"/>
      <c r="L14" s="188"/>
      <c r="M14" s="188"/>
      <c r="N14" s="188"/>
      <c r="O14" s="188"/>
      <c r="P14" s="365"/>
      <c r="Q14" s="365"/>
      <c r="R14" s="121"/>
      <c r="S14" s="121"/>
      <c r="T14" s="121"/>
      <c r="U14" s="121"/>
      <c r="V14" s="121"/>
      <c r="W14" s="121"/>
      <c r="X14" s="121"/>
      <c r="Y14" s="121"/>
      <c r="Z14" s="121"/>
      <c r="AJ14" s="260"/>
      <c r="AK14" s="260"/>
      <c r="AL14" s="260"/>
      <c r="AM14" s="260"/>
      <c r="AN14" s="260"/>
    </row>
    <row r="15" spans="1:40" x14ac:dyDescent="0.3">
      <c r="A15" s="261"/>
      <c r="B15" s="386" t="str">
        <f>B69&amp;" "</f>
        <v xml:space="preserve">Nursing - administrations (hours) </v>
      </c>
      <c r="C15" s="391"/>
      <c r="D15" s="368">
        <f>D77</f>
        <v>3995.8909759467915</v>
      </c>
      <c r="E15" s="368">
        <f>E77</f>
        <v>3857.2673506084025</v>
      </c>
      <c r="F15" s="368">
        <f>($C71*F71)+($C73*F73)+($C75*F75)+($C76*F76)</f>
        <v>85751.485344222645</v>
      </c>
      <c r="G15" s="368">
        <f>G77</f>
        <v>3748.5634841110996</v>
      </c>
      <c r="H15" s="368">
        <f>H77</f>
        <v>3781.5164289991453</v>
      </c>
      <c r="I15" s="368">
        <f>I77</f>
        <v>3814.7590572769468</v>
      </c>
      <c r="K15" s="467">
        <f>'Capacity inputs'!N16</f>
        <v>46.02</v>
      </c>
      <c r="L15" s="469">
        <f>$K15*D15/1000</f>
        <v>183.89090271307134</v>
      </c>
      <c r="M15" s="469">
        <f t="shared" ref="M15:Q15" si="7">$K15*E15/1000</f>
        <v>177.51144347499869</v>
      </c>
      <c r="N15" s="469">
        <f t="shared" si="7"/>
        <v>3946.2833555411262</v>
      </c>
      <c r="O15" s="469">
        <f t="shared" si="7"/>
        <v>172.50889153879282</v>
      </c>
      <c r="P15" s="469">
        <f t="shared" si="7"/>
        <v>174.02538606254066</v>
      </c>
      <c r="Q15" s="469">
        <f t="shared" si="7"/>
        <v>175.55521181588509</v>
      </c>
      <c r="R15" s="121"/>
      <c r="S15" s="121"/>
      <c r="T15" s="121"/>
      <c r="U15" s="121"/>
      <c r="V15" s="121"/>
      <c r="W15" s="121"/>
      <c r="X15" s="121"/>
      <c r="Y15" s="121"/>
      <c r="Z15" s="121"/>
      <c r="AJ15" s="260"/>
      <c r="AK15" s="260"/>
      <c r="AL15" s="260"/>
      <c r="AM15" s="260"/>
      <c r="AN15" s="260"/>
    </row>
    <row r="16" spans="1:40" x14ac:dyDescent="0.3">
      <c r="A16" s="261"/>
      <c r="B16" s="386" t="str">
        <f>B80&amp;" "</f>
        <v xml:space="preserve">Nursing patient preparation time (hours) </v>
      </c>
      <c r="C16" s="391"/>
      <c r="D16" s="368">
        <f t="shared" ref="D16:I16" si="8">D86</f>
        <v>3312.8326894601605</v>
      </c>
      <c r="E16" s="368">
        <f t="shared" si="8"/>
        <v>3197.905410333462</v>
      </c>
      <c r="F16" s="368">
        <f t="shared" si="8"/>
        <v>3080.7015105146652</v>
      </c>
      <c r="G16" s="368">
        <f t="shared" si="8"/>
        <v>3107.7834013570655</v>
      </c>
      <c r="H16" s="368">
        <f t="shared" si="8"/>
        <v>3135.1033642129664</v>
      </c>
      <c r="I16" s="368">
        <f t="shared" si="8"/>
        <v>3162.6634919304602</v>
      </c>
      <c r="K16" s="467">
        <f>'Capacity inputs'!N18</f>
        <v>46.02</v>
      </c>
      <c r="L16" s="469">
        <f>$K16*D16/1000</f>
        <v>152.45656036895659</v>
      </c>
      <c r="M16" s="469">
        <f t="shared" ref="M16:Q16" si="9">$K16*E16/1000</f>
        <v>147.16760698354594</v>
      </c>
      <c r="N16" s="469">
        <f t="shared" si="9"/>
        <v>141.7738835138849</v>
      </c>
      <c r="O16" s="469">
        <f t="shared" si="9"/>
        <v>143.02019213045216</v>
      </c>
      <c r="P16" s="469">
        <f t="shared" si="9"/>
        <v>144.27745682108073</v>
      </c>
      <c r="Q16" s="469">
        <f t="shared" si="9"/>
        <v>145.54577389863977</v>
      </c>
      <c r="R16" s="121"/>
      <c r="S16" s="121"/>
      <c r="T16" s="121"/>
      <c r="U16" s="121"/>
      <c r="V16" s="121"/>
      <c r="W16" s="121"/>
      <c r="X16" s="121"/>
      <c r="Y16" s="121"/>
      <c r="Z16" s="121"/>
      <c r="AJ16" s="260"/>
      <c r="AK16" s="260"/>
      <c r="AL16" s="260"/>
      <c r="AM16" s="260"/>
      <c r="AN16" s="260"/>
    </row>
    <row r="17" spans="1:40" x14ac:dyDescent="0.3">
      <c r="A17" s="261"/>
      <c r="B17" s="386" t="str">
        <f>B89&amp;" "</f>
        <v xml:space="preserve">Post administration nursing time (hours) </v>
      </c>
      <c r="C17" s="391"/>
      <c r="D17" s="368">
        <f t="shared" ref="D17:I17" si="10">D95</f>
        <v>1656.4163447300803</v>
      </c>
      <c r="E17" s="368">
        <f t="shared" si="10"/>
        <v>1598.952705166731</v>
      </c>
      <c r="F17" s="368">
        <f t="shared" si="10"/>
        <v>1540.3507552573326</v>
      </c>
      <c r="G17" s="368">
        <f t="shared" si="10"/>
        <v>1553.8917006785327</v>
      </c>
      <c r="H17" s="368">
        <f t="shared" si="10"/>
        <v>1567.5516821064832</v>
      </c>
      <c r="I17" s="368">
        <f t="shared" si="10"/>
        <v>1581.3317459652301</v>
      </c>
      <c r="K17" s="467">
        <f>'Capacity inputs'!N19</f>
        <v>46.02</v>
      </c>
      <c r="L17" s="469">
        <f>$K17*D17/1000</f>
        <v>76.228280184478294</v>
      </c>
      <c r="M17" s="469">
        <f t="shared" ref="M17:Q17" si="11">$K17*E17/1000</f>
        <v>73.583803491772969</v>
      </c>
      <c r="N17" s="469">
        <f t="shared" si="11"/>
        <v>70.886941756942448</v>
      </c>
      <c r="O17" s="469">
        <f t="shared" si="11"/>
        <v>71.51009606522608</v>
      </c>
      <c r="P17" s="469">
        <f t="shared" si="11"/>
        <v>72.138728410540367</v>
      </c>
      <c r="Q17" s="469">
        <f t="shared" si="11"/>
        <v>72.772886949319883</v>
      </c>
      <c r="R17" s="121"/>
      <c r="S17" s="121"/>
      <c r="T17" s="121"/>
      <c r="U17" s="121"/>
      <c r="V17" s="121"/>
      <c r="W17" s="121"/>
      <c r="X17" s="121"/>
      <c r="Y17" s="121"/>
      <c r="Z17" s="121"/>
      <c r="AJ17" s="260"/>
      <c r="AK17" s="260"/>
      <c r="AL17" s="260"/>
      <c r="AM17" s="260"/>
      <c r="AN17" s="260"/>
    </row>
    <row r="18" spans="1:40" x14ac:dyDescent="0.3">
      <c r="A18" s="263"/>
      <c r="B18" s="387" t="str">
        <f>B99</f>
        <v>Pharmacy support</v>
      </c>
      <c r="C18" s="392"/>
      <c r="D18" s="369">
        <f>D105</f>
        <v>0</v>
      </c>
      <c r="E18" s="369">
        <f t="shared" ref="E18:I18" si="12">E105</f>
        <v>0</v>
      </c>
      <c r="F18" s="369">
        <f t="shared" si="12"/>
        <v>0</v>
      </c>
      <c r="G18" s="369">
        <f t="shared" si="12"/>
        <v>0</v>
      </c>
      <c r="H18" s="369">
        <f t="shared" si="12"/>
        <v>0</v>
      </c>
      <c r="I18" s="369">
        <f t="shared" si="12"/>
        <v>0</v>
      </c>
      <c r="K18" s="155"/>
      <c r="L18" s="227"/>
      <c r="M18" s="227"/>
      <c r="N18" s="227"/>
      <c r="O18" s="227"/>
      <c r="P18" s="227"/>
      <c r="Q18" s="227"/>
      <c r="R18" s="121"/>
      <c r="S18" s="121"/>
      <c r="T18" s="121"/>
      <c r="U18" s="121"/>
      <c r="V18" s="121"/>
      <c r="W18" s="121"/>
      <c r="X18" s="121"/>
      <c r="Y18" s="121"/>
      <c r="Z18" s="121"/>
      <c r="AJ18" s="260"/>
      <c r="AK18" s="260"/>
      <c r="AL18" s="260"/>
      <c r="AM18" s="260"/>
      <c r="AN18" s="260"/>
    </row>
    <row r="19" spans="1:40" x14ac:dyDescent="0.3">
      <c r="A19" s="263"/>
      <c r="B19" s="387" t="str">
        <f>B99&amp;" - hours"</f>
        <v>Pharmacy support - hours</v>
      </c>
      <c r="C19" s="392"/>
      <c r="D19" s="369">
        <f t="shared" ref="D19:I19" si="13">($C101*D101)+($C102*D102)+($C103*D103)+($C104*D104)</f>
        <v>0</v>
      </c>
      <c r="E19" s="369">
        <f t="shared" si="13"/>
        <v>0</v>
      </c>
      <c r="F19" s="369">
        <f t="shared" si="13"/>
        <v>0</v>
      </c>
      <c r="G19" s="369">
        <f t="shared" si="13"/>
        <v>0</v>
      </c>
      <c r="H19" s="369">
        <f t="shared" si="13"/>
        <v>0</v>
      </c>
      <c r="I19" s="369">
        <f t="shared" si="13"/>
        <v>0</v>
      </c>
      <c r="K19" s="467">
        <f>'Capacity inputs'!N20</f>
        <v>51.03</v>
      </c>
      <c r="L19" s="469">
        <f>$K19*D19/1000</f>
        <v>0</v>
      </c>
      <c r="M19" s="469">
        <f t="shared" ref="M19:Q19" si="14">$K19*E19/1000</f>
        <v>0</v>
      </c>
      <c r="N19" s="469">
        <f t="shared" si="14"/>
        <v>0</v>
      </c>
      <c r="O19" s="469">
        <f t="shared" si="14"/>
        <v>0</v>
      </c>
      <c r="P19" s="469">
        <f t="shared" si="14"/>
        <v>0</v>
      </c>
      <c r="Q19" s="469">
        <f t="shared" si="14"/>
        <v>0</v>
      </c>
      <c r="R19" s="121"/>
      <c r="S19" s="121"/>
      <c r="T19" s="121"/>
      <c r="U19" s="121"/>
      <c r="V19" s="121"/>
      <c r="W19" s="121"/>
      <c r="X19" s="121"/>
      <c r="Y19" s="121"/>
      <c r="Z19" s="121"/>
      <c r="AJ19" s="260"/>
      <c r="AK19" s="260"/>
      <c r="AL19" s="260"/>
      <c r="AM19" s="260"/>
      <c r="AN19" s="260"/>
    </row>
    <row r="20" spans="1:40" x14ac:dyDescent="0.3">
      <c r="A20" s="297"/>
      <c r="B20" s="389" t="str">
        <f>B109</f>
        <v>Pre-treatment endoscopy appointments</v>
      </c>
      <c r="C20" s="342"/>
      <c r="D20" s="372">
        <f>D115</f>
        <v>683.05828648663112</v>
      </c>
      <c r="E20" s="372">
        <f t="shared" ref="E20:I20" si="15">E115</f>
        <v>659.36194027494071</v>
      </c>
      <c r="F20" s="372">
        <f t="shared" si="15"/>
        <v>635.19618773498257</v>
      </c>
      <c r="G20" s="372">
        <f t="shared" si="15"/>
        <v>640.7800827540342</v>
      </c>
      <c r="H20" s="372">
        <f t="shared" si="15"/>
        <v>646.41306478617867</v>
      </c>
      <c r="I20" s="372">
        <f t="shared" si="15"/>
        <v>652.09556534648664</v>
      </c>
      <c r="K20" s="155"/>
      <c r="L20" s="227"/>
      <c r="M20" s="227"/>
      <c r="N20" s="227"/>
      <c r="O20" s="227"/>
      <c r="P20" s="227"/>
      <c r="Q20" s="227"/>
      <c r="R20" s="121"/>
      <c r="S20" s="121"/>
      <c r="T20" s="121"/>
      <c r="U20" s="121"/>
      <c r="V20" s="121"/>
      <c r="W20" s="121"/>
      <c r="X20" s="121"/>
      <c r="Y20" s="121"/>
      <c r="Z20" s="121"/>
      <c r="AJ20" s="260"/>
      <c r="AK20" s="260"/>
      <c r="AL20" s="260"/>
      <c r="AM20" s="260"/>
      <c r="AN20" s="260"/>
    </row>
    <row r="21" spans="1:40" hidden="1" x14ac:dyDescent="0.3">
      <c r="A21" s="264"/>
      <c r="B21" s="390" t="str">
        <f>B119</f>
        <v>Imaging scans</v>
      </c>
      <c r="C21" s="380"/>
      <c r="D21" s="373" t="e">
        <f>D126</f>
        <v>#REF!</v>
      </c>
      <c r="E21" s="373" t="e">
        <f t="shared" ref="E21:I21" si="16">E126</f>
        <v>#REF!</v>
      </c>
      <c r="F21" s="373" t="e">
        <f t="shared" si="16"/>
        <v>#REF!</v>
      </c>
      <c r="G21" s="373" t="e">
        <f t="shared" si="16"/>
        <v>#REF!</v>
      </c>
      <c r="H21" s="373" t="e">
        <f t="shared" si="16"/>
        <v>#REF!</v>
      </c>
      <c r="I21" s="373" t="e">
        <f t="shared" si="16"/>
        <v>#REF!</v>
      </c>
      <c r="K21" s="155"/>
      <c r="L21" s="227"/>
      <c r="M21" s="227"/>
      <c r="N21" s="227"/>
      <c r="O21" s="227"/>
      <c r="P21" s="227"/>
      <c r="Q21" s="227"/>
      <c r="R21" s="121"/>
      <c r="S21" s="121"/>
      <c r="T21" s="121"/>
      <c r="U21" s="121"/>
      <c r="V21" s="121"/>
      <c r="W21" s="121"/>
      <c r="X21" s="121"/>
      <c r="Y21" s="121"/>
      <c r="Z21" s="121"/>
      <c r="AJ21" s="260"/>
      <c r="AK21" s="260"/>
      <c r="AL21" s="260"/>
      <c r="AM21" s="260"/>
      <c r="AN21" s="260"/>
    </row>
    <row r="22" spans="1:40" hidden="1" x14ac:dyDescent="0.3">
      <c r="A22" s="264"/>
      <c r="B22" s="390" t="str">
        <f>B119&amp;" - hours"</f>
        <v>Imaging scans - hours</v>
      </c>
      <c r="C22" s="713">
        <f>'Capacity inputs'!F22</f>
        <v>0</v>
      </c>
      <c r="D22" s="373" t="e">
        <f>D21*$C22/60</f>
        <v>#REF!</v>
      </c>
      <c r="E22" s="373" t="e">
        <f t="shared" ref="E22:I22" si="17">E21*$C22/60</f>
        <v>#REF!</v>
      </c>
      <c r="F22" s="373" t="e">
        <f t="shared" si="17"/>
        <v>#REF!</v>
      </c>
      <c r="G22" s="373" t="e">
        <f t="shared" si="17"/>
        <v>#REF!</v>
      </c>
      <c r="H22" s="373" t="e">
        <f t="shared" si="17"/>
        <v>#REF!</v>
      </c>
      <c r="I22" s="373" t="e">
        <f t="shared" si="17"/>
        <v>#REF!</v>
      </c>
      <c r="K22" s="467">
        <f>'Capacity inputs'!N22</f>
        <v>1</v>
      </c>
      <c r="L22" s="469" t="e">
        <f>$K22*D22/1000</f>
        <v>#REF!</v>
      </c>
      <c r="M22" s="469" t="e">
        <f t="shared" ref="M22:Q22" si="18">$K22*E22/1000</f>
        <v>#REF!</v>
      </c>
      <c r="N22" s="469" t="e">
        <f t="shared" si="18"/>
        <v>#REF!</v>
      </c>
      <c r="O22" s="469" t="e">
        <f t="shared" si="18"/>
        <v>#REF!</v>
      </c>
      <c r="P22" s="469" t="e">
        <f t="shared" si="18"/>
        <v>#REF!</v>
      </c>
      <c r="Q22" s="469" t="e">
        <f t="shared" si="18"/>
        <v>#REF!</v>
      </c>
      <c r="R22" s="121"/>
      <c r="S22" s="121"/>
      <c r="T22" s="121"/>
      <c r="U22" s="121"/>
      <c r="V22" s="121"/>
      <c r="W22" s="121"/>
      <c r="X22" s="121"/>
      <c r="Y22" s="121"/>
      <c r="Z22" s="121"/>
      <c r="AJ22" s="260"/>
      <c r="AK22" s="260"/>
      <c r="AL22" s="260"/>
      <c r="AM22" s="260"/>
      <c r="AN22" s="260"/>
    </row>
    <row r="23" spans="1:40" hidden="1" x14ac:dyDescent="0.3">
      <c r="A23" s="264"/>
      <c r="B23" s="390" t="str">
        <f>B129</f>
        <v>Pathology tests</v>
      </c>
      <c r="C23" s="380"/>
      <c r="D23" s="373" t="e">
        <f>D136</f>
        <v>#REF!</v>
      </c>
      <c r="E23" s="373" t="e">
        <f t="shared" ref="E23:I23" si="19">E136</f>
        <v>#REF!</v>
      </c>
      <c r="F23" s="373" t="e">
        <f t="shared" si="19"/>
        <v>#REF!</v>
      </c>
      <c r="G23" s="373" t="e">
        <f t="shared" si="19"/>
        <v>#REF!</v>
      </c>
      <c r="H23" s="373" t="e">
        <f t="shared" si="19"/>
        <v>#REF!</v>
      </c>
      <c r="I23" s="373" t="e">
        <f t="shared" si="19"/>
        <v>#REF!</v>
      </c>
      <c r="K23" s="155"/>
      <c r="L23" s="227"/>
      <c r="M23" s="227"/>
      <c r="N23" s="227"/>
      <c r="O23" s="227"/>
      <c r="P23" s="227"/>
      <c r="Q23" s="227"/>
      <c r="R23" s="121"/>
      <c r="S23" s="121"/>
      <c r="T23" s="121"/>
      <c r="U23" s="121"/>
      <c r="V23" s="121"/>
      <c r="W23" s="121"/>
      <c r="X23" s="121"/>
      <c r="Y23" s="121"/>
      <c r="Z23" s="121"/>
      <c r="AJ23" s="260"/>
      <c r="AK23" s="260"/>
      <c r="AL23" s="260"/>
      <c r="AM23" s="260"/>
      <c r="AN23" s="260"/>
    </row>
    <row r="24" spans="1:40" hidden="1" x14ac:dyDescent="0.3">
      <c r="A24" s="264"/>
      <c r="B24" s="390" t="str">
        <f>B129&amp;" - hours"</f>
        <v>Pathology tests - hours</v>
      </c>
      <c r="C24" s="713">
        <f>'Capacity inputs'!F23</f>
        <v>0</v>
      </c>
      <c r="D24" s="373" t="e">
        <f>$C24/60*D23</f>
        <v>#REF!</v>
      </c>
      <c r="E24" s="373" t="e">
        <f t="shared" ref="E24:I24" si="20">$C24/60*E23</f>
        <v>#REF!</v>
      </c>
      <c r="F24" s="373" t="e">
        <f t="shared" si="20"/>
        <v>#REF!</v>
      </c>
      <c r="G24" s="373" t="e">
        <f t="shared" si="20"/>
        <v>#REF!</v>
      </c>
      <c r="H24" s="373" t="e">
        <f t="shared" si="20"/>
        <v>#REF!</v>
      </c>
      <c r="I24" s="373" t="e">
        <f t="shared" si="20"/>
        <v>#REF!</v>
      </c>
      <c r="K24" s="467">
        <f>'Capacity inputs'!N23</f>
        <v>1</v>
      </c>
      <c r="L24" s="469" t="e">
        <f>$K24*D24/1000</f>
        <v>#REF!</v>
      </c>
      <c r="M24" s="469" t="e">
        <f t="shared" ref="M24:Q24" si="21">$K24*E24/1000</f>
        <v>#REF!</v>
      </c>
      <c r="N24" s="469" t="e">
        <f t="shared" si="21"/>
        <v>#REF!</v>
      </c>
      <c r="O24" s="469" t="e">
        <f t="shared" si="21"/>
        <v>#REF!</v>
      </c>
      <c r="P24" s="469" t="e">
        <f t="shared" si="21"/>
        <v>#REF!</v>
      </c>
      <c r="Q24" s="469" t="e">
        <f t="shared" si="21"/>
        <v>#REF!</v>
      </c>
      <c r="R24" s="121"/>
      <c r="S24" s="121"/>
      <c r="T24" s="121"/>
      <c r="U24" s="121"/>
      <c r="V24" s="121"/>
      <c r="W24" s="121"/>
      <c r="X24" s="121"/>
      <c r="Y24" s="121"/>
      <c r="Z24" s="121"/>
      <c r="AJ24" s="260"/>
      <c r="AK24" s="260"/>
      <c r="AL24" s="260"/>
      <c r="AM24" s="260"/>
      <c r="AN24" s="260"/>
    </row>
    <row r="25" spans="1:40" hidden="1" x14ac:dyDescent="0.3">
      <c r="A25" s="264"/>
      <c r="B25" s="390" t="str">
        <f>B139</f>
        <v>Genomic tests</v>
      </c>
      <c r="C25" s="380"/>
      <c r="D25" s="373" t="e">
        <f>D146</f>
        <v>#REF!</v>
      </c>
      <c r="E25" s="373" t="e">
        <f t="shared" ref="E25:I25" si="22">E146</f>
        <v>#REF!</v>
      </c>
      <c r="F25" s="373" t="e">
        <f t="shared" si="22"/>
        <v>#REF!</v>
      </c>
      <c r="G25" s="373" t="e">
        <f t="shared" si="22"/>
        <v>#REF!</v>
      </c>
      <c r="H25" s="373" t="e">
        <f t="shared" si="22"/>
        <v>#REF!</v>
      </c>
      <c r="I25" s="373" t="e">
        <f t="shared" si="22"/>
        <v>#REF!</v>
      </c>
      <c r="K25" s="155"/>
      <c r="L25" s="227"/>
      <c r="M25" s="227"/>
      <c r="N25" s="227"/>
      <c r="O25" s="227"/>
      <c r="P25" s="227"/>
      <c r="Q25" s="227"/>
      <c r="R25" s="121"/>
      <c r="S25" s="121"/>
      <c r="T25" s="121"/>
      <c r="U25" s="121"/>
      <c r="V25" s="121"/>
      <c r="W25" s="121"/>
      <c r="X25" s="121"/>
      <c r="Y25" s="121"/>
      <c r="Z25" s="121"/>
      <c r="AJ25" s="260"/>
      <c r="AK25" s="260"/>
      <c r="AL25" s="260"/>
      <c r="AM25" s="260"/>
      <c r="AN25" s="260"/>
    </row>
    <row r="26" spans="1:40" hidden="1" x14ac:dyDescent="0.3">
      <c r="A26" s="264"/>
      <c r="B26" s="390" t="str">
        <f>B139&amp;" - hours"</f>
        <v>Genomic tests - hours</v>
      </c>
      <c r="C26" s="713">
        <f>'Capacity inputs'!F24</f>
        <v>0</v>
      </c>
      <c r="D26" s="373" t="e">
        <f>$C26/60*D25</f>
        <v>#REF!</v>
      </c>
      <c r="E26" s="373" t="e">
        <f t="shared" ref="E26:I26" si="23">$C26/60*E25</f>
        <v>#REF!</v>
      </c>
      <c r="F26" s="373" t="e">
        <f t="shared" si="23"/>
        <v>#REF!</v>
      </c>
      <c r="G26" s="373" t="e">
        <f t="shared" si="23"/>
        <v>#REF!</v>
      </c>
      <c r="H26" s="373" t="e">
        <f t="shared" si="23"/>
        <v>#REF!</v>
      </c>
      <c r="I26" s="373" t="e">
        <f t="shared" si="23"/>
        <v>#REF!</v>
      </c>
      <c r="K26" s="467">
        <f>'Capacity inputs'!N24</f>
        <v>1</v>
      </c>
      <c r="L26" s="469" t="e">
        <f>$K26*D26/1000</f>
        <v>#REF!</v>
      </c>
      <c r="M26" s="469" t="e">
        <f t="shared" ref="M26:Q26" si="24">$K26*E26/1000</f>
        <v>#REF!</v>
      </c>
      <c r="N26" s="469" t="e">
        <f t="shared" si="24"/>
        <v>#REF!</v>
      </c>
      <c r="O26" s="469" t="e">
        <f t="shared" si="24"/>
        <v>#REF!</v>
      </c>
      <c r="P26" s="469" t="e">
        <f t="shared" si="24"/>
        <v>#REF!</v>
      </c>
      <c r="Q26" s="469" t="e">
        <f t="shared" si="24"/>
        <v>#REF!</v>
      </c>
      <c r="R26" s="121"/>
      <c r="S26" s="121"/>
      <c r="T26" s="121"/>
      <c r="U26" s="121"/>
      <c r="V26" s="121"/>
      <c r="W26" s="121"/>
      <c r="X26" s="121"/>
      <c r="Y26" s="121"/>
      <c r="Z26" s="121"/>
      <c r="AJ26" s="260"/>
      <c r="AK26" s="260"/>
      <c r="AL26" s="260"/>
      <c r="AM26" s="260"/>
      <c r="AN26" s="260"/>
    </row>
    <row r="27" spans="1:40" x14ac:dyDescent="0.3">
      <c r="B27" s="222"/>
      <c r="D27" s="260"/>
      <c r="F27" s="121"/>
      <c r="G27" s="121"/>
      <c r="H27" s="121"/>
      <c r="I27" s="121"/>
      <c r="J27" s="121"/>
      <c r="K27" s="146"/>
      <c r="L27" s="266">
        <f t="shared" ref="L27:Q27" si="25">SUM(L10:L20)</f>
        <v>412.57574326650627</v>
      </c>
      <c r="M27" s="266">
        <f t="shared" si="25"/>
        <v>398.26285395031761</v>
      </c>
      <c r="N27" s="266">
        <f t="shared" si="25"/>
        <v>4158.9441808119536</v>
      </c>
      <c r="O27" s="266">
        <f t="shared" si="25"/>
        <v>387.03917973447108</v>
      </c>
      <c r="P27" s="266">
        <f t="shared" si="25"/>
        <v>390.44157129416175</v>
      </c>
      <c r="Q27" s="266">
        <f t="shared" si="25"/>
        <v>393.87387266384474</v>
      </c>
      <c r="R27" s="121"/>
      <c r="S27" s="121"/>
      <c r="T27" s="121"/>
      <c r="U27" s="121"/>
      <c r="V27" s="121"/>
      <c r="W27" s="121"/>
      <c r="X27" s="121"/>
      <c r="Y27" s="121"/>
      <c r="Z27" s="121"/>
    </row>
    <row r="28" spans="1:40" x14ac:dyDescent="0.3">
      <c r="B28" s="288"/>
      <c r="C28" s="288"/>
      <c r="D28" s="288"/>
      <c r="E28" s="288"/>
      <c r="F28" s="288"/>
      <c r="G28" s="288"/>
      <c r="H28" s="288"/>
      <c r="I28" s="288"/>
      <c r="J28" s="288"/>
      <c r="K28" s="288"/>
      <c r="L28" s="288"/>
      <c r="P28" s="121"/>
      <c r="Q28" s="121"/>
      <c r="R28" s="121"/>
      <c r="S28" s="121"/>
      <c r="V28" s="121"/>
      <c r="W28" s="121"/>
      <c r="X28" s="121"/>
      <c r="Y28" s="121"/>
      <c r="Z28" s="121"/>
      <c r="AJ28" s="260"/>
      <c r="AK28" s="260"/>
      <c r="AL28" s="260"/>
      <c r="AM28" s="260"/>
      <c r="AN28" s="260"/>
    </row>
    <row r="29" spans="1:40" x14ac:dyDescent="0.3">
      <c r="B29" s="328" t="s">
        <v>2093</v>
      </c>
      <c r="C29" s="329"/>
      <c r="D29" s="329"/>
      <c r="E29" s="330"/>
      <c r="F29" s="329"/>
      <c r="G29" s="331"/>
      <c r="H29" s="332"/>
      <c r="I29" s="332"/>
      <c r="J29" s="332"/>
      <c r="K29" s="332"/>
      <c r="L29" s="332"/>
      <c r="M29" s="332"/>
      <c r="N29" s="332"/>
      <c r="O29" s="332"/>
      <c r="P29" s="332"/>
      <c r="Q29" s="333"/>
      <c r="R29" s="121"/>
      <c r="S29" s="121"/>
      <c r="T29" s="121"/>
      <c r="U29" s="121"/>
      <c r="V29" s="121"/>
      <c r="W29" s="121"/>
      <c r="X29" s="121"/>
      <c r="Y29" s="121"/>
      <c r="Z29" s="121"/>
      <c r="AJ29" s="260"/>
      <c r="AK29" s="260"/>
      <c r="AL29" s="260"/>
      <c r="AM29" s="260"/>
      <c r="AN29" s="260"/>
    </row>
    <row r="30" spans="1:40" x14ac:dyDescent="0.3">
      <c r="A30" s="262"/>
      <c r="B30" s="463" t="s">
        <v>2094</v>
      </c>
      <c r="C30" s="456"/>
      <c r="D30" s="457"/>
      <c r="E30" s="458"/>
      <c r="F30" s="262"/>
      <c r="G30" s="262"/>
      <c r="H30" s="198"/>
      <c r="I30" s="198"/>
      <c r="J30" s="198"/>
      <c r="K30" s="198"/>
      <c r="L30" s="198"/>
      <c r="M30" s="198"/>
      <c r="N30" s="198"/>
      <c r="O30" s="198"/>
      <c r="P30" s="198"/>
      <c r="Q30" s="198"/>
      <c r="R30" s="121"/>
      <c r="S30" s="121"/>
      <c r="T30" s="121"/>
      <c r="U30" s="121"/>
      <c r="V30" s="121"/>
      <c r="W30" s="121"/>
      <c r="X30" s="121"/>
      <c r="Y30" s="121"/>
      <c r="Z30" s="121"/>
      <c r="AJ30" s="260"/>
      <c r="AK30" s="260"/>
      <c r="AL30" s="260"/>
      <c r="AM30" s="260"/>
      <c r="AN30" s="260"/>
    </row>
    <row r="31" spans="1:40" x14ac:dyDescent="0.3">
      <c r="A31" s="454"/>
      <c r="B31" s="459" t="s">
        <v>2095</v>
      </c>
      <c r="C31" s="351"/>
      <c r="D31" s="351"/>
      <c r="E31" s="351"/>
      <c r="F31" s="351"/>
      <c r="G31" s="351"/>
      <c r="H31" s="351"/>
      <c r="I31" s="197"/>
      <c r="J31" s="198"/>
      <c r="K31" s="198"/>
      <c r="L31" s="198"/>
      <c r="M31" s="198"/>
      <c r="N31" s="198"/>
      <c r="O31" s="198"/>
      <c r="P31" s="198"/>
      <c r="Q31" s="198"/>
      <c r="R31" s="121"/>
      <c r="S31" s="121"/>
      <c r="T31" s="121"/>
      <c r="U31" s="121"/>
      <c r="V31" s="121"/>
      <c r="W31" s="121"/>
      <c r="X31" s="121"/>
      <c r="Y31" s="121"/>
      <c r="Z31" s="121"/>
      <c r="AJ31" s="260"/>
      <c r="AK31" s="260"/>
      <c r="AL31" s="260"/>
      <c r="AM31" s="260"/>
      <c r="AN31" s="260"/>
    </row>
    <row r="32" spans="1:40" ht="43.2" x14ac:dyDescent="0.3">
      <c r="A32" s="454"/>
      <c r="B32" s="287" t="s">
        <v>2033</v>
      </c>
      <c r="C32" s="153" t="s">
        <v>2096</v>
      </c>
      <c r="D32" s="840" t="s">
        <v>2082</v>
      </c>
      <c r="E32" s="231" t="s">
        <v>1885</v>
      </c>
      <c r="F32" s="231" t="s">
        <v>1886</v>
      </c>
      <c r="G32" s="152" t="s">
        <v>2054</v>
      </c>
      <c r="H32" s="152" t="s">
        <v>2055</v>
      </c>
      <c r="I32" s="231" t="s">
        <v>2056</v>
      </c>
      <c r="J32" s="462"/>
      <c r="K32" s="198"/>
      <c r="L32" s="198"/>
      <c r="M32" s="198"/>
      <c r="N32" s="198"/>
      <c r="O32" s="198"/>
      <c r="P32" s="198"/>
      <c r="Q32" s="198"/>
      <c r="R32" s="121"/>
      <c r="S32" s="121"/>
      <c r="T32" s="121"/>
      <c r="U32" s="121"/>
      <c r="V32" s="121"/>
      <c r="W32" s="121"/>
      <c r="X32" s="121"/>
      <c r="Y32" s="121"/>
      <c r="Z32" s="121"/>
      <c r="AJ32" s="260"/>
      <c r="AK32" s="260"/>
      <c r="AL32" s="260"/>
      <c r="AM32" s="260"/>
      <c r="AN32" s="260"/>
    </row>
    <row r="33" spans="1:40" x14ac:dyDescent="0.3">
      <c r="A33" s="454"/>
      <c r="B33" s="313" t="str">
        <f>'Capacity inputs'!G13</f>
        <v xml:space="preserve">Durvalumab with tremelimumab </v>
      </c>
      <c r="C33" s="137">
        <f>'Capacity inputs'!G$14</f>
        <v>0</v>
      </c>
      <c r="D33" s="116">
        <f>'Financial impact (cash)'!D13*$C$33</f>
        <v>0</v>
      </c>
      <c r="E33" s="116">
        <f>'Financial impact (cash)'!E13*$C$33</f>
        <v>0</v>
      </c>
      <c r="F33" s="116">
        <f>'Financial impact (cash)'!F13*$C$33</f>
        <v>0</v>
      </c>
      <c r="G33" s="116">
        <f>'Financial impact (cash)'!G13*$C$33</f>
        <v>0</v>
      </c>
      <c r="H33" s="116">
        <f>'Financial impact (cash)'!H13*$C$33</f>
        <v>0</v>
      </c>
      <c r="I33" s="116">
        <f>'Financial impact (cash)'!I13*$C$33</f>
        <v>0</v>
      </c>
      <c r="J33" s="462"/>
      <c r="K33" s="198"/>
      <c r="L33" s="198"/>
      <c r="M33" s="198"/>
      <c r="N33" s="198"/>
      <c r="O33" s="198"/>
      <c r="P33" s="198"/>
      <c r="Q33" s="198"/>
      <c r="R33" s="121"/>
      <c r="S33" s="121"/>
      <c r="T33" s="121"/>
      <c r="U33" s="121"/>
      <c r="V33" s="121"/>
      <c r="W33" s="121"/>
      <c r="X33" s="121"/>
      <c r="Y33" s="121"/>
      <c r="Z33" s="121"/>
      <c r="AJ33" s="260"/>
      <c r="AK33" s="260"/>
      <c r="AL33" s="260"/>
      <c r="AM33" s="260"/>
      <c r="AN33" s="260"/>
    </row>
    <row r="34" spans="1:40" x14ac:dyDescent="0.3">
      <c r="A34" s="454"/>
      <c r="B34" s="313" t="str">
        <f>'Capacity inputs'!H13</f>
        <v xml:space="preserve">Atezolizumab with bevacizumab </v>
      </c>
      <c r="C34" s="137">
        <f>'Capacity inputs'!H$14</f>
        <v>0</v>
      </c>
      <c r="D34" s="116">
        <f>'Financial impact (cash)'!D14*$C$33</f>
        <v>0</v>
      </c>
      <c r="E34" s="116">
        <f>'Financial impact (cash)'!E14*$C$34</f>
        <v>0</v>
      </c>
      <c r="F34" s="116">
        <f>'Financial impact (cash)'!F14*$C$34</f>
        <v>0</v>
      </c>
      <c r="G34" s="116">
        <f>'Financial impact (cash)'!G14*$C$34</f>
        <v>0</v>
      </c>
      <c r="H34" s="116">
        <f>'Financial impact (cash)'!H14*$C$34</f>
        <v>0</v>
      </c>
      <c r="I34" s="116">
        <f>'Financial impact (cash)'!I14*$C$34</f>
        <v>0</v>
      </c>
      <c r="J34" s="462"/>
      <c r="K34" s="198"/>
      <c r="L34" s="198"/>
      <c r="M34" s="198"/>
      <c r="N34" s="198"/>
      <c r="O34" s="198"/>
      <c r="P34" s="198"/>
      <c r="Q34" s="198"/>
      <c r="R34" s="121"/>
      <c r="S34" s="121"/>
      <c r="T34" s="121"/>
      <c r="U34" s="121"/>
      <c r="V34" s="121"/>
      <c r="W34" s="121"/>
      <c r="X34" s="121"/>
      <c r="Y34" s="121"/>
      <c r="Z34" s="121"/>
      <c r="AJ34" s="260"/>
      <c r="AK34" s="260"/>
      <c r="AL34" s="260"/>
      <c r="AM34" s="260"/>
      <c r="AN34" s="260"/>
    </row>
    <row r="35" spans="1:40" x14ac:dyDescent="0.3">
      <c r="A35" s="454"/>
      <c r="B35" s="313" t="str">
        <f>'Capacity inputs'!I13</f>
        <v xml:space="preserve">Lenvatinib </v>
      </c>
      <c r="C35" s="137">
        <f>'Capacity inputs'!I$14</f>
        <v>0</v>
      </c>
      <c r="D35" s="116">
        <f>'Financial impact (cash)'!D15*$C$33</f>
        <v>0</v>
      </c>
      <c r="E35" s="116">
        <f>'Financial impact (cash)'!E15*$C$35</f>
        <v>0</v>
      </c>
      <c r="F35" s="116">
        <f>'Financial impact (cash)'!F15*$C$35</f>
        <v>0</v>
      </c>
      <c r="G35" s="116">
        <f>'Financial impact (cash)'!G15*$C$35</f>
        <v>0</v>
      </c>
      <c r="H35" s="116">
        <f>'Financial impact (cash)'!H15*$C$35</f>
        <v>0</v>
      </c>
      <c r="I35" s="116">
        <f>'Financial impact (cash)'!I15*$C$35</f>
        <v>0</v>
      </c>
      <c r="J35" s="462"/>
      <c r="K35" s="198"/>
      <c r="L35" s="198"/>
      <c r="M35" s="198"/>
      <c r="N35" s="198"/>
      <c r="O35" s="198"/>
      <c r="P35" s="198"/>
      <c r="Q35" s="198"/>
      <c r="R35" s="121"/>
      <c r="S35" s="121"/>
      <c r="T35" s="121"/>
      <c r="U35" s="121"/>
      <c r="V35" s="121"/>
      <c r="W35" s="121"/>
      <c r="X35" s="121"/>
      <c r="Y35" s="121"/>
      <c r="Z35" s="121"/>
      <c r="AJ35" s="260"/>
      <c r="AK35" s="260"/>
      <c r="AL35" s="260"/>
      <c r="AM35" s="260"/>
      <c r="AN35" s="260"/>
    </row>
    <row r="36" spans="1:40" x14ac:dyDescent="0.3">
      <c r="A36" s="454"/>
      <c r="B36" s="854" t="str">
        <f>'Capacity inputs'!J13</f>
        <v>Sorafenib</v>
      </c>
      <c r="C36" s="137">
        <f>'Capacity inputs'!J$14</f>
        <v>0</v>
      </c>
      <c r="D36" s="915">
        <f>'Financial impact (cash)'!D16*$C$36</f>
        <v>0</v>
      </c>
      <c r="E36" s="915">
        <f>'Financial impact (cash)'!E16*$C$33</f>
        <v>0</v>
      </c>
      <c r="F36" s="915">
        <f>'Financial impact (cash)'!F16*$C$33</f>
        <v>0</v>
      </c>
      <c r="G36" s="915">
        <f>'Financial impact (cash)'!G16*$C$33</f>
        <v>0</v>
      </c>
      <c r="H36" s="915">
        <f>'Financial impact (cash)'!H16*$C$33</f>
        <v>0</v>
      </c>
      <c r="I36" s="915">
        <f>'Financial impact (cash)'!I16*$C$33</f>
        <v>0</v>
      </c>
      <c r="J36" s="462"/>
      <c r="K36" s="198"/>
      <c r="L36" s="198"/>
      <c r="M36" s="198"/>
      <c r="N36" s="198"/>
      <c r="O36" s="198"/>
      <c r="P36" s="198"/>
      <c r="Q36" s="198"/>
      <c r="R36" s="121"/>
      <c r="S36" s="121"/>
      <c r="T36" s="121"/>
      <c r="U36" s="121"/>
      <c r="V36" s="121"/>
      <c r="W36" s="121"/>
      <c r="X36" s="121"/>
      <c r="Y36" s="121"/>
      <c r="Z36" s="121"/>
      <c r="AJ36" s="260"/>
      <c r="AK36" s="260"/>
      <c r="AL36" s="260"/>
      <c r="AM36" s="260"/>
      <c r="AN36" s="260"/>
    </row>
    <row r="37" spans="1:40" x14ac:dyDescent="0.3">
      <c r="A37" s="454"/>
      <c r="B37" s="443"/>
      <c r="C37" s="291"/>
      <c r="D37" s="168">
        <f>SUM(D33:D36)</f>
        <v>0</v>
      </c>
      <c r="E37" s="168">
        <f t="shared" ref="E37:I37" si="26">SUM(E33:E36)</f>
        <v>0</v>
      </c>
      <c r="F37" s="168">
        <f t="shared" si="26"/>
        <v>0</v>
      </c>
      <c r="G37" s="168">
        <f t="shared" si="26"/>
        <v>0</v>
      </c>
      <c r="H37" s="168">
        <f t="shared" si="26"/>
        <v>0</v>
      </c>
      <c r="I37" s="168">
        <f t="shared" si="26"/>
        <v>0</v>
      </c>
      <c r="J37" s="462"/>
      <c r="K37" s="198"/>
      <c r="L37" s="198"/>
      <c r="M37" s="198"/>
      <c r="N37" s="198"/>
      <c r="O37" s="198"/>
      <c r="P37" s="198"/>
      <c r="Q37" s="198"/>
      <c r="R37" s="121"/>
      <c r="S37" s="121"/>
      <c r="T37" s="121"/>
      <c r="U37" s="121"/>
      <c r="V37" s="121"/>
      <c r="W37" s="121"/>
      <c r="X37" s="121"/>
      <c r="Y37" s="121"/>
      <c r="Z37" s="121"/>
      <c r="AJ37" s="260"/>
      <c r="AK37" s="260"/>
      <c r="AL37" s="260"/>
      <c r="AM37" s="260"/>
      <c r="AN37" s="260"/>
    </row>
    <row r="38" spans="1:40" x14ac:dyDescent="0.3">
      <c r="A38" s="454"/>
      <c r="B38" s="232"/>
      <c r="C38" s="232"/>
      <c r="D38" s="259" t="s">
        <v>2097</v>
      </c>
      <c r="E38" s="168">
        <f>E37-$D$37</f>
        <v>0</v>
      </c>
      <c r="F38" s="168">
        <f>F37-$D$37</f>
        <v>0</v>
      </c>
      <c r="G38" s="168">
        <f>G37-$D$37</f>
        <v>0</v>
      </c>
      <c r="H38" s="168">
        <f>H37-$D$37</f>
        <v>0</v>
      </c>
      <c r="I38" s="168">
        <f>I37-$D$37</f>
        <v>0</v>
      </c>
      <c r="J38" s="462"/>
      <c r="K38" s="198"/>
      <c r="L38" s="198"/>
      <c r="M38" s="198"/>
      <c r="N38" s="198"/>
      <c r="O38" s="198"/>
      <c r="P38" s="198"/>
      <c r="Q38" s="198"/>
      <c r="R38" s="121"/>
      <c r="S38" s="121"/>
      <c r="T38" s="121"/>
      <c r="U38" s="121"/>
      <c r="V38" s="121"/>
      <c r="W38" s="121"/>
      <c r="X38" s="121"/>
      <c r="Y38" s="121"/>
      <c r="Z38" s="121"/>
      <c r="AJ38" s="260"/>
      <c r="AK38" s="260"/>
      <c r="AL38" s="260"/>
      <c r="AM38" s="260"/>
      <c r="AN38" s="260"/>
    </row>
    <row r="39" spans="1:40" x14ac:dyDescent="0.3">
      <c r="A39" s="262"/>
      <c r="B39" s="455"/>
      <c r="C39" s="456"/>
      <c r="D39" s="457"/>
      <c r="E39" s="458"/>
      <c r="F39" s="262"/>
      <c r="G39" s="262"/>
      <c r="H39" s="262"/>
      <c r="I39" s="282"/>
      <c r="J39" s="198"/>
      <c r="K39" s="198"/>
      <c r="L39" s="198"/>
      <c r="M39" s="198"/>
      <c r="N39" s="198"/>
      <c r="O39" s="198"/>
      <c r="P39" s="198"/>
      <c r="Q39" s="198"/>
      <c r="R39" s="121"/>
      <c r="S39" s="121"/>
      <c r="T39" s="121"/>
      <c r="U39" s="121"/>
      <c r="V39" s="121"/>
      <c r="W39" s="121"/>
      <c r="X39" s="121"/>
      <c r="Y39" s="121"/>
      <c r="Z39" s="121"/>
      <c r="AJ39" s="260"/>
      <c r="AK39" s="260"/>
      <c r="AL39" s="260"/>
      <c r="AM39" s="260"/>
      <c r="AN39" s="260"/>
    </row>
    <row r="40" spans="1:40" x14ac:dyDescent="0.3">
      <c r="A40" s="262"/>
      <c r="B40" s="350" t="s">
        <v>2098</v>
      </c>
      <c r="C40" s="351"/>
      <c r="D40" s="351"/>
      <c r="E40" s="351"/>
      <c r="F40" s="351"/>
      <c r="G40" s="351"/>
      <c r="H40" s="351"/>
      <c r="I40" s="197"/>
      <c r="J40" s="198"/>
      <c r="K40" s="198"/>
      <c r="L40" s="198"/>
      <c r="M40" s="198"/>
      <c r="N40" s="198"/>
      <c r="O40" s="198"/>
      <c r="P40" s="198"/>
      <c r="Q40" s="198"/>
      <c r="R40" s="121"/>
      <c r="S40" s="121"/>
      <c r="T40" s="121"/>
      <c r="U40" s="121"/>
      <c r="V40" s="121"/>
      <c r="W40" s="121"/>
      <c r="X40" s="121"/>
      <c r="Y40" s="121"/>
      <c r="Z40" s="121"/>
      <c r="AJ40" s="260"/>
      <c r="AK40" s="260"/>
      <c r="AL40" s="260"/>
      <c r="AM40" s="260"/>
      <c r="AN40" s="260"/>
    </row>
    <row r="41" spans="1:40" ht="43.2" x14ac:dyDescent="0.3">
      <c r="A41" s="262"/>
      <c r="B41" s="256" t="s">
        <v>2033</v>
      </c>
      <c r="C41" s="153" t="s">
        <v>2096</v>
      </c>
      <c r="D41" s="840" t="s">
        <v>2082</v>
      </c>
      <c r="E41" s="231" t="s">
        <v>1885</v>
      </c>
      <c r="F41" s="231" t="s">
        <v>1886</v>
      </c>
      <c r="G41" s="152" t="s">
        <v>2054</v>
      </c>
      <c r="H41" s="152" t="s">
        <v>2055</v>
      </c>
      <c r="I41" s="231" t="s">
        <v>2056</v>
      </c>
      <c r="J41" s="198"/>
      <c r="K41" s="198"/>
      <c r="L41" s="198"/>
      <c r="M41" s="198"/>
      <c r="N41" s="198"/>
      <c r="O41" s="198"/>
      <c r="P41" s="198"/>
      <c r="Q41" s="198"/>
      <c r="R41" s="121"/>
      <c r="S41" s="121"/>
      <c r="T41" s="121"/>
      <c r="U41" s="121"/>
      <c r="V41" s="121"/>
      <c r="W41" s="121"/>
      <c r="X41" s="121"/>
      <c r="Y41" s="121"/>
      <c r="Z41" s="121"/>
      <c r="AJ41" s="260"/>
      <c r="AK41" s="260"/>
      <c r="AL41" s="260"/>
      <c r="AM41" s="260"/>
      <c r="AN41" s="260"/>
    </row>
    <row r="42" spans="1:40" x14ac:dyDescent="0.3">
      <c r="A42" s="262"/>
      <c r="B42" s="312" t="str">
        <f>B33</f>
        <v xml:space="preserve">Durvalumab with tremelimumab </v>
      </c>
      <c r="C42" s="914">
        <f>'Capacity inputs'!G$15</f>
        <v>0</v>
      </c>
      <c r="D42" s="116">
        <f>'Financial impact (cash)'!D13*$C42</f>
        <v>0</v>
      </c>
      <c r="E42" s="116">
        <f>'Financial impact (cash)'!E13*$C42</f>
        <v>0</v>
      </c>
      <c r="F42" s="116">
        <f>'Financial impact (cash)'!F13*$C42</f>
        <v>0</v>
      </c>
      <c r="G42" s="116">
        <f>'Financial impact (cash)'!G13*$C42</f>
        <v>0</v>
      </c>
      <c r="H42" s="116">
        <f>'Financial impact (cash)'!H13*$C42</f>
        <v>0</v>
      </c>
      <c r="I42" s="116">
        <f>'Financial impact (cash)'!I13*$C42</f>
        <v>0</v>
      </c>
      <c r="J42" s="198"/>
      <c r="K42" s="198"/>
      <c r="L42" s="198"/>
      <c r="M42" s="198"/>
      <c r="N42" s="198"/>
      <c r="O42" s="198"/>
      <c r="P42" s="198"/>
      <c r="Q42" s="198"/>
      <c r="R42" s="121"/>
      <c r="S42" s="121"/>
      <c r="T42" s="121"/>
      <c r="U42" s="121"/>
      <c r="V42" s="121"/>
      <c r="W42" s="121"/>
      <c r="X42" s="121"/>
      <c r="Y42" s="121"/>
      <c r="Z42" s="121"/>
      <c r="AJ42" s="260"/>
      <c r="AK42" s="260"/>
      <c r="AL42" s="260"/>
      <c r="AM42" s="260"/>
      <c r="AN42" s="260"/>
    </row>
    <row r="43" spans="1:40" x14ac:dyDescent="0.3">
      <c r="A43" s="262"/>
      <c r="B43" s="312" t="str">
        <f>B34</f>
        <v xml:space="preserve">Atezolizumab with bevacizumab </v>
      </c>
      <c r="C43" s="137">
        <f>'Capacity inputs'!H$15</f>
        <v>0</v>
      </c>
      <c r="D43" s="116">
        <f>'Financial impact (cash)'!D14*$C43</f>
        <v>0</v>
      </c>
      <c r="E43" s="116">
        <f>'Financial impact (cash)'!E14*$C43</f>
        <v>0</v>
      </c>
      <c r="F43" s="116">
        <f>'Financial impact (cash)'!F14*$C43</f>
        <v>0</v>
      </c>
      <c r="G43" s="116">
        <f>'Financial impact (cash)'!G14*$C43</f>
        <v>0</v>
      </c>
      <c r="H43" s="116">
        <f>'Financial impact (cash)'!H14*$C43</f>
        <v>0</v>
      </c>
      <c r="I43" s="116">
        <f>'Financial impact (cash)'!I14*$C43</f>
        <v>0</v>
      </c>
      <c r="J43" s="198"/>
      <c r="K43" s="198"/>
      <c r="L43" s="198"/>
      <c r="M43" s="198"/>
      <c r="N43" s="198"/>
      <c r="O43" s="198"/>
      <c r="P43" s="198"/>
      <c r="Q43" s="198"/>
      <c r="R43" s="121"/>
      <c r="S43" s="121"/>
      <c r="T43" s="121"/>
      <c r="U43" s="121"/>
      <c r="V43" s="121"/>
      <c r="W43" s="121"/>
      <c r="X43" s="121"/>
      <c r="Y43" s="121"/>
      <c r="Z43" s="121"/>
      <c r="AJ43" s="260"/>
      <c r="AK43" s="260"/>
      <c r="AL43" s="260"/>
      <c r="AM43" s="260"/>
      <c r="AN43" s="260"/>
    </row>
    <row r="44" spans="1:40" x14ac:dyDescent="0.3">
      <c r="A44" s="262"/>
      <c r="B44" s="312" t="str">
        <f>B35</f>
        <v xml:space="preserve">Lenvatinib </v>
      </c>
      <c r="C44" s="137">
        <f>'Capacity inputs'!I$15</f>
        <v>0</v>
      </c>
      <c r="D44" s="116">
        <f>'Financial impact (cash)'!D15*$C44</f>
        <v>0</v>
      </c>
      <c r="E44" s="116">
        <f>'Financial impact (cash)'!E15*$C44</f>
        <v>0</v>
      </c>
      <c r="F44" s="116">
        <f>'Financial impact (cash)'!F15*$C44</f>
        <v>0</v>
      </c>
      <c r="G44" s="116">
        <f>'Financial impact (cash)'!G15*$C44</f>
        <v>0</v>
      </c>
      <c r="H44" s="116">
        <f>'Financial impact (cash)'!H15*$C44</f>
        <v>0</v>
      </c>
      <c r="I44" s="116">
        <f>'Financial impact (cash)'!I15*$C44</f>
        <v>0</v>
      </c>
      <c r="J44" s="198"/>
      <c r="K44" s="198"/>
      <c r="L44" s="198"/>
      <c r="M44" s="198"/>
      <c r="N44" s="198"/>
      <c r="O44" s="198"/>
      <c r="P44" s="198"/>
      <c r="Q44" s="198"/>
      <c r="R44" s="121"/>
      <c r="S44" s="121"/>
      <c r="T44" s="121"/>
      <c r="U44" s="121"/>
      <c r="V44" s="121"/>
      <c r="W44" s="121"/>
      <c r="X44" s="121"/>
      <c r="Y44" s="121"/>
      <c r="Z44" s="121"/>
      <c r="AJ44" s="260"/>
      <c r="AK44" s="260"/>
      <c r="AL44" s="260"/>
      <c r="AM44" s="260"/>
      <c r="AN44" s="260"/>
    </row>
    <row r="45" spans="1:40" x14ac:dyDescent="0.3">
      <c r="A45" s="262"/>
      <c r="B45" s="312" t="str">
        <f>B36</f>
        <v>Sorafenib</v>
      </c>
      <c r="C45" s="137">
        <f>'Capacity inputs'!J$15</f>
        <v>0</v>
      </c>
      <c r="D45" s="116">
        <f>'Financial impact (cash)'!D16*$C45</f>
        <v>0</v>
      </c>
      <c r="E45" s="116">
        <f>'Financial impact (cash)'!E16*$C45</f>
        <v>0</v>
      </c>
      <c r="F45" s="116">
        <f>'Financial impact (cash)'!F16*$C45</f>
        <v>0</v>
      </c>
      <c r="G45" s="116">
        <f>'Financial impact (cash)'!G16*$C45</f>
        <v>0</v>
      </c>
      <c r="H45" s="116">
        <f>'Financial impact (cash)'!H16*$C45</f>
        <v>0</v>
      </c>
      <c r="I45" s="116">
        <f>'Financial impact (cash)'!I16*$C45</f>
        <v>0</v>
      </c>
      <c r="J45" s="198"/>
      <c r="K45" s="198"/>
      <c r="L45" s="198"/>
      <c r="M45" s="198"/>
      <c r="N45" s="198"/>
      <c r="O45" s="198"/>
      <c r="P45" s="198"/>
      <c r="Q45" s="198"/>
      <c r="R45" s="121"/>
      <c r="S45" s="121"/>
      <c r="T45" s="121"/>
      <c r="U45" s="121"/>
      <c r="V45" s="121"/>
      <c r="W45" s="121"/>
      <c r="X45" s="121"/>
      <c r="Y45" s="121"/>
      <c r="Z45" s="121"/>
      <c r="AJ45" s="260"/>
      <c r="AK45" s="260"/>
      <c r="AL45" s="260"/>
      <c r="AM45" s="260"/>
      <c r="AN45" s="260"/>
    </row>
    <row r="46" spans="1:40" x14ac:dyDescent="0.3">
      <c r="A46" s="454"/>
      <c r="B46" s="443"/>
      <c r="C46" s="291"/>
      <c r="D46" s="168">
        <f t="shared" ref="D46:I46" si="27">SUM(D42:D45)</f>
        <v>0</v>
      </c>
      <c r="E46" s="168">
        <f>SUM(E42:E45)</f>
        <v>0</v>
      </c>
      <c r="F46" s="168">
        <f t="shared" si="27"/>
        <v>0</v>
      </c>
      <c r="G46" s="168">
        <f t="shared" si="27"/>
        <v>0</v>
      </c>
      <c r="H46" s="168">
        <f t="shared" si="27"/>
        <v>0</v>
      </c>
      <c r="I46" s="168">
        <f t="shared" si="27"/>
        <v>0</v>
      </c>
      <c r="J46" s="462"/>
      <c r="K46" s="198"/>
      <c r="L46" s="198"/>
      <c r="M46" s="198"/>
      <c r="N46" s="198"/>
      <c r="O46" s="198"/>
      <c r="P46" s="198"/>
      <c r="Q46" s="198"/>
      <c r="R46" s="121"/>
      <c r="S46" s="121"/>
      <c r="T46" s="121"/>
      <c r="U46" s="121"/>
      <c r="V46" s="121"/>
      <c r="W46" s="121"/>
      <c r="X46" s="121"/>
      <c r="Y46" s="121"/>
      <c r="Z46" s="121"/>
      <c r="AJ46" s="260"/>
      <c r="AK46" s="260"/>
      <c r="AL46" s="260"/>
      <c r="AM46" s="260"/>
      <c r="AN46" s="260"/>
    </row>
    <row r="47" spans="1:40" x14ac:dyDescent="0.3">
      <c r="A47" s="454"/>
      <c r="B47" s="232"/>
      <c r="C47" s="232"/>
      <c r="D47" s="259" t="s">
        <v>2099</v>
      </c>
      <c r="E47" s="168">
        <f>E46-$D$46</f>
        <v>0</v>
      </c>
      <c r="F47" s="168">
        <f t="shared" ref="F47:I47" si="28">F46-$D$46</f>
        <v>0</v>
      </c>
      <c r="G47" s="168">
        <f t="shared" si="28"/>
        <v>0</v>
      </c>
      <c r="H47" s="168">
        <f t="shared" si="28"/>
        <v>0</v>
      </c>
      <c r="I47" s="168">
        <f t="shared" si="28"/>
        <v>0</v>
      </c>
      <c r="J47" s="462"/>
      <c r="K47" s="198"/>
      <c r="L47" s="198"/>
      <c r="M47" s="198"/>
      <c r="N47" s="198"/>
      <c r="O47" s="198"/>
      <c r="P47" s="198"/>
      <c r="Q47" s="198"/>
      <c r="R47" s="121"/>
      <c r="S47" s="121"/>
      <c r="T47" s="121"/>
      <c r="U47" s="121"/>
      <c r="V47" s="121"/>
      <c r="W47" s="121"/>
      <c r="X47" s="121"/>
      <c r="Y47" s="121"/>
      <c r="Z47" s="121"/>
      <c r="AJ47" s="260"/>
      <c r="AK47" s="260"/>
      <c r="AL47" s="260"/>
      <c r="AM47" s="260"/>
      <c r="AN47" s="260"/>
    </row>
    <row r="48" spans="1:40" x14ac:dyDescent="0.3">
      <c r="A48" s="262"/>
      <c r="B48" s="455"/>
      <c r="C48" s="456"/>
      <c r="D48" s="457"/>
      <c r="E48" s="458"/>
      <c r="F48" s="262"/>
      <c r="G48" s="262"/>
      <c r="H48" s="262"/>
      <c r="I48" s="262"/>
      <c r="J48" s="198"/>
      <c r="K48" s="198"/>
      <c r="L48" s="198"/>
      <c r="M48" s="198"/>
      <c r="N48" s="198"/>
      <c r="O48" s="198"/>
      <c r="P48" s="198"/>
      <c r="Q48" s="198"/>
      <c r="R48" s="121"/>
      <c r="S48" s="121"/>
      <c r="T48" s="121"/>
      <c r="U48" s="121"/>
      <c r="V48" s="121"/>
      <c r="W48" s="121"/>
      <c r="X48" s="121"/>
      <c r="Y48" s="121"/>
      <c r="Z48" s="121"/>
      <c r="AJ48" s="260"/>
      <c r="AK48" s="260"/>
      <c r="AL48" s="260"/>
      <c r="AM48" s="260"/>
      <c r="AN48" s="260"/>
    </row>
    <row r="49" spans="1:40" x14ac:dyDescent="0.3">
      <c r="A49" s="268"/>
      <c r="B49" s="289" t="s">
        <v>2100</v>
      </c>
      <c r="C49" s="269"/>
      <c r="D49" s="269"/>
      <c r="E49" s="270"/>
      <c r="F49" s="271"/>
      <c r="G49" s="272"/>
      <c r="H49" s="272"/>
      <c r="I49" s="376"/>
      <c r="J49" s="377"/>
      <c r="K49" s="268"/>
      <c r="L49" s="268"/>
      <c r="M49" s="268"/>
      <c r="N49" s="268"/>
      <c r="O49" s="268"/>
      <c r="P49" s="268"/>
      <c r="Q49" s="194"/>
      <c r="R49" s="121"/>
      <c r="S49" s="121"/>
      <c r="V49" s="121"/>
    </row>
    <row r="50" spans="1:40" x14ac:dyDescent="0.3">
      <c r="A50" s="276"/>
      <c r="B50" s="343" t="s">
        <v>2101</v>
      </c>
      <c r="C50" s="344"/>
      <c r="D50" s="344"/>
      <c r="E50" s="344"/>
      <c r="F50" s="344"/>
      <c r="G50" s="344"/>
      <c r="H50" s="344"/>
      <c r="I50" s="344"/>
      <c r="J50" s="374"/>
      <c r="K50" s="194"/>
      <c r="L50" s="194"/>
      <c r="M50" s="194"/>
      <c r="N50" s="194"/>
      <c r="O50" s="194"/>
      <c r="P50" s="194"/>
      <c r="Q50" s="194"/>
      <c r="R50" s="121"/>
      <c r="S50" s="121"/>
      <c r="T50" s="121"/>
      <c r="U50" s="121"/>
      <c r="V50" s="121"/>
      <c r="W50" s="121"/>
      <c r="X50" s="121"/>
      <c r="Y50" s="121"/>
      <c r="Z50" s="121"/>
      <c r="AJ50" s="260"/>
      <c r="AK50" s="260"/>
      <c r="AL50" s="260"/>
      <c r="AM50" s="260"/>
      <c r="AN50" s="260"/>
    </row>
    <row r="51" spans="1:40" ht="43.2" x14ac:dyDescent="0.3">
      <c r="A51" s="276"/>
      <c r="B51" s="287" t="s">
        <v>2033</v>
      </c>
      <c r="C51" s="153" t="s">
        <v>2023</v>
      </c>
      <c r="D51" s="840" t="s">
        <v>2082</v>
      </c>
      <c r="E51" s="231" t="s">
        <v>1885</v>
      </c>
      <c r="F51" s="231" t="s">
        <v>1886</v>
      </c>
      <c r="G51" s="152" t="s">
        <v>2054</v>
      </c>
      <c r="H51" s="152" t="s">
        <v>2055</v>
      </c>
      <c r="I51" s="231" t="s">
        <v>2056</v>
      </c>
      <c r="J51" s="374"/>
      <c r="K51" s="194"/>
      <c r="L51" s="194"/>
      <c r="M51" s="194"/>
      <c r="N51" s="194"/>
      <c r="O51" s="194"/>
      <c r="P51" s="194"/>
      <c r="Q51" s="194"/>
      <c r="R51" s="121"/>
      <c r="S51" s="121"/>
      <c r="T51" s="121"/>
      <c r="U51" s="121"/>
      <c r="V51" s="121"/>
      <c r="W51" s="121"/>
      <c r="X51" s="121"/>
      <c r="Y51" s="121"/>
      <c r="Z51" s="121"/>
      <c r="AJ51" s="260"/>
      <c r="AK51" s="260"/>
      <c r="AL51" s="260"/>
      <c r="AM51" s="260"/>
      <c r="AN51" s="260"/>
    </row>
    <row r="52" spans="1:40" x14ac:dyDescent="0.3">
      <c r="A52" s="276"/>
      <c r="B52" s="916" t="s">
        <v>2249</v>
      </c>
      <c r="C52" s="855">
        <f>'Inputs and population'!G45</f>
        <v>0</v>
      </c>
      <c r="D52" s="116">
        <f>'Inputs and population'!K35*$C52</f>
        <v>0</v>
      </c>
      <c r="E52" s="116">
        <f>'Inputs and population'!L35*$C52</f>
        <v>0</v>
      </c>
      <c r="F52" s="116">
        <f>'Inputs and population'!M35*$C52</f>
        <v>0</v>
      </c>
      <c r="G52" s="116">
        <f>'Inputs and population'!N35*$C52</f>
        <v>0</v>
      </c>
      <c r="H52" s="116">
        <f>'Inputs and population'!O35*$C52</f>
        <v>0</v>
      </c>
      <c r="I52" s="116">
        <f>'Inputs and population'!P35*$C52</f>
        <v>0</v>
      </c>
      <c r="J52" s="374"/>
      <c r="K52" s="194"/>
      <c r="L52" s="194"/>
      <c r="M52" s="194"/>
      <c r="N52" s="194"/>
      <c r="O52" s="194"/>
      <c r="P52" s="194"/>
      <c r="Q52" s="194"/>
      <c r="R52" s="121"/>
      <c r="S52" s="121"/>
      <c r="T52" s="121"/>
      <c r="U52" s="121"/>
      <c r="V52" s="121"/>
      <c r="W52" s="121"/>
      <c r="X52" s="121"/>
      <c r="Y52" s="121"/>
      <c r="Z52" s="121"/>
      <c r="AJ52" s="260"/>
      <c r="AK52" s="260"/>
      <c r="AL52" s="260"/>
      <c r="AM52" s="260"/>
      <c r="AN52" s="260"/>
    </row>
    <row r="53" spans="1:40" x14ac:dyDescent="0.3">
      <c r="A53" s="276"/>
      <c r="B53" s="916" t="s">
        <v>2213</v>
      </c>
      <c r="C53" s="855">
        <f>'Inputs and population'!G47</f>
        <v>9.6999999999999993</v>
      </c>
      <c r="D53" s="116">
        <f>'Inputs and population'!K36*$C53</f>
        <v>6625.665378920321</v>
      </c>
      <c r="E53" s="116">
        <f>'Inputs and population'!L36*$C53</f>
        <v>6395.810820666924</v>
      </c>
      <c r="F53" s="116">
        <f>'Inputs and population'!M36*$C53</f>
        <v>6161.4030210293304</v>
      </c>
      <c r="G53" s="116">
        <f>'Inputs and population'!N36*$C53</f>
        <v>6215.566802714131</v>
      </c>
      <c r="H53" s="116">
        <f>'Inputs and population'!O36*$C53</f>
        <v>6270.2067284259329</v>
      </c>
      <c r="I53" s="116">
        <f>'Inputs and population'!P36*$C53</f>
        <v>6325.3269838609203</v>
      </c>
      <c r="J53" s="374"/>
      <c r="K53" s="194"/>
      <c r="L53" s="194"/>
      <c r="M53" s="194"/>
      <c r="N53" s="194"/>
      <c r="O53" s="194"/>
      <c r="P53" s="194"/>
      <c r="Q53" s="194"/>
      <c r="R53" s="121"/>
      <c r="S53" s="121"/>
      <c r="T53" s="121"/>
      <c r="U53" s="121"/>
      <c r="V53" s="121"/>
      <c r="W53" s="121"/>
      <c r="X53" s="121"/>
      <c r="Y53" s="121"/>
      <c r="Z53" s="121"/>
      <c r="AJ53" s="260"/>
      <c r="AK53" s="260"/>
      <c r="AL53" s="260"/>
      <c r="AM53" s="260"/>
      <c r="AN53" s="260"/>
    </row>
    <row r="54" spans="1:40" x14ac:dyDescent="0.3">
      <c r="A54" s="276"/>
      <c r="B54" s="312" t="str">
        <f>'Inputs and population'!C49</f>
        <v>Lenvatinib (oral)</v>
      </c>
      <c r="C54" s="855">
        <f>'Inputs and population'!G49</f>
        <v>8.5</v>
      </c>
      <c r="D54" s="116">
        <f>'Inputs and population'!K37*$C54</f>
        <v>1901.9640218550162</v>
      </c>
      <c r="E54" s="116">
        <f>'Inputs and population'!L37*$C54</f>
        <v>1666.2254436677556</v>
      </c>
      <c r="F54" s="116">
        <f>'Inputs and population'!M37*$C54</f>
        <v>1426.1952139709988</v>
      </c>
      <c r="G54" s="116">
        <f>'Inputs and population'!N37*$C54</f>
        <v>1438.7326386364166</v>
      </c>
      <c r="H54" s="116">
        <f>'Inputs and population'!O37*$C54</f>
        <v>1451.3802775387785</v>
      </c>
      <c r="I54" s="116">
        <f>'Inputs and population'!P37*$C54</f>
        <v>1464.1390995515455</v>
      </c>
      <c r="J54" s="374"/>
      <c r="K54" s="194"/>
      <c r="L54" s="194"/>
      <c r="M54" s="194"/>
      <c r="N54" s="194"/>
      <c r="O54" s="194"/>
      <c r="P54" s="194"/>
      <c r="Q54" s="194"/>
      <c r="R54" s="121"/>
      <c r="S54" s="121"/>
      <c r="T54" s="121"/>
      <c r="U54" s="121"/>
      <c r="V54" s="121"/>
      <c r="W54" s="121"/>
      <c r="X54" s="121"/>
      <c r="Y54" s="121"/>
      <c r="Z54" s="121"/>
      <c r="AJ54" s="260"/>
      <c r="AK54" s="260"/>
      <c r="AL54" s="260"/>
      <c r="AM54" s="260"/>
      <c r="AN54" s="260"/>
    </row>
    <row r="55" spans="1:40" x14ac:dyDescent="0.3">
      <c r="A55" s="276"/>
      <c r="B55" s="312" t="str">
        <f>'Inputs and population'!C50</f>
        <v>Sorafenib (oral)</v>
      </c>
      <c r="C55" s="855">
        <f>'Inputs and population'!G50</f>
        <v>0</v>
      </c>
      <c r="D55" s="116">
        <f>'Inputs and population'!K38*$C55</f>
        <v>0</v>
      </c>
      <c r="E55" s="116">
        <f>'Inputs and population'!L38*$C55</f>
        <v>0</v>
      </c>
      <c r="F55" s="116">
        <f>'Inputs and population'!M38*$C55</f>
        <v>0</v>
      </c>
      <c r="G55" s="116">
        <f>'Inputs and population'!N38*$C55</f>
        <v>0</v>
      </c>
      <c r="H55" s="116">
        <f>'Inputs and population'!O38*$C55</f>
        <v>0</v>
      </c>
      <c r="I55" s="116">
        <f>'Inputs and population'!P38*$C55</f>
        <v>0</v>
      </c>
      <c r="J55" s="374"/>
      <c r="K55" s="194"/>
      <c r="L55" s="194"/>
      <c r="M55" s="194"/>
      <c r="N55" s="194"/>
      <c r="O55" s="194"/>
      <c r="P55" s="194"/>
      <c r="Q55" s="194"/>
      <c r="R55" s="121"/>
      <c r="S55" s="121"/>
      <c r="T55" s="121"/>
      <c r="U55" s="121"/>
      <c r="V55" s="121"/>
      <c r="W55" s="121"/>
      <c r="X55" s="121"/>
      <c r="Y55" s="121"/>
      <c r="Z55" s="121"/>
      <c r="AJ55" s="260"/>
      <c r="AK55" s="260"/>
      <c r="AL55" s="260"/>
      <c r="AM55" s="260"/>
      <c r="AN55" s="260"/>
    </row>
    <row r="56" spans="1:40" x14ac:dyDescent="0.3">
      <c r="A56" s="276"/>
      <c r="B56" s="443"/>
      <c r="C56" s="291"/>
      <c r="D56" s="168">
        <f>SUM(D52:D55)</f>
        <v>8527.6294007753368</v>
      </c>
      <c r="E56" s="168">
        <f t="shared" ref="E56:I56" si="29">SUM(E52:E55)</f>
        <v>8062.0362643346798</v>
      </c>
      <c r="F56" s="168">
        <f t="shared" si="29"/>
        <v>7587.5982350003287</v>
      </c>
      <c r="G56" s="168">
        <f t="shared" si="29"/>
        <v>7654.2994413505476</v>
      </c>
      <c r="H56" s="168">
        <f>SUM(H52:H55)</f>
        <v>7721.5870059647114</v>
      </c>
      <c r="I56" s="168">
        <f t="shared" si="29"/>
        <v>7789.4660834124661</v>
      </c>
      <c r="J56" s="374"/>
      <c r="K56" s="194"/>
      <c r="L56" s="194"/>
      <c r="M56" s="194"/>
      <c r="N56" s="194"/>
      <c r="O56" s="194"/>
      <c r="P56" s="194"/>
      <c r="Q56" s="194"/>
      <c r="R56" s="121"/>
      <c r="S56" s="121"/>
      <c r="T56" s="121"/>
      <c r="U56" s="121"/>
      <c r="V56" s="121"/>
      <c r="W56" s="121"/>
      <c r="X56" s="121"/>
      <c r="Y56" s="121"/>
      <c r="Z56" s="121"/>
      <c r="AJ56" s="260"/>
      <c r="AK56" s="260"/>
      <c r="AL56" s="260"/>
      <c r="AM56" s="260"/>
      <c r="AN56" s="260"/>
    </row>
    <row r="57" spans="1:40" x14ac:dyDescent="0.3">
      <c r="A57" s="276"/>
      <c r="B57" s="232"/>
      <c r="C57" s="232"/>
      <c r="D57" s="710" t="s">
        <v>2102</v>
      </c>
      <c r="E57" s="168">
        <f>E56-$D$56</f>
        <v>-465.59313644065696</v>
      </c>
      <c r="F57" s="168">
        <f>F56-$D$56</f>
        <v>-940.03116577500805</v>
      </c>
      <c r="G57" s="168">
        <f>G56-$D$56</f>
        <v>-873.32995942478919</v>
      </c>
      <c r="H57" s="168">
        <f>H56-$D$56</f>
        <v>-806.04239481062541</v>
      </c>
      <c r="I57" s="168">
        <f>I56-$D$56</f>
        <v>-738.16331736287066</v>
      </c>
      <c r="J57" s="374"/>
      <c r="K57" s="194"/>
      <c r="L57" s="194"/>
      <c r="M57" s="194"/>
      <c r="N57" s="194"/>
      <c r="O57" s="194"/>
      <c r="P57" s="194"/>
      <c r="Q57" s="194"/>
      <c r="R57" s="121"/>
      <c r="S57" s="121"/>
      <c r="T57" s="121"/>
      <c r="U57" s="121"/>
      <c r="V57" s="121"/>
      <c r="W57" s="121"/>
      <c r="X57" s="121"/>
      <c r="Y57" s="121"/>
      <c r="Z57" s="121"/>
      <c r="AJ57" s="260"/>
      <c r="AK57" s="260"/>
      <c r="AL57" s="260"/>
      <c r="AM57" s="260"/>
      <c r="AN57" s="260"/>
    </row>
    <row r="58" spans="1:40" x14ac:dyDescent="0.3">
      <c r="A58" s="194"/>
      <c r="B58" s="194"/>
      <c r="C58" s="194"/>
      <c r="D58" s="194"/>
      <c r="E58" s="194"/>
      <c r="F58" s="194"/>
      <c r="G58" s="194"/>
      <c r="H58" s="194"/>
      <c r="I58" s="194"/>
      <c r="J58" s="194"/>
      <c r="K58" s="194"/>
      <c r="L58" s="194"/>
      <c r="M58" s="194"/>
      <c r="N58" s="194"/>
      <c r="O58" s="194"/>
      <c r="P58" s="194"/>
      <c r="Q58" s="194"/>
      <c r="R58" s="121"/>
      <c r="S58" s="121"/>
      <c r="T58" s="121"/>
      <c r="U58" s="121"/>
      <c r="V58" s="121"/>
      <c r="W58" s="121"/>
      <c r="X58" s="121"/>
      <c r="Y58" s="121"/>
      <c r="Z58" s="121"/>
      <c r="AJ58" s="260"/>
      <c r="AK58" s="260"/>
      <c r="AL58" s="260"/>
      <c r="AM58" s="260"/>
      <c r="AN58" s="260"/>
    </row>
    <row r="59" spans="1:40" x14ac:dyDescent="0.3">
      <c r="A59" s="276"/>
      <c r="B59" s="343" t="s">
        <v>2103</v>
      </c>
      <c r="C59" s="344"/>
      <c r="D59" s="344"/>
      <c r="E59" s="344"/>
      <c r="F59" s="344"/>
      <c r="G59" s="344"/>
      <c r="H59" s="344"/>
      <c r="I59" s="344"/>
      <c r="J59" s="374"/>
      <c r="K59" s="194"/>
      <c r="L59" s="194"/>
      <c r="M59" s="194"/>
      <c r="N59" s="194"/>
      <c r="O59" s="194"/>
      <c r="P59" s="194"/>
      <c r="Q59" s="194"/>
      <c r="R59" s="121"/>
      <c r="S59" s="121"/>
      <c r="T59" s="121"/>
      <c r="U59" s="121"/>
      <c r="V59" s="121"/>
      <c r="W59" s="121"/>
      <c r="X59" s="121"/>
      <c r="Y59" s="121"/>
      <c r="Z59" s="121"/>
      <c r="AJ59" s="260"/>
      <c r="AK59" s="260"/>
      <c r="AL59" s="260"/>
      <c r="AM59" s="260"/>
      <c r="AN59" s="260"/>
    </row>
    <row r="60" spans="1:40" ht="43.2" x14ac:dyDescent="0.3">
      <c r="A60" s="276"/>
      <c r="B60" s="287" t="s">
        <v>2033</v>
      </c>
      <c r="C60" s="548" t="s">
        <v>2037</v>
      </c>
      <c r="D60" s="840" t="s">
        <v>2082</v>
      </c>
      <c r="E60" s="231" t="s">
        <v>1885</v>
      </c>
      <c r="F60" s="231" t="s">
        <v>1886</v>
      </c>
      <c r="G60" s="152" t="s">
        <v>2054</v>
      </c>
      <c r="H60" s="152" t="s">
        <v>2055</v>
      </c>
      <c r="I60" s="231" t="s">
        <v>2056</v>
      </c>
      <c r="J60" s="374"/>
      <c r="K60" s="194"/>
      <c r="L60" s="194"/>
      <c r="M60" s="194"/>
      <c r="N60" s="194"/>
      <c r="O60" s="194"/>
      <c r="P60" s="194"/>
      <c r="Q60" s="194"/>
      <c r="R60" s="121"/>
      <c r="S60" s="121"/>
      <c r="T60" s="121"/>
      <c r="U60" s="121"/>
      <c r="V60" s="121"/>
      <c r="W60" s="121"/>
      <c r="X60" s="121"/>
      <c r="Y60" s="121"/>
      <c r="Z60" s="121"/>
      <c r="AJ60" s="260"/>
      <c r="AK60" s="260"/>
      <c r="AL60" s="260"/>
      <c r="AM60" s="260"/>
      <c r="AN60" s="260"/>
    </row>
    <row r="61" spans="1:40" x14ac:dyDescent="0.3">
      <c r="A61" s="276"/>
      <c r="B61" s="917" t="s">
        <v>2249</v>
      </c>
      <c r="C61" s="856">
        <f>'Unit costs'!N33</f>
        <v>1</v>
      </c>
      <c r="D61" s="116">
        <f t="shared" ref="D61:I64" si="30">$C61*D52</f>
        <v>0</v>
      </c>
      <c r="E61" s="116">
        <f>$C61*E52</f>
        <v>0</v>
      </c>
      <c r="F61" s="116">
        <f t="shared" si="30"/>
        <v>0</v>
      </c>
      <c r="G61" s="116">
        <f t="shared" si="30"/>
        <v>0</v>
      </c>
      <c r="H61" s="116">
        <f t="shared" si="30"/>
        <v>0</v>
      </c>
      <c r="I61" s="116">
        <f t="shared" si="30"/>
        <v>0</v>
      </c>
      <c r="J61" s="374"/>
      <c r="K61" s="194"/>
      <c r="L61" s="194"/>
      <c r="M61" s="194"/>
      <c r="N61" s="194"/>
      <c r="O61" s="194"/>
      <c r="P61" s="194"/>
      <c r="Q61" s="194"/>
      <c r="R61" s="121"/>
      <c r="S61" s="121"/>
      <c r="T61" s="121"/>
      <c r="U61" s="121"/>
      <c r="V61" s="121"/>
      <c r="W61" s="121"/>
      <c r="X61" s="121"/>
      <c r="Y61" s="121"/>
      <c r="Z61" s="121"/>
      <c r="AJ61" s="260"/>
      <c r="AK61" s="260"/>
      <c r="AL61" s="260"/>
      <c r="AM61" s="260"/>
      <c r="AN61" s="260"/>
    </row>
    <row r="62" spans="1:40" x14ac:dyDescent="0.3">
      <c r="A62" s="276"/>
      <c r="B62" s="917" t="s">
        <v>2213</v>
      </c>
      <c r="C62" s="856">
        <f>'Unit costs'!N50</f>
        <v>1</v>
      </c>
      <c r="D62" s="116">
        <f t="shared" si="30"/>
        <v>6625.665378920321</v>
      </c>
      <c r="E62" s="116">
        <f t="shared" si="30"/>
        <v>6395.810820666924</v>
      </c>
      <c r="F62" s="116">
        <f t="shared" si="30"/>
        <v>6161.4030210293304</v>
      </c>
      <c r="G62" s="116">
        <f>$C62*G53</f>
        <v>6215.566802714131</v>
      </c>
      <c r="H62" s="116">
        <f t="shared" si="30"/>
        <v>6270.2067284259329</v>
      </c>
      <c r="I62" s="116">
        <f t="shared" si="30"/>
        <v>6325.3269838609203</v>
      </c>
      <c r="J62" s="374"/>
      <c r="K62" s="194"/>
      <c r="L62" s="194"/>
      <c r="M62" s="194"/>
      <c r="N62" s="194"/>
      <c r="O62" s="194"/>
      <c r="P62" s="194"/>
      <c r="Q62" s="194"/>
      <c r="R62" s="121"/>
      <c r="S62" s="121"/>
      <c r="T62" s="121"/>
      <c r="U62" s="121"/>
      <c r="V62" s="121"/>
      <c r="W62" s="121"/>
      <c r="X62" s="121"/>
      <c r="Y62" s="121"/>
      <c r="Z62" s="121"/>
      <c r="AJ62" s="260"/>
      <c r="AK62" s="260"/>
      <c r="AL62" s="260"/>
      <c r="AM62" s="260"/>
      <c r="AN62" s="260"/>
    </row>
    <row r="63" spans="1:40" x14ac:dyDescent="0.3">
      <c r="A63" s="276"/>
      <c r="B63" s="311" t="str">
        <f>B54</f>
        <v>Lenvatinib (oral)</v>
      </c>
      <c r="C63" s="856">
        <f>'Unit costs'!N71</f>
        <v>1</v>
      </c>
      <c r="D63" s="116">
        <f t="shared" si="30"/>
        <v>1901.9640218550162</v>
      </c>
      <c r="E63" s="116">
        <f t="shared" si="30"/>
        <v>1666.2254436677556</v>
      </c>
      <c r="F63" s="116">
        <f t="shared" si="30"/>
        <v>1426.1952139709988</v>
      </c>
      <c r="G63" s="116">
        <f t="shared" si="30"/>
        <v>1438.7326386364166</v>
      </c>
      <c r="H63" s="116">
        <f t="shared" si="30"/>
        <v>1451.3802775387785</v>
      </c>
      <c r="I63" s="116">
        <f t="shared" si="30"/>
        <v>1464.1390995515455</v>
      </c>
      <c r="J63" s="374"/>
      <c r="K63" s="194"/>
      <c r="L63" s="194"/>
      <c r="M63" s="194"/>
      <c r="N63" s="194"/>
      <c r="O63" s="194"/>
      <c r="P63" s="194"/>
      <c r="Q63" s="194"/>
      <c r="R63" s="121"/>
      <c r="S63" s="121"/>
      <c r="T63" s="121"/>
      <c r="U63" s="121"/>
      <c r="V63" s="121"/>
      <c r="W63" s="121"/>
      <c r="X63" s="121"/>
      <c r="Y63" s="121"/>
      <c r="Z63" s="121"/>
      <c r="AJ63" s="260"/>
      <c r="AK63" s="260"/>
      <c r="AL63" s="260"/>
      <c r="AM63" s="260"/>
      <c r="AN63" s="260"/>
    </row>
    <row r="64" spans="1:40" x14ac:dyDescent="0.3">
      <c r="A64" s="276"/>
      <c r="B64" s="311" t="str">
        <f>B55</f>
        <v>Sorafenib (oral)</v>
      </c>
      <c r="C64" s="856">
        <f>'Unit costs'!N86</f>
        <v>1</v>
      </c>
      <c r="D64" s="116">
        <f t="shared" si="30"/>
        <v>0</v>
      </c>
      <c r="E64" s="116">
        <f t="shared" si="30"/>
        <v>0</v>
      </c>
      <c r="F64" s="116">
        <f t="shared" si="30"/>
        <v>0</v>
      </c>
      <c r="G64" s="116">
        <f t="shared" si="30"/>
        <v>0</v>
      </c>
      <c r="H64" s="116">
        <f t="shared" si="30"/>
        <v>0</v>
      </c>
      <c r="I64" s="116">
        <f t="shared" si="30"/>
        <v>0</v>
      </c>
      <c r="J64" s="374"/>
      <c r="K64" s="194"/>
      <c r="L64" s="194"/>
      <c r="M64" s="194"/>
      <c r="N64" s="194"/>
      <c r="O64" s="194"/>
      <c r="P64" s="194"/>
      <c r="Q64" s="194"/>
      <c r="R64" s="121"/>
      <c r="S64" s="121"/>
      <c r="T64" s="121"/>
      <c r="U64" s="121"/>
      <c r="V64" s="121"/>
      <c r="W64" s="121"/>
      <c r="X64" s="121"/>
      <c r="Y64" s="121"/>
      <c r="Z64" s="121"/>
      <c r="AJ64" s="260"/>
      <c r="AK64" s="260"/>
      <c r="AL64" s="260"/>
      <c r="AM64" s="260"/>
      <c r="AN64" s="260"/>
    </row>
    <row r="65" spans="1:40" x14ac:dyDescent="0.3">
      <c r="A65" s="276"/>
      <c r="B65" s="443"/>
      <c r="C65" s="291"/>
      <c r="D65" s="168">
        <f>SUM(D61:D62)</f>
        <v>6625.665378920321</v>
      </c>
      <c r="E65" s="168">
        <f t="shared" ref="E65:I65" si="31">SUM(E61:E62)</f>
        <v>6395.810820666924</v>
      </c>
      <c r="F65" s="168">
        <f t="shared" si="31"/>
        <v>6161.4030210293304</v>
      </c>
      <c r="G65" s="168">
        <f t="shared" si="31"/>
        <v>6215.566802714131</v>
      </c>
      <c r="H65" s="168">
        <f t="shared" si="31"/>
        <v>6270.2067284259329</v>
      </c>
      <c r="I65" s="168">
        <f t="shared" si="31"/>
        <v>6325.3269838609203</v>
      </c>
      <c r="J65" s="374"/>
      <c r="K65" s="194"/>
      <c r="L65" s="194"/>
      <c r="M65" s="194"/>
      <c r="N65" s="194"/>
      <c r="O65" s="194"/>
      <c r="P65" s="194"/>
      <c r="Q65" s="194"/>
      <c r="R65" s="121"/>
      <c r="S65" s="121"/>
      <c r="T65" s="121"/>
      <c r="U65" s="121"/>
      <c r="V65" s="121"/>
      <c r="W65" s="121"/>
      <c r="X65" s="121"/>
      <c r="Y65" s="121"/>
      <c r="Z65" s="121"/>
      <c r="AJ65" s="260"/>
      <c r="AK65" s="260"/>
      <c r="AL65" s="260"/>
      <c r="AM65" s="260"/>
      <c r="AN65" s="260"/>
    </row>
    <row r="66" spans="1:40" x14ac:dyDescent="0.3">
      <c r="A66" s="276"/>
      <c r="B66" s="232"/>
      <c r="C66" s="232"/>
      <c r="D66" s="259" t="s">
        <v>2104</v>
      </c>
      <c r="E66" s="168">
        <f>E65-D65</f>
        <v>-229.85455825339704</v>
      </c>
      <c r="F66" s="168">
        <f>F65-$D$65</f>
        <v>-464.26235789099064</v>
      </c>
      <c r="G66" s="168">
        <f t="shared" ref="G66:I66" si="32">G65-$D$65</f>
        <v>-410.09857620619005</v>
      </c>
      <c r="H66" s="168">
        <f t="shared" si="32"/>
        <v>-355.45865049438817</v>
      </c>
      <c r="I66" s="168">
        <f t="shared" si="32"/>
        <v>-300.33839505940068</v>
      </c>
      <c r="J66" s="374"/>
      <c r="K66" s="194"/>
      <c r="L66" s="194"/>
      <c r="M66" s="194"/>
      <c r="N66" s="194"/>
      <c r="O66" s="194"/>
      <c r="P66" s="194"/>
      <c r="Q66" s="194"/>
      <c r="R66" s="121"/>
      <c r="S66" s="121"/>
      <c r="T66" s="121"/>
      <c r="U66" s="121"/>
      <c r="V66" s="121"/>
      <c r="W66" s="121"/>
      <c r="X66" s="121"/>
      <c r="Y66" s="121"/>
      <c r="Z66" s="121"/>
      <c r="AJ66" s="260"/>
      <c r="AK66" s="260"/>
      <c r="AL66" s="260"/>
      <c r="AM66" s="260"/>
      <c r="AN66" s="260"/>
    </row>
    <row r="67" spans="1:40" x14ac:dyDescent="0.3">
      <c r="A67" s="268"/>
      <c r="B67" s="290"/>
      <c r="C67" s="274"/>
      <c r="D67" s="273"/>
      <c r="E67" s="274"/>
      <c r="F67" s="275"/>
      <c r="G67" s="268"/>
      <c r="H67" s="268"/>
      <c r="I67" s="272"/>
      <c r="J67" s="194"/>
      <c r="K67" s="194"/>
      <c r="L67" s="194"/>
      <c r="M67" s="194"/>
      <c r="N67" s="194"/>
      <c r="O67" s="194"/>
      <c r="P67" s="194"/>
      <c r="Q67" s="194"/>
      <c r="R67" s="121"/>
      <c r="S67" s="121"/>
      <c r="T67" s="121"/>
      <c r="U67" s="121"/>
      <c r="V67" s="121"/>
      <c r="W67" s="121"/>
      <c r="X67" s="121"/>
      <c r="Y67" s="121"/>
      <c r="Z67" s="121"/>
      <c r="AJ67" s="260"/>
      <c r="AK67" s="260"/>
      <c r="AL67" s="260"/>
      <c r="AM67" s="260"/>
      <c r="AN67" s="260"/>
    </row>
    <row r="68" spans="1:40" x14ac:dyDescent="0.3">
      <c r="A68" s="261"/>
      <c r="B68" s="292" t="s">
        <v>2105</v>
      </c>
      <c r="C68" s="277"/>
      <c r="D68" s="277"/>
      <c r="E68" s="278"/>
      <c r="F68" s="279"/>
      <c r="G68" s="280"/>
      <c r="H68" s="280"/>
      <c r="I68" s="280"/>
      <c r="J68" s="378"/>
      <c r="K68" s="196"/>
      <c r="L68" s="196"/>
      <c r="M68" s="196"/>
      <c r="N68" s="196"/>
      <c r="O68" s="196"/>
      <c r="P68" s="196"/>
      <c r="Q68" s="196"/>
      <c r="R68" s="121"/>
      <c r="V68" s="121"/>
    </row>
    <row r="69" spans="1:40" x14ac:dyDescent="0.3">
      <c r="A69" s="261"/>
      <c r="B69" s="345" t="s">
        <v>2254</v>
      </c>
      <c r="C69" s="346"/>
      <c r="D69" s="346"/>
      <c r="E69" s="346"/>
      <c r="F69" s="346"/>
      <c r="G69" s="346"/>
      <c r="H69" s="346"/>
      <c r="I69" s="195"/>
      <c r="J69" s="375"/>
      <c r="K69" s="196"/>
      <c r="L69" s="196"/>
      <c r="M69" s="196"/>
      <c r="N69" s="196"/>
      <c r="O69" s="196"/>
      <c r="P69" s="196"/>
      <c r="Q69" s="196"/>
      <c r="R69" s="121"/>
      <c r="V69" s="121"/>
    </row>
    <row r="70" spans="1:40" ht="60" customHeight="1" x14ac:dyDescent="0.3">
      <c r="A70" s="261"/>
      <c r="B70" s="256" t="s">
        <v>2033</v>
      </c>
      <c r="C70" s="363" t="s">
        <v>2253</v>
      </c>
      <c r="D70" s="840" t="s">
        <v>2082</v>
      </c>
      <c r="E70" s="231" t="s">
        <v>1885</v>
      </c>
      <c r="F70" s="231" t="s">
        <v>1886</v>
      </c>
      <c r="G70" s="152" t="s">
        <v>2054</v>
      </c>
      <c r="H70" s="152" t="s">
        <v>2055</v>
      </c>
      <c r="I70" s="231" t="s">
        <v>2056</v>
      </c>
      <c r="J70" s="261"/>
      <c r="K70" s="196"/>
      <c r="L70" s="196"/>
      <c r="M70" s="196"/>
      <c r="N70" s="196"/>
      <c r="O70" s="196"/>
      <c r="P70" s="196"/>
      <c r="Q70" s="196"/>
      <c r="R70" s="121"/>
      <c r="V70" s="121"/>
    </row>
    <row r="71" spans="1:40" x14ac:dyDescent="0.3">
      <c r="A71" s="261"/>
      <c r="B71" s="313" t="s">
        <v>2273</v>
      </c>
      <c r="C71" s="914">
        <f>'Capacity inputs'!F16*'Capacity inputs'!G16</f>
        <v>60</v>
      </c>
      <c r="D71" s="915">
        <f>IF(D52=0,0,(D52/$C52*$C61)*$C71/60)</f>
        <v>0</v>
      </c>
      <c r="E71" s="915">
        <f t="shared" ref="E71:I71" si="33">IF(E52=0,0,(E52/$C52*$C61)*$C71/60)</f>
        <v>0</v>
      </c>
      <c r="F71" s="915">
        <f t="shared" si="33"/>
        <v>0</v>
      </c>
      <c r="G71" s="915">
        <f t="shared" si="33"/>
        <v>0</v>
      </c>
      <c r="H71" s="915">
        <f t="shared" si="33"/>
        <v>0</v>
      </c>
      <c r="I71" s="915">
        <f t="shared" si="33"/>
        <v>0</v>
      </c>
      <c r="J71" s="261"/>
      <c r="K71" s="196"/>
      <c r="L71" s="196"/>
      <c r="M71" s="196"/>
      <c r="N71" s="196"/>
      <c r="O71" s="196"/>
      <c r="P71" s="196"/>
      <c r="Q71" s="196"/>
      <c r="R71" s="121"/>
      <c r="S71" s="121"/>
      <c r="T71" s="121"/>
      <c r="U71" s="121"/>
      <c r="V71" s="121"/>
      <c r="W71" s="121"/>
      <c r="X71" s="121"/>
      <c r="Y71" s="121"/>
      <c r="Z71" s="121"/>
      <c r="AJ71" s="260"/>
      <c r="AK71" s="260"/>
      <c r="AL71" s="260"/>
      <c r="AM71" s="260"/>
      <c r="AN71" s="260"/>
    </row>
    <row r="72" spans="1:40" x14ac:dyDescent="0.3">
      <c r="A72" s="261"/>
      <c r="B72" s="313" t="s">
        <v>2274</v>
      </c>
      <c r="C72" s="914">
        <f>'Capacity inputs'!F17*'Capacity inputs'!G17</f>
        <v>60</v>
      </c>
      <c r="D72" s="915">
        <f>IF(D52=0,0,(D52-(D52/$C52*$C61))*$C72/60)</f>
        <v>0</v>
      </c>
      <c r="E72" s="915">
        <f t="shared" ref="E72:I72" si="34">IF(E52=0,0,(E52-(E52/$C52*$C61))*$C72/60)</f>
        <v>0</v>
      </c>
      <c r="F72" s="915">
        <f t="shared" si="34"/>
        <v>0</v>
      </c>
      <c r="G72" s="915">
        <f t="shared" si="34"/>
        <v>0</v>
      </c>
      <c r="H72" s="915">
        <f t="shared" si="34"/>
        <v>0</v>
      </c>
      <c r="I72" s="915">
        <f t="shared" si="34"/>
        <v>0</v>
      </c>
      <c r="J72" s="261"/>
      <c r="K72" s="196"/>
      <c r="L72" s="196"/>
      <c r="M72" s="196"/>
      <c r="N72" s="196"/>
      <c r="O72" s="196"/>
      <c r="P72" s="196"/>
      <c r="Q72" s="196"/>
      <c r="R72" s="121"/>
      <c r="S72" s="121"/>
      <c r="T72" s="121"/>
      <c r="U72" s="121"/>
      <c r="V72" s="121"/>
      <c r="W72" s="121"/>
      <c r="X72" s="121"/>
      <c r="Y72" s="121"/>
      <c r="Z72" s="121"/>
      <c r="AJ72" s="260"/>
      <c r="AK72" s="260"/>
      <c r="AL72" s="260"/>
      <c r="AM72" s="260"/>
      <c r="AN72" s="260"/>
    </row>
    <row r="73" spans="1:40" x14ac:dyDescent="0.3">
      <c r="A73" s="261"/>
      <c r="B73" s="313" t="s">
        <v>2275</v>
      </c>
      <c r="C73" s="137">
        <f>'Capacity inputs'!F16*'Capacity inputs'!H16</f>
        <v>90</v>
      </c>
      <c r="D73" s="915">
        <f>IF(D53=0,0,(D53/$C53*$C62)*$C73/60)</f>
        <v>1024.5874297299467</v>
      </c>
      <c r="E73" s="915">
        <f t="shared" ref="E73:I73" si="35">IF(E53=0,0,(E53/$C53*$C62)*$C73/60)</f>
        <v>989.04291041241106</v>
      </c>
      <c r="F73" s="915">
        <f t="shared" si="35"/>
        <v>952.7942816024738</v>
      </c>
      <c r="G73" s="915">
        <f t="shared" si="35"/>
        <v>961.17012413105124</v>
      </c>
      <c r="H73" s="915">
        <f t="shared" si="35"/>
        <v>969.619597179268</v>
      </c>
      <c r="I73" s="915">
        <f t="shared" si="35"/>
        <v>978.14334801972996</v>
      </c>
      <c r="J73" s="261"/>
      <c r="K73" s="196"/>
      <c r="L73" s="196"/>
      <c r="M73" s="196"/>
      <c r="N73" s="196"/>
      <c r="O73" s="196"/>
      <c r="P73" s="196"/>
      <c r="Q73" s="196"/>
      <c r="R73" s="121"/>
      <c r="S73" s="121"/>
      <c r="T73" s="121"/>
      <c r="U73" s="121"/>
      <c r="V73" s="121"/>
      <c r="W73" s="121"/>
      <c r="X73" s="121"/>
      <c r="Y73" s="121"/>
      <c r="Z73" s="121"/>
      <c r="AJ73" s="260"/>
      <c r="AK73" s="260"/>
      <c r="AL73" s="260"/>
      <c r="AM73" s="260"/>
      <c r="AN73" s="260"/>
    </row>
    <row r="74" spans="1:40" x14ac:dyDescent="0.3">
      <c r="A74" s="261"/>
      <c r="B74" s="313" t="s">
        <v>2276</v>
      </c>
      <c r="C74" s="137">
        <f>'Capacity inputs'!F17*'Capacity inputs'!H17</f>
        <v>30</v>
      </c>
      <c r="D74" s="915">
        <f>IF(D53=0,0,(D53-(D53/$C53*$C62))*$C74/60)</f>
        <v>2971.303546216845</v>
      </c>
      <c r="E74" s="915">
        <f t="shared" ref="E74:I74" si="36">IF(E53=0,0,(E53-(E53/$C53*$C62))*$C74/60)</f>
        <v>2868.2244401959915</v>
      </c>
      <c r="F74" s="915">
        <f t="shared" si="36"/>
        <v>2763.1034166471741</v>
      </c>
      <c r="G74" s="915">
        <f t="shared" si="36"/>
        <v>2787.3933599800484</v>
      </c>
      <c r="H74" s="915">
        <f t="shared" si="36"/>
        <v>2811.8968318198772</v>
      </c>
      <c r="I74" s="915">
        <f t="shared" si="36"/>
        <v>2836.6157092572166</v>
      </c>
      <c r="J74" s="261"/>
      <c r="K74" s="196"/>
      <c r="L74" s="196"/>
      <c r="M74" s="196"/>
      <c r="N74" s="196"/>
      <c r="O74" s="196"/>
      <c r="P74" s="196"/>
      <c r="Q74" s="196"/>
      <c r="R74" s="121"/>
      <c r="S74" s="121"/>
      <c r="T74" s="121"/>
      <c r="U74" s="121"/>
      <c r="V74" s="121"/>
      <c r="W74" s="121"/>
      <c r="X74" s="121"/>
      <c r="Y74" s="121"/>
      <c r="Z74" s="121"/>
      <c r="AJ74" s="260"/>
      <c r="AK74" s="260"/>
      <c r="AL74" s="260"/>
      <c r="AM74" s="260"/>
      <c r="AN74" s="260"/>
    </row>
    <row r="75" spans="1:40" hidden="1" x14ac:dyDescent="0.3">
      <c r="A75" s="261"/>
      <c r="B75" s="313" t="str">
        <f>'Inputs and population'!C37</f>
        <v xml:space="preserve">Lenvatinib </v>
      </c>
      <c r="C75" s="137">
        <f>'Capacity inputs'!F16*'Capacity inputs'!I16</f>
        <v>0</v>
      </c>
      <c r="D75" s="915">
        <f t="shared" ref="D75:I76" si="37">D63*$C75/60</f>
        <v>0</v>
      </c>
      <c r="E75" s="915">
        <f t="shared" si="37"/>
        <v>0</v>
      </c>
      <c r="F75" s="915">
        <f t="shared" si="37"/>
        <v>0</v>
      </c>
      <c r="G75" s="915">
        <f t="shared" si="37"/>
        <v>0</v>
      </c>
      <c r="H75" s="915">
        <f t="shared" si="37"/>
        <v>0</v>
      </c>
      <c r="I75" s="915">
        <f t="shared" si="37"/>
        <v>0</v>
      </c>
      <c r="J75" s="261"/>
      <c r="K75" s="196"/>
      <c r="L75" s="196"/>
      <c r="M75" s="196"/>
      <c r="N75" s="196"/>
      <c r="O75" s="196"/>
      <c r="P75" s="196"/>
      <c r="Q75" s="196"/>
      <c r="R75" s="121"/>
      <c r="S75" s="121"/>
      <c r="T75" s="121"/>
      <c r="U75" s="121"/>
      <c r="V75" s="121"/>
      <c r="W75" s="121"/>
      <c r="X75" s="121"/>
      <c r="Y75" s="121"/>
      <c r="Z75" s="121"/>
      <c r="AJ75" s="260"/>
      <c r="AK75" s="260"/>
      <c r="AL75" s="260"/>
      <c r="AM75" s="260"/>
      <c r="AN75" s="260"/>
    </row>
    <row r="76" spans="1:40" hidden="1" x14ac:dyDescent="0.3">
      <c r="A76" s="261"/>
      <c r="B76" s="313" t="str">
        <f>'Inputs and population'!C38</f>
        <v>Sorafenib</v>
      </c>
      <c r="C76" s="137">
        <f>'Capacity inputs'!F16*'Capacity inputs'!J16</f>
        <v>0</v>
      </c>
      <c r="D76" s="915">
        <f t="shared" si="37"/>
        <v>0</v>
      </c>
      <c r="E76" s="915">
        <f t="shared" si="37"/>
        <v>0</v>
      </c>
      <c r="F76" s="915">
        <f t="shared" si="37"/>
        <v>0</v>
      </c>
      <c r="G76" s="915">
        <f t="shared" si="37"/>
        <v>0</v>
      </c>
      <c r="H76" s="915">
        <f t="shared" si="37"/>
        <v>0</v>
      </c>
      <c r="I76" s="915">
        <f t="shared" si="37"/>
        <v>0</v>
      </c>
      <c r="J76" s="261"/>
      <c r="K76" s="196"/>
      <c r="L76" s="196"/>
      <c r="M76" s="196"/>
      <c r="N76" s="196"/>
      <c r="O76" s="196"/>
      <c r="P76" s="196"/>
      <c r="Q76" s="196"/>
      <c r="R76" s="121"/>
      <c r="S76" s="121"/>
      <c r="T76" s="121"/>
      <c r="U76" s="121"/>
      <c r="V76" s="121"/>
      <c r="W76" s="121"/>
      <c r="X76" s="121"/>
      <c r="Y76" s="121"/>
      <c r="Z76" s="121"/>
      <c r="AJ76" s="260"/>
      <c r="AK76" s="260"/>
      <c r="AL76" s="260"/>
      <c r="AM76" s="260"/>
      <c r="AN76" s="260"/>
    </row>
    <row r="77" spans="1:40" x14ac:dyDescent="0.3">
      <c r="A77" s="261"/>
      <c r="B77" s="254"/>
      <c r="C77" s="291"/>
      <c r="D77" s="168">
        <f>SUM(D71:D76)</f>
        <v>3995.8909759467915</v>
      </c>
      <c r="E77" s="168">
        <f t="shared" ref="E77:I77" si="38">SUM(E71:E76)</f>
        <v>3857.2673506084025</v>
      </c>
      <c r="F77" s="168">
        <f t="shared" si="38"/>
        <v>3715.8976982496479</v>
      </c>
      <c r="G77" s="168">
        <f t="shared" si="38"/>
        <v>3748.5634841110996</v>
      </c>
      <c r="H77" s="168">
        <f t="shared" si="38"/>
        <v>3781.5164289991453</v>
      </c>
      <c r="I77" s="168">
        <f t="shared" si="38"/>
        <v>3814.7590572769468</v>
      </c>
      <c r="J77" s="261"/>
      <c r="K77" s="196"/>
      <c r="L77" s="196"/>
      <c r="M77" s="196"/>
      <c r="N77" s="196"/>
      <c r="O77" s="196"/>
      <c r="P77" s="196"/>
      <c r="Q77" s="196"/>
      <c r="R77" s="121"/>
      <c r="S77" s="121"/>
      <c r="T77" s="121"/>
      <c r="U77" s="121"/>
      <c r="V77" s="121"/>
      <c r="W77" s="121"/>
      <c r="X77" s="121"/>
      <c r="Y77" s="121"/>
      <c r="Z77" s="121"/>
      <c r="AJ77" s="260"/>
      <c r="AK77" s="260"/>
      <c r="AL77" s="260"/>
      <c r="AM77" s="260"/>
      <c r="AN77" s="260"/>
    </row>
    <row r="78" spans="1:40" x14ac:dyDescent="0.3">
      <c r="A78" s="261"/>
      <c r="B78" s="281"/>
      <c r="C78" s="232"/>
      <c r="D78" s="259" t="s">
        <v>2257</v>
      </c>
      <c r="E78" s="168">
        <f>E77-$D$77</f>
        <v>-138.62362533838905</v>
      </c>
      <c r="F78" s="168">
        <f>F77-$D$77</f>
        <v>-279.99327769714364</v>
      </c>
      <c r="G78" s="168">
        <f>G77-$D$77</f>
        <v>-247.32749183569194</v>
      </c>
      <c r="H78" s="168">
        <f>H77-$D$77</f>
        <v>-214.37454694764619</v>
      </c>
      <c r="I78" s="168">
        <f>I77-$D$77</f>
        <v>-181.13191866984471</v>
      </c>
      <c r="J78" s="261"/>
      <c r="K78" s="196"/>
      <c r="L78" s="196"/>
      <c r="M78" s="196"/>
      <c r="N78" s="196"/>
      <c r="O78" s="196"/>
      <c r="P78" s="196"/>
      <c r="Q78" s="196"/>
      <c r="R78" s="121"/>
      <c r="S78" s="121"/>
      <c r="T78" s="121"/>
      <c r="U78" s="121"/>
      <c r="V78" s="121"/>
      <c r="W78" s="121"/>
      <c r="X78" s="121"/>
      <c r="Y78" s="121"/>
      <c r="Z78" s="121"/>
      <c r="AJ78" s="260"/>
      <c r="AK78" s="260"/>
      <c r="AL78" s="260"/>
      <c r="AM78" s="260"/>
      <c r="AN78" s="260"/>
    </row>
    <row r="79" spans="1:40" x14ac:dyDescent="0.3">
      <c r="A79" s="261"/>
      <c r="B79" s="293"/>
      <c r="C79" s="196"/>
      <c r="D79" s="196"/>
      <c r="E79" s="196"/>
      <c r="F79" s="196"/>
      <c r="G79" s="196"/>
      <c r="H79" s="196"/>
      <c r="I79" s="196"/>
      <c r="J79" s="196"/>
      <c r="K79" s="196"/>
      <c r="L79" s="196"/>
      <c r="M79" s="196"/>
      <c r="N79" s="196"/>
      <c r="O79" s="196"/>
      <c r="P79" s="196"/>
      <c r="Q79" s="196"/>
      <c r="R79" s="121"/>
      <c r="S79" s="121"/>
      <c r="T79" s="121"/>
      <c r="U79" s="121"/>
      <c r="V79" s="121"/>
      <c r="W79" s="121"/>
      <c r="X79" s="121"/>
      <c r="Y79" s="121"/>
      <c r="Z79" s="121"/>
      <c r="AJ79" s="260"/>
      <c r="AK79" s="260"/>
      <c r="AL79" s="260"/>
      <c r="AM79" s="260"/>
      <c r="AN79" s="260"/>
    </row>
    <row r="80" spans="1:40" x14ac:dyDescent="0.3">
      <c r="A80" s="261"/>
      <c r="B80" s="347" t="s">
        <v>2255</v>
      </c>
      <c r="C80" s="346"/>
      <c r="D80" s="346"/>
      <c r="E80" s="346"/>
      <c r="F80" s="346"/>
      <c r="G80" s="346"/>
      <c r="H80" s="346"/>
      <c r="I80" s="195"/>
      <c r="J80" s="375"/>
      <c r="K80" s="196"/>
      <c r="L80" s="196"/>
      <c r="M80" s="196"/>
      <c r="N80" s="196"/>
      <c r="O80" s="196"/>
      <c r="P80" s="196"/>
      <c r="Q80" s="196"/>
      <c r="R80" s="121"/>
      <c r="S80" s="121"/>
      <c r="T80" s="121"/>
      <c r="U80" s="121"/>
      <c r="V80" s="121"/>
      <c r="W80" s="121"/>
      <c r="X80" s="121"/>
      <c r="Y80" s="121"/>
      <c r="Z80" s="121"/>
      <c r="AJ80" s="260"/>
      <c r="AK80" s="260"/>
      <c r="AL80" s="260"/>
      <c r="AM80" s="260"/>
      <c r="AN80" s="260"/>
    </row>
    <row r="81" spans="1:40" ht="59.4" customHeight="1" x14ac:dyDescent="0.3">
      <c r="A81" s="261"/>
      <c r="B81" s="256" t="s">
        <v>2033</v>
      </c>
      <c r="C81" s="363" t="s">
        <v>2242</v>
      </c>
      <c r="D81" s="840" t="s">
        <v>2082</v>
      </c>
      <c r="E81" s="231" t="s">
        <v>1885</v>
      </c>
      <c r="F81" s="231" t="s">
        <v>1886</v>
      </c>
      <c r="G81" s="152" t="s">
        <v>2054</v>
      </c>
      <c r="H81" s="152" t="s">
        <v>2055</v>
      </c>
      <c r="I81" s="231" t="s">
        <v>2056</v>
      </c>
      <c r="J81" s="261"/>
      <c r="K81" s="196"/>
      <c r="L81" s="196"/>
      <c r="M81" s="196"/>
      <c r="N81" s="196"/>
      <c r="O81" s="196"/>
      <c r="P81" s="196"/>
      <c r="Q81" s="196"/>
      <c r="R81" s="121"/>
      <c r="S81" s="121"/>
      <c r="T81" s="121"/>
      <c r="U81" s="121"/>
      <c r="V81" s="121"/>
      <c r="W81" s="121"/>
      <c r="X81" s="121"/>
      <c r="Y81" s="121"/>
      <c r="Z81" s="121"/>
      <c r="AJ81" s="260"/>
      <c r="AK81" s="260"/>
      <c r="AL81" s="260"/>
      <c r="AM81" s="260"/>
      <c r="AN81" s="260"/>
    </row>
    <row r="82" spans="1:40" x14ac:dyDescent="0.3">
      <c r="A82" s="261"/>
      <c r="B82" s="313" t="str">
        <f>B61</f>
        <v>Durvalumab with tremelimumab</v>
      </c>
      <c r="C82" s="914">
        <f>'Capacity inputs'!F18*'Capacity inputs'!G18</f>
        <v>30</v>
      </c>
      <c r="D82" s="915">
        <f t="shared" ref="D82:I83" si="39">D61*$C82/60</f>
        <v>0</v>
      </c>
      <c r="E82" s="915">
        <f t="shared" si="39"/>
        <v>0</v>
      </c>
      <c r="F82" s="915">
        <f t="shared" si="39"/>
        <v>0</v>
      </c>
      <c r="G82" s="915">
        <f t="shared" si="39"/>
        <v>0</v>
      </c>
      <c r="H82" s="915">
        <f t="shared" si="39"/>
        <v>0</v>
      </c>
      <c r="I82" s="915">
        <f t="shared" si="39"/>
        <v>0</v>
      </c>
      <c r="J82" s="261"/>
      <c r="K82" s="196"/>
      <c r="L82" s="196"/>
      <c r="M82" s="196"/>
      <c r="N82" s="196"/>
      <c r="O82" s="196"/>
      <c r="P82" s="196"/>
      <c r="Q82" s="196"/>
      <c r="R82" s="121"/>
      <c r="S82" s="121"/>
      <c r="T82" s="121"/>
      <c r="U82" s="121"/>
      <c r="V82" s="121"/>
      <c r="W82" s="121"/>
      <c r="X82" s="121"/>
      <c r="Y82" s="121"/>
      <c r="Z82" s="121"/>
      <c r="AJ82" s="260"/>
      <c r="AK82" s="260"/>
      <c r="AL82" s="260"/>
      <c r="AM82" s="260"/>
      <c r="AN82" s="260"/>
    </row>
    <row r="83" spans="1:40" x14ac:dyDescent="0.3">
      <c r="A83" s="261"/>
      <c r="B83" s="313" t="str">
        <f>B73</f>
        <v>Atezolizumab with bevacizumab - 1st infusion</v>
      </c>
      <c r="C83" s="914">
        <f>'Capacity inputs'!F18*'Capacity inputs'!H18</f>
        <v>30</v>
      </c>
      <c r="D83" s="915">
        <f t="shared" si="39"/>
        <v>3312.8326894601605</v>
      </c>
      <c r="E83" s="915">
        <f t="shared" si="39"/>
        <v>3197.905410333462</v>
      </c>
      <c r="F83" s="915">
        <f t="shared" si="39"/>
        <v>3080.7015105146652</v>
      </c>
      <c r="G83" s="915">
        <f t="shared" si="39"/>
        <v>3107.7834013570655</v>
      </c>
      <c r="H83" s="915">
        <f t="shared" si="39"/>
        <v>3135.1033642129664</v>
      </c>
      <c r="I83" s="915">
        <f t="shared" si="39"/>
        <v>3162.6634919304602</v>
      </c>
      <c r="J83" s="261"/>
      <c r="K83" s="196"/>
      <c r="L83" s="196"/>
      <c r="M83" s="196"/>
      <c r="N83" s="196"/>
      <c r="O83" s="196"/>
      <c r="P83" s="196"/>
      <c r="Q83" s="196"/>
      <c r="R83" s="121"/>
      <c r="S83" s="121"/>
      <c r="T83" s="121"/>
      <c r="U83" s="121"/>
      <c r="V83" s="121"/>
      <c r="W83" s="121"/>
      <c r="X83" s="121"/>
      <c r="Y83" s="121"/>
      <c r="Z83" s="121"/>
      <c r="AJ83" s="260"/>
      <c r="AK83" s="260"/>
      <c r="AL83" s="260"/>
      <c r="AM83" s="260"/>
      <c r="AN83" s="260"/>
    </row>
    <row r="84" spans="1:40" hidden="1" x14ac:dyDescent="0.3">
      <c r="A84" s="261"/>
      <c r="B84" s="313" t="str">
        <f>B75</f>
        <v xml:space="preserve">Lenvatinib </v>
      </c>
      <c r="C84" s="137">
        <f>'Capacity inputs'!F18*'Capacity inputs'!I18</f>
        <v>0</v>
      </c>
      <c r="D84" s="915">
        <f t="shared" ref="D84:D85" si="40">D63*$C84/60</f>
        <v>0</v>
      </c>
      <c r="E84" s="116">
        <f t="shared" ref="E84:I84" si="41">E63*D84/60</f>
        <v>0</v>
      </c>
      <c r="F84" s="116">
        <f t="shared" si="41"/>
        <v>0</v>
      </c>
      <c r="G84" s="116">
        <f t="shared" si="41"/>
        <v>0</v>
      </c>
      <c r="H84" s="116">
        <f t="shared" si="41"/>
        <v>0</v>
      </c>
      <c r="I84" s="116">
        <f t="shared" si="41"/>
        <v>0</v>
      </c>
      <c r="J84" s="261"/>
      <c r="K84" s="196"/>
      <c r="L84" s="196"/>
      <c r="M84" s="196"/>
      <c r="N84" s="196"/>
      <c r="O84" s="196"/>
      <c r="P84" s="196"/>
      <c r="Q84" s="196"/>
      <c r="R84" s="121"/>
      <c r="S84" s="121"/>
      <c r="T84" s="121"/>
      <c r="U84" s="121"/>
      <c r="V84" s="121"/>
      <c r="W84" s="121"/>
      <c r="X84" s="121"/>
      <c r="Y84" s="121"/>
      <c r="Z84" s="121"/>
      <c r="AJ84" s="260"/>
      <c r="AK84" s="260"/>
      <c r="AL84" s="260"/>
      <c r="AM84" s="260"/>
      <c r="AN84" s="260"/>
    </row>
    <row r="85" spans="1:40" hidden="1" x14ac:dyDescent="0.3">
      <c r="A85" s="261"/>
      <c r="B85" s="313" t="str">
        <f>B76</f>
        <v>Sorafenib</v>
      </c>
      <c r="C85" s="137">
        <f>'Capacity inputs'!F18*'Capacity inputs'!J18</f>
        <v>0</v>
      </c>
      <c r="D85" s="915">
        <f t="shared" si="40"/>
        <v>0</v>
      </c>
      <c r="E85" s="116">
        <f>E64</f>
        <v>0</v>
      </c>
      <c r="F85" s="116">
        <f>F64</f>
        <v>0</v>
      </c>
      <c r="G85" s="116">
        <f>G64</f>
        <v>0</v>
      </c>
      <c r="H85" s="116">
        <f>H64</f>
        <v>0</v>
      </c>
      <c r="I85" s="116">
        <f>I64</f>
        <v>0</v>
      </c>
      <c r="J85" s="261"/>
      <c r="K85" s="196"/>
      <c r="L85" s="196"/>
      <c r="M85" s="196"/>
      <c r="N85" s="196"/>
      <c r="O85" s="196"/>
      <c r="P85" s="196"/>
      <c r="Q85" s="196"/>
      <c r="R85" s="121"/>
      <c r="S85" s="121"/>
      <c r="T85" s="121"/>
      <c r="U85" s="121"/>
      <c r="V85" s="121"/>
      <c r="W85" s="121"/>
      <c r="X85" s="121"/>
      <c r="Y85" s="121"/>
      <c r="Z85" s="121"/>
      <c r="AJ85" s="260"/>
      <c r="AK85" s="260"/>
      <c r="AL85" s="260"/>
      <c r="AM85" s="260"/>
      <c r="AN85" s="260"/>
    </row>
    <row r="86" spans="1:40" x14ac:dyDescent="0.3">
      <c r="A86" s="261"/>
      <c r="B86" s="254"/>
      <c r="C86" s="291"/>
      <c r="D86" s="168">
        <f>SUM(D82:D83)</f>
        <v>3312.8326894601605</v>
      </c>
      <c r="E86" s="168">
        <f t="shared" ref="E86:I86" si="42">SUM(E82:E83)</f>
        <v>3197.905410333462</v>
      </c>
      <c r="F86" s="168">
        <f t="shared" si="42"/>
        <v>3080.7015105146652</v>
      </c>
      <c r="G86" s="168">
        <f t="shared" si="42"/>
        <v>3107.7834013570655</v>
      </c>
      <c r="H86" s="168">
        <f t="shared" si="42"/>
        <v>3135.1033642129664</v>
      </c>
      <c r="I86" s="168">
        <f t="shared" si="42"/>
        <v>3162.6634919304602</v>
      </c>
      <c r="J86" s="261"/>
      <c r="K86" s="196"/>
      <c r="L86" s="196"/>
      <c r="M86" s="196"/>
      <c r="N86" s="196"/>
      <c r="O86" s="196"/>
      <c r="P86" s="196"/>
      <c r="Q86" s="196"/>
      <c r="R86" s="121"/>
      <c r="S86" s="121"/>
      <c r="T86" s="121"/>
      <c r="U86" s="121"/>
      <c r="V86" s="121"/>
      <c r="W86" s="121"/>
      <c r="X86" s="121"/>
      <c r="Y86" s="121"/>
      <c r="Z86" s="121"/>
      <c r="AJ86" s="260"/>
      <c r="AK86" s="260"/>
      <c r="AL86" s="260"/>
      <c r="AM86" s="260"/>
      <c r="AN86" s="260"/>
    </row>
    <row r="87" spans="1:40" x14ac:dyDescent="0.3">
      <c r="A87" s="261"/>
      <c r="B87" s="257"/>
      <c r="C87" s="257"/>
      <c r="D87" s="259" t="s">
        <v>2258</v>
      </c>
      <c r="E87" s="168">
        <f>E86-$D$86</f>
        <v>-114.92727912669852</v>
      </c>
      <c r="F87" s="168">
        <f>F86-$D$86</f>
        <v>-232.13117894549532</v>
      </c>
      <c r="G87" s="168">
        <f>G86-$D$86</f>
        <v>-205.04928810309502</v>
      </c>
      <c r="H87" s="168">
        <f>H86-$D$86</f>
        <v>-177.72932524719408</v>
      </c>
      <c r="I87" s="168">
        <f>I86-$D$86</f>
        <v>-150.16919752970034</v>
      </c>
      <c r="J87" s="261"/>
      <c r="K87" s="196"/>
      <c r="L87" s="196"/>
      <c r="M87" s="196"/>
      <c r="N87" s="196"/>
      <c r="O87" s="196"/>
      <c r="P87" s="196"/>
      <c r="Q87" s="196"/>
      <c r="R87" s="121"/>
      <c r="S87" s="121"/>
      <c r="T87" s="121"/>
      <c r="U87" s="121"/>
      <c r="V87" s="121"/>
      <c r="W87" s="121"/>
      <c r="X87" s="121"/>
      <c r="Y87" s="121"/>
      <c r="Z87" s="121"/>
      <c r="AJ87" s="260"/>
      <c r="AK87" s="260"/>
      <c r="AL87" s="260"/>
      <c r="AM87" s="260"/>
      <c r="AN87" s="260"/>
    </row>
    <row r="88" spans="1:40" x14ac:dyDescent="0.3">
      <c r="A88" s="261"/>
      <c r="B88" s="293"/>
      <c r="C88" s="196"/>
      <c r="D88" s="196"/>
      <c r="E88" s="196"/>
      <c r="F88" s="196"/>
      <c r="G88" s="196"/>
      <c r="H88" s="196"/>
      <c r="I88" s="196"/>
      <c r="J88" s="196"/>
      <c r="K88" s="196"/>
      <c r="L88" s="196"/>
      <c r="M88" s="196"/>
      <c r="N88" s="196"/>
      <c r="O88" s="196"/>
      <c r="P88" s="196"/>
      <c r="Q88" s="196"/>
      <c r="R88" s="121"/>
      <c r="S88" s="121"/>
      <c r="T88" s="121"/>
      <c r="U88" s="121"/>
      <c r="V88" s="121"/>
      <c r="W88" s="121"/>
      <c r="X88" s="121"/>
      <c r="Y88" s="121"/>
      <c r="Z88" s="121"/>
      <c r="AJ88" s="260"/>
      <c r="AK88" s="260"/>
      <c r="AL88" s="260"/>
      <c r="AM88" s="260"/>
      <c r="AN88" s="260"/>
    </row>
    <row r="89" spans="1:40" x14ac:dyDescent="0.3">
      <c r="A89" s="261"/>
      <c r="B89" s="347" t="s">
        <v>2256</v>
      </c>
      <c r="C89" s="346"/>
      <c r="D89" s="346"/>
      <c r="E89" s="346"/>
      <c r="F89" s="346"/>
      <c r="G89" s="346"/>
      <c r="H89" s="346"/>
      <c r="I89" s="195"/>
      <c r="J89" s="375"/>
      <c r="K89" s="196"/>
      <c r="L89" s="196"/>
      <c r="M89" s="196"/>
      <c r="N89" s="196"/>
      <c r="O89" s="196"/>
      <c r="P89" s="196"/>
      <c r="Q89" s="196"/>
      <c r="R89" s="121"/>
      <c r="V89" s="121"/>
      <c r="AJ89" s="260"/>
      <c r="AK89" s="260"/>
      <c r="AL89" s="260"/>
      <c r="AM89" s="260"/>
      <c r="AN89" s="260"/>
    </row>
    <row r="90" spans="1:40" ht="59.4" customHeight="1" x14ac:dyDescent="0.3">
      <c r="A90" s="261"/>
      <c r="B90" s="256" t="s">
        <v>2033</v>
      </c>
      <c r="C90" s="363" t="s">
        <v>2242</v>
      </c>
      <c r="D90" s="840" t="s">
        <v>2082</v>
      </c>
      <c r="E90" s="231" t="s">
        <v>1885</v>
      </c>
      <c r="F90" s="231" t="s">
        <v>1886</v>
      </c>
      <c r="G90" s="152" t="s">
        <v>2054</v>
      </c>
      <c r="H90" s="152" t="s">
        <v>2055</v>
      </c>
      <c r="I90" s="231" t="s">
        <v>2056</v>
      </c>
      <c r="J90" s="261"/>
      <c r="K90" s="196"/>
      <c r="L90" s="196"/>
      <c r="M90" s="196"/>
      <c r="N90" s="196"/>
      <c r="O90" s="196"/>
      <c r="P90" s="196"/>
      <c r="Q90" s="196"/>
      <c r="R90" s="121"/>
      <c r="V90" s="121"/>
      <c r="AJ90" s="260"/>
      <c r="AK90" s="260"/>
      <c r="AL90" s="260"/>
      <c r="AM90" s="260"/>
      <c r="AN90" s="260"/>
    </row>
    <row r="91" spans="1:40" x14ac:dyDescent="0.3">
      <c r="A91" s="261"/>
      <c r="B91" s="313" t="str">
        <f>B82</f>
        <v>Durvalumab with tremelimumab</v>
      </c>
      <c r="C91" s="914">
        <f>'Capacity inputs'!F19*'Capacity inputs'!G19</f>
        <v>15</v>
      </c>
      <c r="D91" s="915">
        <f t="shared" ref="D91:I91" si="43">D61*$C91/60</f>
        <v>0</v>
      </c>
      <c r="E91" s="915">
        <f t="shared" si="43"/>
        <v>0</v>
      </c>
      <c r="F91" s="915">
        <f t="shared" si="43"/>
        <v>0</v>
      </c>
      <c r="G91" s="915">
        <f t="shared" si="43"/>
        <v>0</v>
      </c>
      <c r="H91" s="915">
        <f t="shared" si="43"/>
        <v>0</v>
      </c>
      <c r="I91" s="915">
        <f t="shared" si="43"/>
        <v>0</v>
      </c>
      <c r="J91" s="261"/>
      <c r="K91" s="196"/>
      <c r="L91" s="196"/>
      <c r="M91" s="196"/>
      <c r="N91" s="196"/>
      <c r="O91" s="196"/>
      <c r="P91" s="196"/>
      <c r="Q91" s="196"/>
      <c r="R91" s="121"/>
      <c r="V91" s="121"/>
      <c r="AJ91" s="260"/>
      <c r="AK91" s="260"/>
      <c r="AL91" s="260"/>
      <c r="AM91" s="260"/>
      <c r="AN91" s="260"/>
    </row>
    <row r="92" spans="1:40" x14ac:dyDescent="0.3">
      <c r="A92" s="261"/>
      <c r="B92" s="313" t="str">
        <f>B83</f>
        <v>Atezolizumab with bevacizumab - 1st infusion</v>
      </c>
      <c r="C92" s="914">
        <f>'Capacity inputs'!F19*'Capacity inputs'!H19</f>
        <v>15</v>
      </c>
      <c r="D92" s="915">
        <f>D62*$C92/60</f>
        <v>1656.4163447300803</v>
      </c>
      <c r="E92" s="915">
        <f t="shared" ref="E92:I92" si="44">E62*$C92/60</f>
        <v>1598.952705166731</v>
      </c>
      <c r="F92" s="915">
        <f t="shared" si="44"/>
        <v>1540.3507552573326</v>
      </c>
      <c r="G92" s="915">
        <f t="shared" si="44"/>
        <v>1553.8917006785327</v>
      </c>
      <c r="H92" s="915">
        <f t="shared" si="44"/>
        <v>1567.5516821064832</v>
      </c>
      <c r="I92" s="915">
        <f t="shared" si="44"/>
        <v>1581.3317459652301</v>
      </c>
      <c r="J92" s="261"/>
      <c r="K92" s="196"/>
      <c r="L92" s="196"/>
      <c r="M92" s="196"/>
      <c r="N92" s="196"/>
      <c r="O92" s="196"/>
      <c r="P92" s="196"/>
      <c r="Q92" s="196"/>
      <c r="R92" s="121"/>
      <c r="V92" s="121"/>
      <c r="AJ92" s="260"/>
      <c r="AK92" s="260"/>
      <c r="AL92" s="260"/>
      <c r="AM92" s="260"/>
      <c r="AN92" s="260"/>
    </row>
    <row r="93" spans="1:40" hidden="1" x14ac:dyDescent="0.3">
      <c r="A93" s="261"/>
      <c r="B93" s="313" t="str">
        <f>B84</f>
        <v xml:space="preserve">Lenvatinib </v>
      </c>
      <c r="C93" s="137">
        <f>'Capacity inputs'!F19*'Capacity inputs'!I19</f>
        <v>0</v>
      </c>
      <c r="D93" s="915">
        <f t="shared" ref="D93:I94" si="45">D63*$C93/60</f>
        <v>0</v>
      </c>
      <c r="E93" s="915">
        <f t="shared" si="45"/>
        <v>0</v>
      </c>
      <c r="F93" s="915">
        <f t="shared" si="45"/>
        <v>0</v>
      </c>
      <c r="G93" s="915">
        <f t="shared" si="45"/>
        <v>0</v>
      </c>
      <c r="H93" s="915">
        <f t="shared" si="45"/>
        <v>0</v>
      </c>
      <c r="I93" s="915">
        <f t="shared" si="45"/>
        <v>0</v>
      </c>
      <c r="J93" s="261"/>
      <c r="K93" s="196"/>
      <c r="L93" s="196"/>
      <c r="M93" s="196"/>
      <c r="N93" s="196"/>
      <c r="O93" s="196"/>
      <c r="P93" s="196"/>
      <c r="Q93" s="196"/>
      <c r="R93" s="121"/>
      <c r="V93" s="121"/>
      <c r="AJ93" s="260"/>
      <c r="AK93" s="260"/>
      <c r="AL93" s="260"/>
      <c r="AM93" s="260"/>
      <c r="AN93" s="260"/>
    </row>
    <row r="94" spans="1:40" hidden="1" x14ac:dyDescent="0.3">
      <c r="A94" s="261"/>
      <c r="B94" s="313" t="str">
        <f>B85</f>
        <v>Sorafenib</v>
      </c>
      <c r="C94" s="137">
        <f>'Capacity inputs'!F19*'Capacity inputs'!J19</f>
        <v>0</v>
      </c>
      <c r="D94" s="915">
        <f t="shared" si="45"/>
        <v>0</v>
      </c>
      <c r="E94" s="915">
        <f t="shared" si="45"/>
        <v>0</v>
      </c>
      <c r="F94" s="915">
        <f t="shared" si="45"/>
        <v>0</v>
      </c>
      <c r="G94" s="915">
        <f t="shared" si="45"/>
        <v>0</v>
      </c>
      <c r="H94" s="915">
        <f t="shared" si="45"/>
        <v>0</v>
      </c>
      <c r="I94" s="915">
        <f t="shared" si="45"/>
        <v>0</v>
      </c>
      <c r="J94" s="261"/>
      <c r="K94" s="196"/>
      <c r="L94" s="196"/>
      <c r="M94" s="196"/>
      <c r="N94" s="196"/>
      <c r="O94" s="196"/>
      <c r="P94" s="196"/>
      <c r="Q94" s="196"/>
      <c r="R94" s="121"/>
      <c r="V94" s="121"/>
      <c r="AJ94" s="260"/>
      <c r="AK94" s="260"/>
      <c r="AL94" s="260"/>
      <c r="AM94" s="260"/>
      <c r="AN94" s="260"/>
    </row>
    <row r="95" spans="1:40" x14ac:dyDescent="0.3">
      <c r="A95" s="261"/>
      <c r="B95" s="254"/>
      <c r="C95" s="291"/>
      <c r="D95" s="168">
        <f>SUM(D91:D92)</f>
        <v>1656.4163447300803</v>
      </c>
      <c r="E95" s="168">
        <f>SUM(E91:E92)</f>
        <v>1598.952705166731</v>
      </c>
      <c r="F95" s="168">
        <f t="shared" ref="F95:I95" si="46">SUM(F91:F92)</f>
        <v>1540.3507552573326</v>
      </c>
      <c r="G95" s="168">
        <f t="shared" si="46"/>
        <v>1553.8917006785327</v>
      </c>
      <c r="H95" s="168">
        <f t="shared" si="46"/>
        <v>1567.5516821064832</v>
      </c>
      <c r="I95" s="168">
        <f t="shared" si="46"/>
        <v>1581.3317459652301</v>
      </c>
      <c r="J95" s="261"/>
      <c r="K95" s="196"/>
      <c r="L95" s="196"/>
      <c r="M95" s="196"/>
      <c r="N95" s="196"/>
      <c r="O95" s="196"/>
      <c r="P95" s="196"/>
      <c r="Q95" s="196"/>
      <c r="R95" s="121"/>
      <c r="S95" s="121"/>
      <c r="T95" s="121"/>
      <c r="U95" s="121"/>
      <c r="V95" s="121"/>
      <c r="W95" s="121"/>
      <c r="X95" s="121"/>
      <c r="Y95" s="121"/>
      <c r="Z95" s="121"/>
      <c r="AJ95" s="260"/>
      <c r="AK95" s="260"/>
      <c r="AL95" s="260"/>
      <c r="AM95" s="260"/>
      <c r="AN95" s="260"/>
    </row>
    <row r="96" spans="1:40" x14ac:dyDescent="0.3">
      <c r="A96" s="261"/>
      <c r="B96" s="281"/>
      <c r="C96" s="291"/>
      <c r="D96" s="259" t="s">
        <v>2259</v>
      </c>
      <c r="E96" s="168">
        <f>E95-$D$95</f>
        <v>-57.463639563349261</v>
      </c>
      <c r="F96" s="168">
        <f>F95-$D$95</f>
        <v>-116.06558947274766</v>
      </c>
      <c r="G96" s="168">
        <f>G95-$D$95</f>
        <v>-102.52464405154751</v>
      </c>
      <c r="H96" s="168">
        <f>H95-$D$95</f>
        <v>-88.864662623597042</v>
      </c>
      <c r="I96" s="168">
        <f>I95-$D$95</f>
        <v>-75.08459876485017</v>
      </c>
      <c r="J96" s="261"/>
      <c r="K96" s="196"/>
      <c r="L96" s="196"/>
      <c r="M96" s="196"/>
      <c r="N96" s="196"/>
      <c r="O96" s="196"/>
      <c r="P96" s="196"/>
      <c r="Q96" s="196"/>
      <c r="R96" s="121"/>
      <c r="S96" s="121"/>
      <c r="T96" s="121"/>
      <c r="U96" s="121"/>
      <c r="V96" s="121"/>
      <c r="W96" s="121"/>
      <c r="X96" s="121"/>
      <c r="Y96" s="121"/>
      <c r="Z96" s="121"/>
      <c r="AJ96" s="260"/>
      <c r="AK96" s="260"/>
      <c r="AL96" s="260"/>
      <c r="AM96" s="260"/>
      <c r="AN96" s="260"/>
    </row>
    <row r="97" spans="1:40" x14ac:dyDescent="0.3">
      <c r="A97" s="261"/>
      <c r="B97" s="293"/>
      <c r="C97" s="196"/>
      <c r="D97" s="196"/>
      <c r="E97" s="196"/>
      <c r="F97" s="196"/>
      <c r="G97" s="196"/>
      <c r="H97" s="196"/>
      <c r="I97" s="196"/>
      <c r="J97" s="261"/>
      <c r="K97" s="261"/>
      <c r="L97" s="196"/>
      <c r="M97" s="196"/>
      <c r="N97" s="196"/>
      <c r="O97" s="196"/>
      <c r="P97" s="196"/>
      <c r="Q97" s="196"/>
      <c r="R97" s="121"/>
      <c r="S97" s="121"/>
      <c r="T97" s="121"/>
      <c r="U97" s="121"/>
      <c r="V97" s="121"/>
      <c r="W97" s="121"/>
      <c r="X97" s="121"/>
      <c r="Y97" s="121"/>
      <c r="Z97" s="121"/>
      <c r="AJ97" s="260"/>
      <c r="AK97" s="260"/>
      <c r="AL97" s="260"/>
      <c r="AM97" s="260"/>
      <c r="AN97" s="260"/>
    </row>
    <row r="98" spans="1:40" x14ac:dyDescent="0.3">
      <c r="A98" s="567"/>
      <c r="B98" s="573" t="s">
        <v>2106</v>
      </c>
      <c r="C98" s="568"/>
      <c r="D98" s="569"/>
      <c r="E98" s="568"/>
      <c r="F98" s="570"/>
      <c r="G98" s="571"/>
      <c r="H98" s="571"/>
      <c r="I98" s="572"/>
      <c r="J98" s="567"/>
      <c r="K98" s="567"/>
      <c r="L98" s="567"/>
      <c r="M98" s="567"/>
      <c r="N98" s="567"/>
      <c r="O98" s="567"/>
      <c r="P98" s="567"/>
      <c r="Q98" s="567"/>
      <c r="R98" s="121"/>
      <c r="S98" s="121"/>
      <c r="T98" s="121"/>
      <c r="U98" s="121"/>
      <c r="V98" s="121"/>
      <c r="W98" s="121"/>
      <c r="X98" s="121"/>
      <c r="Y98" s="121"/>
      <c r="Z98" s="121"/>
      <c r="AJ98" s="260"/>
      <c r="AK98" s="260"/>
      <c r="AL98" s="260"/>
      <c r="AM98" s="260"/>
      <c r="AN98" s="260"/>
    </row>
    <row r="99" spans="1:40" x14ac:dyDescent="0.3">
      <c r="A99" s="263"/>
      <c r="B99" s="348" t="s">
        <v>2107</v>
      </c>
      <c r="C99" s="349"/>
      <c r="D99" s="349"/>
      <c r="E99" s="349"/>
      <c r="F99" s="349"/>
      <c r="G99" s="349"/>
      <c r="H99" s="349"/>
      <c r="I99" s="199"/>
      <c r="J99" s="263"/>
      <c r="K99" s="263"/>
      <c r="L99" s="263"/>
      <c r="M99" s="263"/>
      <c r="N99" s="263"/>
      <c r="O99" s="263"/>
      <c r="P99" s="263"/>
      <c r="Q99" s="263"/>
      <c r="R99" s="121"/>
      <c r="V99" s="121"/>
    </row>
    <row r="100" spans="1:40" ht="43.2" x14ac:dyDescent="0.3">
      <c r="A100" s="263"/>
      <c r="B100" s="253" t="s">
        <v>2033</v>
      </c>
      <c r="C100" s="363" t="s">
        <v>2091</v>
      </c>
      <c r="D100" s="840" t="s">
        <v>2082</v>
      </c>
      <c r="E100" s="231" t="s">
        <v>1885</v>
      </c>
      <c r="F100" s="231" t="s">
        <v>1886</v>
      </c>
      <c r="G100" s="152" t="s">
        <v>2054</v>
      </c>
      <c r="H100" s="152" t="s">
        <v>2055</v>
      </c>
      <c r="I100" s="231" t="s">
        <v>2056</v>
      </c>
      <c r="J100" s="263"/>
      <c r="K100" s="263"/>
      <c r="L100" s="263"/>
      <c r="M100" s="263"/>
      <c r="N100" s="263"/>
      <c r="O100" s="263"/>
      <c r="P100" s="263"/>
      <c r="Q100" s="263"/>
      <c r="R100" s="121"/>
      <c r="V100" s="121"/>
    </row>
    <row r="101" spans="1:40" x14ac:dyDescent="0.3">
      <c r="A101" s="263"/>
      <c r="B101" s="313" t="str">
        <f>'Capacity inputs'!G13</f>
        <v xml:space="preserve">Durvalumab with tremelimumab </v>
      </c>
      <c r="C101" s="914">
        <f>'Capacity inputs'!F20*'Capacity inputs'!G20</f>
        <v>0</v>
      </c>
      <c r="D101" s="915">
        <f t="shared" ref="D101:I102" si="47">D61*$C101</f>
        <v>0</v>
      </c>
      <c r="E101" s="915">
        <f t="shared" si="47"/>
        <v>0</v>
      </c>
      <c r="F101" s="915">
        <f t="shared" si="47"/>
        <v>0</v>
      </c>
      <c r="G101" s="915">
        <f t="shared" si="47"/>
        <v>0</v>
      </c>
      <c r="H101" s="915">
        <f t="shared" si="47"/>
        <v>0</v>
      </c>
      <c r="I101" s="915">
        <f t="shared" si="47"/>
        <v>0</v>
      </c>
      <c r="J101" s="263"/>
      <c r="K101" s="263"/>
      <c r="L101" s="263"/>
      <c r="M101" s="263"/>
      <c r="N101" s="263"/>
      <c r="O101" s="263"/>
      <c r="P101" s="263"/>
      <c r="Q101" s="263"/>
      <c r="R101" s="121"/>
      <c r="V101" s="121"/>
    </row>
    <row r="102" spans="1:40" x14ac:dyDescent="0.3">
      <c r="A102" s="263"/>
      <c r="B102" s="313" t="str">
        <f>'Capacity inputs'!H13</f>
        <v xml:space="preserve">Atezolizumab with bevacizumab </v>
      </c>
      <c r="C102" s="914">
        <f>'Capacity inputs'!F20*'Capacity inputs'!H20</f>
        <v>0</v>
      </c>
      <c r="D102" s="915">
        <f t="shared" si="47"/>
        <v>0</v>
      </c>
      <c r="E102" s="915">
        <f t="shared" si="47"/>
        <v>0</v>
      </c>
      <c r="F102" s="915">
        <f t="shared" si="47"/>
        <v>0</v>
      </c>
      <c r="G102" s="915">
        <f t="shared" si="47"/>
        <v>0</v>
      </c>
      <c r="H102" s="915">
        <f t="shared" si="47"/>
        <v>0</v>
      </c>
      <c r="I102" s="915">
        <f t="shared" si="47"/>
        <v>0</v>
      </c>
      <c r="J102" s="263"/>
      <c r="K102" s="263"/>
      <c r="L102" s="263"/>
      <c r="M102" s="263"/>
      <c r="N102" s="263"/>
      <c r="O102" s="263"/>
      <c r="P102" s="263"/>
      <c r="Q102" s="263"/>
      <c r="R102" s="121"/>
      <c r="V102" s="121"/>
    </row>
    <row r="103" spans="1:40" x14ac:dyDescent="0.3">
      <c r="A103" s="263"/>
      <c r="B103" s="313" t="str">
        <f>'Capacity inputs'!I13</f>
        <v xml:space="preserve">Lenvatinib </v>
      </c>
      <c r="C103" s="914">
        <f>'Capacity inputs'!F20*'Capacity inputs'!I20</f>
        <v>0</v>
      </c>
      <c r="D103" s="915">
        <f>'Financial impact (cash)'!D15*$C103</f>
        <v>0</v>
      </c>
      <c r="E103" s="915">
        <f>'Financial impact (cash)'!E15*$C103</f>
        <v>0</v>
      </c>
      <c r="F103" s="915">
        <f>'Financial impact (cash)'!F15*$C103</f>
        <v>0</v>
      </c>
      <c r="G103" s="915">
        <f>'Financial impact (cash)'!G15*$C103</f>
        <v>0</v>
      </c>
      <c r="H103" s="915">
        <f>'Financial impact (cash)'!H15*$C103</f>
        <v>0</v>
      </c>
      <c r="I103" s="915">
        <f>'Financial impact (cash)'!I15*$C103</f>
        <v>0</v>
      </c>
      <c r="J103" s="263"/>
      <c r="K103" s="263"/>
      <c r="L103" s="263"/>
      <c r="M103" s="263"/>
      <c r="N103" s="263"/>
      <c r="O103" s="263"/>
      <c r="P103" s="263"/>
      <c r="Q103" s="263"/>
      <c r="R103" s="121"/>
      <c r="V103" s="121"/>
    </row>
    <row r="104" spans="1:40" x14ac:dyDescent="0.3">
      <c r="A104" s="263"/>
      <c r="B104" s="313" t="str">
        <f>'Capacity inputs'!J13</f>
        <v>Sorafenib</v>
      </c>
      <c r="C104" s="914">
        <f>'Capacity inputs'!F20*'Capacity inputs'!J20</f>
        <v>0</v>
      </c>
      <c r="D104" s="915">
        <f>'Financial impact (cash)'!D16*$C104</f>
        <v>0</v>
      </c>
      <c r="E104" s="915">
        <f>'Financial impact (cash)'!E16*$C104</f>
        <v>0</v>
      </c>
      <c r="F104" s="915">
        <f>'Financial impact (cash)'!F16*$C104</f>
        <v>0</v>
      </c>
      <c r="G104" s="915">
        <f>'Financial impact (cash)'!G16*$C104</f>
        <v>0</v>
      </c>
      <c r="H104" s="915">
        <f>'Financial impact (cash)'!H16*$C104</f>
        <v>0</v>
      </c>
      <c r="I104" s="915">
        <f>'Financial impact (cash)'!I16*$C104</f>
        <v>0</v>
      </c>
      <c r="J104" s="263"/>
      <c r="K104" s="263"/>
      <c r="L104" s="263"/>
      <c r="M104" s="263"/>
      <c r="N104" s="263"/>
      <c r="O104" s="263"/>
      <c r="P104" s="263"/>
      <c r="Q104" s="263"/>
      <c r="R104" s="121"/>
      <c r="V104" s="121"/>
    </row>
    <row r="105" spans="1:40" x14ac:dyDescent="0.3">
      <c r="A105" s="263"/>
      <c r="B105" s="254"/>
      <c r="C105" s="189"/>
      <c r="D105" s="168">
        <f t="shared" ref="D105:I105" si="48">SUM(D101:D104)</f>
        <v>0</v>
      </c>
      <c r="E105" s="168">
        <f t="shared" si="48"/>
        <v>0</v>
      </c>
      <c r="F105" s="168">
        <f t="shared" si="48"/>
        <v>0</v>
      </c>
      <c r="G105" s="168">
        <f t="shared" si="48"/>
        <v>0</v>
      </c>
      <c r="H105" s="168">
        <f t="shared" si="48"/>
        <v>0</v>
      </c>
      <c r="I105" s="168">
        <f t="shared" si="48"/>
        <v>0</v>
      </c>
      <c r="J105" s="263"/>
      <c r="K105" s="263"/>
      <c r="L105" s="263"/>
      <c r="M105" s="263"/>
      <c r="N105" s="263"/>
      <c r="O105" s="263"/>
      <c r="P105" s="263"/>
      <c r="Q105" s="263"/>
      <c r="R105" s="121"/>
      <c r="V105" s="121"/>
    </row>
    <row r="106" spans="1:40" x14ac:dyDescent="0.3">
      <c r="A106" s="263"/>
      <c r="B106" s="281"/>
      <c r="C106" s="203"/>
      <c r="D106" s="259" t="s">
        <v>2108</v>
      </c>
      <c r="E106" s="168">
        <f>E105-$D$105</f>
        <v>0</v>
      </c>
      <c r="F106" s="168">
        <f>F105-$D$105</f>
        <v>0</v>
      </c>
      <c r="G106" s="168">
        <f>G105-$D$105</f>
        <v>0</v>
      </c>
      <c r="H106" s="168">
        <f>H105-$D$105</f>
        <v>0</v>
      </c>
      <c r="I106" s="168">
        <f>I105-$D$105</f>
        <v>0</v>
      </c>
      <c r="J106" s="263"/>
      <c r="K106" s="263"/>
      <c r="L106" s="263"/>
      <c r="M106" s="263"/>
      <c r="N106" s="263"/>
      <c r="O106" s="263"/>
      <c r="P106" s="263"/>
      <c r="Q106" s="263"/>
      <c r="R106" s="121"/>
      <c r="V106" s="121"/>
    </row>
    <row r="107" spans="1:40" x14ac:dyDescent="0.3">
      <c r="A107" s="263"/>
      <c r="B107" s="294"/>
      <c r="C107" s="349"/>
      <c r="D107" s="200"/>
      <c r="E107" s="200"/>
      <c r="F107" s="200"/>
      <c r="G107" s="200"/>
      <c r="H107" s="200"/>
      <c r="I107" s="200"/>
      <c r="J107" s="200"/>
      <c r="K107" s="200"/>
      <c r="L107" s="200"/>
      <c r="M107" s="200"/>
      <c r="N107" s="200"/>
      <c r="O107" s="200"/>
      <c r="P107" s="200"/>
      <c r="Q107" s="200"/>
      <c r="R107" s="121"/>
      <c r="S107" s="121"/>
      <c r="T107" s="121"/>
      <c r="U107" s="121"/>
      <c r="V107" s="121"/>
      <c r="W107" s="121"/>
      <c r="X107" s="121"/>
      <c r="Y107" s="121"/>
      <c r="Z107" s="121"/>
      <c r="AJ107" s="260"/>
      <c r="AK107" s="260"/>
      <c r="AL107" s="260"/>
      <c r="AM107" s="260"/>
      <c r="AN107" s="260"/>
    </row>
    <row r="108" spans="1:40" x14ac:dyDescent="0.3">
      <c r="A108" s="297"/>
      <c r="B108" s="298" t="s">
        <v>2241</v>
      </c>
      <c r="C108" s="299"/>
      <c r="D108" s="299"/>
      <c r="E108" s="300"/>
      <c r="F108" s="301"/>
      <c r="G108" s="302"/>
      <c r="H108" s="302"/>
      <c r="I108" s="342"/>
      <c r="J108" s="297"/>
      <c r="K108" s="297"/>
      <c r="L108" s="297"/>
      <c r="M108" s="297"/>
      <c r="N108" s="297"/>
      <c r="O108" s="297"/>
      <c r="P108" s="297"/>
      <c r="Q108" s="360"/>
      <c r="R108" s="121"/>
      <c r="S108" s="121"/>
      <c r="T108" s="121"/>
      <c r="U108" s="121"/>
      <c r="V108" s="121"/>
      <c r="W108" s="121"/>
      <c r="X108" s="121"/>
      <c r="Y108" s="121"/>
      <c r="Z108" s="121"/>
      <c r="AJ108" s="260"/>
      <c r="AK108" s="260"/>
      <c r="AL108" s="260"/>
      <c r="AM108" s="260"/>
      <c r="AN108" s="260"/>
    </row>
    <row r="109" spans="1:40" x14ac:dyDescent="0.3">
      <c r="A109" s="297"/>
      <c r="B109" s="352" t="s">
        <v>2230</v>
      </c>
      <c r="C109" s="353"/>
      <c r="D109" s="353"/>
      <c r="E109" s="353"/>
      <c r="F109" s="353"/>
      <c r="G109" s="353"/>
      <c r="H109" s="353"/>
      <c r="I109" s="303"/>
      <c r="J109" s="360"/>
      <c r="K109" s="360"/>
      <c r="L109" s="297"/>
      <c r="M109" s="297"/>
      <c r="N109" s="297"/>
      <c r="O109" s="297"/>
      <c r="P109" s="297"/>
      <c r="Q109" s="360"/>
      <c r="R109" s="121"/>
      <c r="S109" s="121"/>
      <c r="T109" s="121"/>
      <c r="U109" s="121"/>
      <c r="V109" s="121"/>
      <c r="W109" s="121"/>
      <c r="X109" s="121"/>
      <c r="Y109" s="121"/>
      <c r="Z109" s="121"/>
      <c r="AJ109" s="260"/>
      <c r="AK109" s="260"/>
      <c r="AL109" s="260"/>
      <c r="AM109" s="260"/>
      <c r="AN109" s="260"/>
    </row>
    <row r="110" spans="1:40" ht="58.2" customHeight="1" x14ac:dyDescent="0.3">
      <c r="A110" s="297"/>
      <c r="B110" s="253" t="s">
        <v>2033</v>
      </c>
      <c r="C110" s="153" t="s">
        <v>2096</v>
      </c>
      <c r="D110" s="840" t="s">
        <v>2082</v>
      </c>
      <c r="E110" s="231" t="s">
        <v>1885</v>
      </c>
      <c r="F110" s="231" t="s">
        <v>1886</v>
      </c>
      <c r="G110" s="152" t="s">
        <v>2054</v>
      </c>
      <c r="H110" s="152" t="s">
        <v>2055</v>
      </c>
      <c r="I110" s="231" t="s">
        <v>2056</v>
      </c>
      <c r="J110" s="297"/>
      <c r="K110" s="360"/>
      <c r="L110" s="297"/>
      <c r="M110" s="297"/>
      <c r="N110" s="297"/>
      <c r="O110" s="297"/>
      <c r="P110" s="297"/>
      <c r="Q110" s="360"/>
      <c r="R110" s="121"/>
      <c r="S110" s="121"/>
      <c r="T110" s="121"/>
      <c r="U110" s="121"/>
      <c r="V110" s="121"/>
      <c r="W110" s="121"/>
      <c r="X110" s="121"/>
      <c r="Y110" s="121"/>
      <c r="Z110" s="121"/>
      <c r="AJ110" s="260"/>
      <c r="AK110" s="260"/>
      <c r="AL110" s="260"/>
      <c r="AM110" s="260"/>
      <c r="AN110" s="260"/>
    </row>
    <row r="111" spans="1:40" x14ac:dyDescent="0.3">
      <c r="A111" s="297"/>
      <c r="B111" s="313" t="str">
        <f>'Capacity inputs'!G13</f>
        <v xml:space="preserve">Durvalumab with tremelimumab </v>
      </c>
      <c r="C111" s="137">
        <f>'Capacity inputs'!G21</f>
        <v>0</v>
      </c>
      <c r="D111" s="116">
        <f>$C111*'Financial impact (cash)'!D13</f>
        <v>0</v>
      </c>
      <c r="E111" s="116">
        <f>$C111*'Financial impact (cash)'!E13</f>
        <v>0</v>
      </c>
      <c r="F111" s="116">
        <f>$C111*'Financial impact (cash)'!F13</f>
        <v>0</v>
      </c>
      <c r="G111" s="116">
        <f>$C111*'Financial impact (cash)'!G13</f>
        <v>0</v>
      </c>
      <c r="H111" s="116">
        <f>$C111*'Financial impact (cash)'!H13</f>
        <v>0</v>
      </c>
      <c r="I111" s="116">
        <f>$C111*'Financial impact (cash)'!I13</f>
        <v>0</v>
      </c>
      <c r="J111" s="297"/>
      <c r="K111" s="360"/>
      <c r="L111" s="297"/>
      <c r="M111" s="297"/>
      <c r="N111" s="297"/>
      <c r="O111" s="297"/>
      <c r="P111" s="297"/>
      <c r="Q111" s="360"/>
      <c r="R111" s="121"/>
      <c r="S111" s="121"/>
      <c r="T111" s="121"/>
      <c r="U111" s="121"/>
      <c r="V111" s="121"/>
      <c r="W111" s="121"/>
      <c r="X111" s="121"/>
      <c r="Y111" s="121"/>
      <c r="Z111" s="121"/>
      <c r="AJ111" s="260"/>
      <c r="AK111" s="260"/>
      <c r="AL111" s="260"/>
      <c r="AM111" s="260"/>
      <c r="AN111" s="260"/>
    </row>
    <row r="112" spans="1:40" x14ac:dyDescent="0.3">
      <c r="A112" s="297"/>
      <c r="B112" s="313" t="str">
        <f>'Capacity inputs'!H13</f>
        <v xml:space="preserve">Atezolizumab with bevacizumab </v>
      </c>
      <c r="C112" s="137">
        <f>'Capacity inputs'!H21</f>
        <v>1</v>
      </c>
      <c r="D112" s="116">
        <f>$C112*'Financial impact (cash)'!D14</f>
        <v>683.05828648663112</v>
      </c>
      <c r="E112" s="116">
        <f>$C112*'Financial impact (cash)'!E14</f>
        <v>659.36194027494071</v>
      </c>
      <c r="F112" s="116">
        <f>$C112*'Financial impact (cash)'!F14</f>
        <v>635.19618773498257</v>
      </c>
      <c r="G112" s="116">
        <f>$C112*'Financial impact (cash)'!G14</f>
        <v>640.7800827540342</v>
      </c>
      <c r="H112" s="116">
        <f>$C112*'Financial impact (cash)'!H14</f>
        <v>646.41306478617867</v>
      </c>
      <c r="I112" s="116">
        <f>$C112*'Financial impact (cash)'!I14</f>
        <v>652.09556534648664</v>
      </c>
      <c r="J112" s="297"/>
      <c r="K112" s="360"/>
      <c r="L112" s="297"/>
      <c r="M112" s="297"/>
      <c r="N112" s="297"/>
      <c r="O112" s="297"/>
      <c r="P112" s="297"/>
      <c r="Q112" s="360"/>
      <c r="R112" s="121"/>
      <c r="S112" s="121"/>
      <c r="T112" s="121"/>
      <c r="U112" s="121"/>
      <c r="V112" s="121"/>
      <c r="W112" s="121"/>
      <c r="X112" s="121"/>
      <c r="Y112" s="121"/>
      <c r="Z112" s="121"/>
      <c r="AJ112" s="260"/>
      <c r="AK112" s="260"/>
      <c r="AL112" s="260"/>
      <c r="AM112" s="260"/>
      <c r="AN112" s="260"/>
    </row>
    <row r="113" spans="1:40" x14ac:dyDescent="0.3">
      <c r="A113" s="297"/>
      <c r="B113" s="313" t="str">
        <f>'Capacity inputs'!I13</f>
        <v xml:space="preserve">Lenvatinib </v>
      </c>
      <c r="C113" s="137">
        <f>'Capacity inputs'!I21</f>
        <v>0</v>
      </c>
      <c r="D113" s="116">
        <f>$C113*'Financial impact (cash)'!D15</f>
        <v>0</v>
      </c>
      <c r="E113" s="116">
        <f>$C113*'Financial impact (cash)'!E15</f>
        <v>0</v>
      </c>
      <c r="F113" s="116">
        <f>$C113*'Financial impact (cash)'!F15</f>
        <v>0</v>
      </c>
      <c r="G113" s="116">
        <f>$C113*'Financial impact (cash)'!G15</f>
        <v>0</v>
      </c>
      <c r="H113" s="116">
        <f>$C113*'Financial impact (cash)'!H15</f>
        <v>0</v>
      </c>
      <c r="I113" s="116">
        <f>$C113*'Financial impact (cash)'!I15</f>
        <v>0</v>
      </c>
      <c r="J113" s="297"/>
      <c r="K113" s="360"/>
      <c r="L113" s="297"/>
      <c r="M113" s="297"/>
      <c r="N113" s="297"/>
      <c r="O113" s="297"/>
      <c r="P113" s="297"/>
      <c r="Q113" s="360"/>
      <c r="R113" s="121"/>
      <c r="S113" s="121"/>
      <c r="T113" s="121"/>
      <c r="U113" s="121"/>
      <c r="V113" s="121"/>
      <c r="W113" s="121"/>
      <c r="X113" s="121"/>
      <c r="Y113" s="121"/>
      <c r="Z113" s="121"/>
      <c r="AJ113" s="260"/>
      <c r="AK113" s="260"/>
      <c r="AL113" s="260"/>
      <c r="AM113" s="260"/>
      <c r="AN113" s="260"/>
    </row>
    <row r="114" spans="1:40" x14ac:dyDescent="0.3">
      <c r="A114" s="297"/>
      <c r="B114" s="313" t="str">
        <f>'Capacity inputs'!J13</f>
        <v>Sorafenib</v>
      </c>
      <c r="C114" s="137">
        <f>'Capacity inputs'!J21</f>
        <v>0</v>
      </c>
      <c r="D114" s="116">
        <f>$C114*'Financial impact (cash)'!D16</f>
        <v>0</v>
      </c>
      <c r="E114" s="116">
        <f>$C114*'Financial impact (cash)'!E16</f>
        <v>0</v>
      </c>
      <c r="F114" s="116">
        <f>$C114*'Financial impact (cash)'!F16</f>
        <v>0</v>
      </c>
      <c r="G114" s="116">
        <f>$C114*'Financial impact (cash)'!G16</f>
        <v>0</v>
      </c>
      <c r="H114" s="116">
        <f>$C114*'Financial impact (cash)'!H16</f>
        <v>0</v>
      </c>
      <c r="I114" s="116">
        <f>$C114*'Financial impact (cash)'!I16</f>
        <v>0</v>
      </c>
      <c r="J114" s="297"/>
      <c r="K114" s="360"/>
      <c r="L114" s="297"/>
      <c r="M114" s="297"/>
      <c r="N114" s="297"/>
      <c r="O114" s="297"/>
      <c r="P114" s="297"/>
      <c r="Q114" s="360"/>
      <c r="R114" s="121"/>
      <c r="S114" s="121"/>
      <c r="T114" s="121"/>
      <c r="U114" s="121"/>
      <c r="V114" s="121"/>
      <c r="W114" s="121"/>
      <c r="X114" s="121"/>
      <c r="Y114" s="121"/>
      <c r="Z114" s="121"/>
      <c r="AJ114" s="260"/>
      <c r="AK114" s="260"/>
      <c r="AL114" s="260"/>
      <c r="AM114" s="260"/>
      <c r="AN114" s="260"/>
    </row>
    <row r="115" spans="1:40" x14ac:dyDescent="0.3">
      <c r="A115" s="297"/>
      <c r="B115" s="254"/>
      <c r="C115" s="189"/>
      <c r="D115" s="168">
        <f t="shared" ref="D115:I115" si="49">SUM(D111:D114)</f>
        <v>683.05828648663112</v>
      </c>
      <c r="E115" s="168">
        <f t="shared" si="49"/>
        <v>659.36194027494071</v>
      </c>
      <c r="F115" s="168">
        <f t="shared" si="49"/>
        <v>635.19618773498257</v>
      </c>
      <c r="G115" s="168">
        <f t="shared" si="49"/>
        <v>640.7800827540342</v>
      </c>
      <c r="H115" s="168">
        <f t="shared" si="49"/>
        <v>646.41306478617867</v>
      </c>
      <c r="I115" s="168">
        <f t="shared" si="49"/>
        <v>652.09556534648664</v>
      </c>
      <c r="J115" s="297"/>
      <c r="K115" s="360"/>
      <c r="L115" s="297"/>
      <c r="M115" s="297"/>
      <c r="N115" s="297"/>
      <c r="O115" s="297"/>
      <c r="P115" s="297"/>
      <c r="Q115" s="360"/>
      <c r="R115" s="121"/>
      <c r="S115" s="121"/>
      <c r="T115" s="121"/>
      <c r="U115" s="121"/>
      <c r="V115" s="121"/>
      <c r="W115" s="121"/>
      <c r="X115" s="121"/>
      <c r="Y115" s="121"/>
      <c r="Z115" s="121"/>
      <c r="AJ115" s="260"/>
      <c r="AK115" s="260"/>
      <c r="AL115" s="260"/>
      <c r="AM115" s="260"/>
      <c r="AN115" s="260"/>
    </row>
    <row r="116" spans="1:40" x14ac:dyDescent="0.3">
      <c r="A116" s="297"/>
      <c r="B116" s="281"/>
      <c r="C116" s="232"/>
      <c r="D116" s="259" t="s">
        <v>2243</v>
      </c>
      <c r="E116" s="168">
        <f>E115-$D$115</f>
        <v>-23.696346211690411</v>
      </c>
      <c r="F116" s="168">
        <f>F115-$D$115</f>
        <v>-47.862098751648546</v>
      </c>
      <c r="G116" s="168">
        <f>G115-$D$115</f>
        <v>-42.278203732596921</v>
      </c>
      <c r="H116" s="168">
        <f>H115-$D$115</f>
        <v>-36.645221700452453</v>
      </c>
      <c r="I116" s="168">
        <f>I115-$D$115</f>
        <v>-30.962721140144481</v>
      </c>
      <c r="J116" s="297"/>
      <c r="K116" s="360"/>
      <c r="L116" s="297"/>
      <c r="M116" s="297"/>
      <c r="N116" s="297"/>
      <c r="O116" s="297"/>
      <c r="P116" s="297"/>
      <c r="Q116" s="360"/>
      <c r="R116" s="121"/>
      <c r="V116" s="121"/>
    </row>
    <row r="117" spans="1:40" x14ac:dyDescent="0.3">
      <c r="A117" s="297"/>
      <c r="B117" s="297"/>
      <c r="C117" s="297"/>
      <c r="D117" s="297"/>
      <c r="E117" s="297"/>
      <c r="F117" s="297"/>
      <c r="G117" s="297"/>
      <c r="H117" s="297"/>
      <c r="I117" s="297"/>
      <c r="J117" s="297"/>
      <c r="K117" s="360"/>
      <c r="L117" s="297"/>
      <c r="M117" s="297"/>
      <c r="N117" s="297"/>
      <c r="O117" s="297"/>
      <c r="P117" s="297"/>
      <c r="Q117" s="360"/>
      <c r="R117" s="121"/>
      <c r="V117" s="121"/>
    </row>
    <row r="118" spans="1:40" hidden="1" x14ac:dyDescent="0.3">
      <c r="A118" s="264"/>
      <c r="B118" s="295" t="s">
        <v>2109</v>
      </c>
      <c r="C118" s="283"/>
      <c r="D118" s="284"/>
      <c r="E118" s="285"/>
      <c r="F118" s="286"/>
      <c r="G118" s="286"/>
      <c r="H118" s="286"/>
      <c r="I118" s="380"/>
      <c r="J118" s="264"/>
      <c r="K118" s="264"/>
      <c r="L118" s="264"/>
      <c r="M118" s="264"/>
      <c r="N118" s="264"/>
      <c r="O118" s="264"/>
      <c r="P118" s="264"/>
      <c r="Q118" s="202"/>
      <c r="R118" s="121"/>
      <c r="S118" s="121"/>
      <c r="T118" s="121"/>
      <c r="U118" s="121"/>
      <c r="V118" s="121"/>
      <c r="W118" s="121"/>
      <c r="X118" s="121"/>
      <c r="Y118" s="121"/>
      <c r="Z118" s="121"/>
      <c r="AJ118" s="260"/>
      <c r="AK118" s="260"/>
      <c r="AL118" s="260"/>
      <c r="AM118" s="260"/>
      <c r="AN118" s="260"/>
    </row>
    <row r="119" spans="1:40" hidden="1" x14ac:dyDescent="0.3">
      <c r="A119" s="264"/>
      <c r="B119" s="354" t="s">
        <v>2110</v>
      </c>
      <c r="C119" s="355"/>
      <c r="D119" s="355"/>
      <c r="E119" s="355"/>
      <c r="F119" s="355"/>
      <c r="G119" s="355"/>
      <c r="H119" s="355"/>
      <c r="I119" s="201"/>
      <c r="J119" s="202"/>
      <c r="K119" s="264"/>
      <c r="L119" s="264"/>
      <c r="M119" s="264"/>
      <c r="N119" s="264"/>
      <c r="O119" s="264"/>
      <c r="P119" s="264"/>
      <c r="Q119" s="202"/>
      <c r="R119" s="121"/>
      <c r="S119" s="121"/>
      <c r="T119" s="121"/>
      <c r="U119" s="121"/>
      <c r="V119" s="121"/>
      <c r="W119" s="121"/>
      <c r="X119" s="121"/>
      <c r="Y119" s="121"/>
      <c r="Z119" s="121"/>
      <c r="AJ119" s="260"/>
      <c r="AK119" s="260"/>
      <c r="AL119" s="260"/>
      <c r="AM119" s="260"/>
      <c r="AN119" s="260"/>
    </row>
    <row r="120" spans="1:40" ht="43.2" hidden="1" x14ac:dyDescent="0.3">
      <c r="A120" s="264"/>
      <c r="B120" s="253" t="s">
        <v>2033</v>
      </c>
      <c r="C120" s="153" t="s">
        <v>2096</v>
      </c>
      <c r="D120" s="840" t="s">
        <v>2082</v>
      </c>
      <c r="E120" s="231" t="s">
        <v>1885</v>
      </c>
      <c r="F120" s="231" t="s">
        <v>1886</v>
      </c>
      <c r="G120" s="152" t="s">
        <v>2054</v>
      </c>
      <c r="H120" s="152" t="s">
        <v>2055</v>
      </c>
      <c r="I120" s="231" t="s">
        <v>2056</v>
      </c>
      <c r="J120" s="264"/>
      <c r="K120" s="264"/>
      <c r="L120" s="264"/>
      <c r="M120" s="264"/>
      <c r="N120" s="264"/>
      <c r="O120" s="264"/>
      <c r="P120" s="264"/>
      <c r="Q120" s="202"/>
      <c r="R120" s="121"/>
      <c r="S120" s="121"/>
      <c r="T120" s="121"/>
      <c r="U120" s="121"/>
      <c r="V120" s="121"/>
      <c r="W120" s="121"/>
      <c r="X120" s="121"/>
      <c r="Y120" s="121"/>
      <c r="Z120" s="121"/>
      <c r="AJ120" s="260"/>
      <c r="AK120" s="260"/>
      <c r="AL120" s="260"/>
      <c r="AM120" s="260"/>
      <c r="AN120" s="260"/>
    </row>
    <row r="121" spans="1:40" hidden="1" x14ac:dyDescent="0.3">
      <c r="A121" s="264"/>
      <c r="B121" s="313" t="str">
        <f>'Capacity inputs'!G13</f>
        <v xml:space="preserve">Durvalumab with tremelimumab </v>
      </c>
      <c r="C121" s="137">
        <f>'Capacity inputs'!G22</f>
        <v>0</v>
      </c>
      <c r="D121" s="116">
        <f>$C121*'Financial impact (cash)'!D13</f>
        <v>0</v>
      </c>
      <c r="E121" s="116">
        <f>$C121*'Financial impact (cash)'!E13</f>
        <v>0</v>
      </c>
      <c r="F121" s="116">
        <f>$C121*'Financial impact (cash)'!F13</f>
        <v>0</v>
      </c>
      <c r="G121" s="116">
        <f>$C121*'Financial impact (cash)'!G13</f>
        <v>0</v>
      </c>
      <c r="H121" s="116">
        <f>$C121*'Financial impact (cash)'!H13</f>
        <v>0</v>
      </c>
      <c r="I121" s="116">
        <f>$C121*'Financial impact (cash)'!I13</f>
        <v>0</v>
      </c>
      <c r="J121" s="264"/>
      <c r="K121" s="264"/>
      <c r="L121" s="264"/>
      <c r="M121" s="264"/>
      <c r="N121" s="264"/>
      <c r="O121" s="264"/>
      <c r="P121" s="264"/>
      <c r="Q121" s="202"/>
      <c r="R121" s="121"/>
      <c r="S121" s="121"/>
      <c r="T121" s="121"/>
      <c r="U121" s="121"/>
      <c r="V121" s="121"/>
      <c r="W121" s="121"/>
      <c r="X121" s="121"/>
      <c r="Y121" s="121"/>
      <c r="Z121" s="121"/>
      <c r="AJ121" s="260"/>
      <c r="AK121" s="260"/>
      <c r="AL121" s="260"/>
      <c r="AM121" s="260"/>
      <c r="AN121" s="260"/>
    </row>
    <row r="122" spans="1:40" hidden="1" x14ac:dyDescent="0.3">
      <c r="A122" s="264"/>
      <c r="B122" s="313" t="str">
        <f>'Capacity inputs'!H13</f>
        <v xml:space="preserve">Atezolizumab with bevacizumab </v>
      </c>
      <c r="C122" s="137">
        <f>'Capacity inputs'!H22</f>
        <v>0</v>
      </c>
      <c r="D122" s="116">
        <f>$C122*'Financial impact (cash)'!D14</f>
        <v>0</v>
      </c>
      <c r="E122" s="116">
        <f>$C122*'Financial impact (cash)'!E14</f>
        <v>0</v>
      </c>
      <c r="F122" s="116">
        <f>$C122*'Financial impact (cash)'!F14</f>
        <v>0</v>
      </c>
      <c r="G122" s="116">
        <f>$C122*'Financial impact (cash)'!G14</f>
        <v>0</v>
      </c>
      <c r="H122" s="116">
        <f>$C122*'Financial impact (cash)'!H14</f>
        <v>0</v>
      </c>
      <c r="I122" s="116">
        <f>$C122*'Financial impact (cash)'!I14</f>
        <v>0</v>
      </c>
      <c r="J122" s="264"/>
      <c r="K122" s="264"/>
      <c r="L122" s="264"/>
      <c r="M122" s="264"/>
      <c r="N122" s="264"/>
      <c r="O122" s="264"/>
      <c r="P122" s="264"/>
      <c r="Q122" s="202"/>
      <c r="R122" s="121"/>
      <c r="S122" s="121"/>
      <c r="T122" s="121"/>
      <c r="U122" s="121"/>
      <c r="V122" s="121"/>
      <c r="W122" s="121"/>
      <c r="X122" s="121"/>
      <c r="Y122" s="121"/>
      <c r="Z122" s="121"/>
      <c r="AJ122" s="260"/>
      <c r="AK122" s="260"/>
      <c r="AL122" s="260"/>
      <c r="AM122" s="260"/>
      <c r="AN122" s="260"/>
    </row>
    <row r="123" spans="1:40" hidden="1" x14ac:dyDescent="0.3">
      <c r="A123" s="264"/>
      <c r="B123" s="313" t="str">
        <f>'Capacity inputs'!I13</f>
        <v xml:space="preserve">Lenvatinib </v>
      </c>
      <c r="C123" s="137">
        <f>'Capacity inputs'!I22</f>
        <v>0</v>
      </c>
      <c r="D123" s="116">
        <f>$C123*'Financial impact (cash)'!D15</f>
        <v>0</v>
      </c>
      <c r="E123" s="116">
        <f>$C123*'Financial impact (cash)'!E15</f>
        <v>0</v>
      </c>
      <c r="F123" s="116">
        <f>$C123*'Financial impact (cash)'!F15</f>
        <v>0</v>
      </c>
      <c r="G123" s="116">
        <f>$C123*'Financial impact (cash)'!G15</f>
        <v>0</v>
      </c>
      <c r="H123" s="116">
        <f>$C123*'Financial impact (cash)'!H15</f>
        <v>0</v>
      </c>
      <c r="I123" s="116">
        <f>$C123*'Financial impact (cash)'!I15</f>
        <v>0</v>
      </c>
      <c r="J123" s="264"/>
      <c r="K123" s="264"/>
      <c r="L123" s="264"/>
      <c r="M123" s="264"/>
      <c r="N123" s="264"/>
      <c r="O123" s="264"/>
      <c r="P123" s="264"/>
      <c r="Q123" s="202"/>
      <c r="R123" s="121"/>
      <c r="S123" s="121"/>
      <c r="T123" s="121"/>
      <c r="U123" s="121"/>
      <c r="V123" s="121"/>
      <c r="W123" s="121"/>
      <c r="X123" s="121"/>
      <c r="Y123" s="121"/>
      <c r="Z123" s="121"/>
      <c r="AJ123" s="260"/>
      <c r="AK123" s="260"/>
      <c r="AL123" s="260"/>
      <c r="AM123" s="260"/>
      <c r="AN123" s="260"/>
    </row>
    <row r="124" spans="1:40" hidden="1" x14ac:dyDescent="0.3">
      <c r="A124" s="264"/>
      <c r="B124" s="313" t="str">
        <f>'Capacity inputs'!J13</f>
        <v>Sorafenib</v>
      </c>
      <c r="C124" s="137">
        <f>'Capacity inputs'!J22</f>
        <v>0</v>
      </c>
      <c r="D124" s="116">
        <f>$C124*'Financial impact (cash)'!D16</f>
        <v>0</v>
      </c>
      <c r="E124" s="116">
        <f>$C124*'Financial impact (cash)'!E16</f>
        <v>0</v>
      </c>
      <c r="F124" s="116">
        <f>$C124*'Financial impact (cash)'!F16</f>
        <v>0</v>
      </c>
      <c r="G124" s="116">
        <f>$C124*'Financial impact (cash)'!G16</f>
        <v>0</v>
      </c>
      <c r="H124" s="116">
        <f>$C124*'Financial impact (cash)'!H16</f>
        <v>0</v>
      </c>
      <c r="I124" s="116">
        <f>$C124*'Financial impact (cash)'!I16</f>
        <v>0</v>
      </c>
      <c r="J124" s="264"/>
      <c r="K124" s="264"/>
      <c r="L124" s="264"/>
      <c r="M124" s="264"/>
      <c r="N124" s="264"/>
      <c r="O124" s="264"/>
      <c r="P124" s="264"/>
      <c r="Q124" s="202"/>
      <c r="R124" s="121"/>
      <c r="S124" s="121"/>
      <c r="T124" s="121"/>
      <c r="U124" s="121"/>
      <c r="V124" s="121"/>
      <c r="W124" s="121"/>
      <c r="X124" s="121"/>
      <c r="Y124" s="121"/>
      <c r="Z124" s="121"/>
      <c r="AJ124" s="260"/>
      <c r="AK124" s="260"/>
      <c r="AL124" s="260"/>
      <c r="AM124" s="260"/>
      <c r="AN124" s="260"/>
    </row>
    <row r="125" spans="1:40" hidden="1" x14ac:dyDescent="0.3">
      <c r="A125" s="264"/>
      <c r="B125" s="313" t="str">
        <f>'Capacity inputs'!K13</f>
        <v>Treatment E</v>
      </c>
      <c r="C125" s="137">
        <f>'Capacity inputs'!K22</f>
        <v>0</v>
      </c>
      <c r="D125" s="116" t="e">
        <f>$C125*'Financial impact (cash)'!#REF!</f>
        <v>#REF!</v>
      </c>
      <c r="E125" s="116" t="e">
        <f>$C125*'Financial impact (cash)'!#REF!</f>
        <v>#REF!</v>
      </c>
      <c r="F125" s="116" t="e">
        <f>$C125*'Financial impact (cash)'!#REF!</f>
        <v>#REF!</v>
      </c>
      <c r="G125" s="116" t="e">
        <f>$C125*'Financial impact (cash)'!#REF!</f>
        <v>#REF!</v>
      </c>
      <c r="H125" s="116" t="e">
        <f>$C125*'Financial impact (cash)'!#REF!</f>
        <v>#REF!</v>
      </c>
      <c r="I125" s="116" t="e">
        <f>$C125*'Financial impact (cash)'!#REF!</f>
        <v>#REF!</v>
      </c>
      <c r="J125" s="264"/>
      <c r="K125" s="264"/>
      <c r="L125" s="264"/>
      <c r="M125" s="264"/>
      <c r="N125" s="264"/>
      <c r="O125" s="264"/>
      <c r="P125" s="264"/>
      <c r="Q125" s="202"/>
      <c r="R125" s="121"/>
      <c r="S125" s="121"/>
      <c r="T125" s="121"/>
      <c r="U125" s="121"/>
      <c r="V125" s="121"/>
      <c r="W125" s="121"/>
      <c r="X125" s="121"/>
      <c r="Y125" s="121"/>
      <c r="Z125" s="121"/>
      <c r="AJ125" s="260"/>
      <c r="AK125" s="260"/>
      <c r="AL125" s="260"/>
      <c r="AM125" s="260"/>
      <c r="AN125" s="260"/>
    </row>
    <row r="126" spans="1:40" hidden="1" x14ac:dyDescent="0.3">
      <c r="A126" s="264"/>
      <c r="B126" s="254"/>
      <c r="C126" s="189"/>
      <c r="D126" s="168" t="e">
        <f>SUM(D121:D125)</f>
        <v>#REF!</v>
      </c>
      <c r="E126" s="168" t="e">
        <f t="shared" ref="E126:I126" si="50">SUM(E121:E125)</f>
        <v>#REF!</v>
      </c>
      <c r="F126" s="168" t="e">
        <f t="shared" si="50"/>
        <v>#REF!</v>
      </c>
      <c r="G126" s="168" t="e">
        <f t="shared" si="50"/>
        <v>#REF!</v>
      </c>
      <c r="H126" s="168" t="e">
        <f t="shared" si="50"/>
        <v>#REF!</v>
      </c>
      <c r="I126" s="168" t="e">
        <f t="shared" si="50"/>
        <v>#REF!</v>
      </c>
      <c r="J126" s="264"/>
      <c r="K126" s="264"/>
      <c r="L126" s="264"/>
      <c r="M126" s="264"/>
      <c r="N126" s="264"/>
      <c r="O126" s="264"/>
      <c r="P126" s="264"/>
      <c r="Q126" s="202"/>
      <c r="R126" s="121"/>
      <c r="S126" s="121"/>
      <c r="T126" s="121"/>
      <c r="U126" s="121"/>
      <c r="V126" s="121"/>
      <c r="W126" s="121"/>
      <c r="X126" s="121"/>
      <c r="Y126" s="121"/>
      <c r="Z126" s="121"/>
      <c r="AJ126" s="260"/>
      <c r="AK126" s="260"/>
      <c r="AL126" s="260"/>
      <c r="AM126" s="260"/>
      <c r="AN126" s="260"/>
    </row>
    <row r="127" spans="1:40" hidden="1" x14ac:dyDescent="0.3">
      <c r="A127" s="264"/>
      <c r="B127" s="281"/>
      <c r="C127" s="232"/>
      <c r="D127" s="259" t="s">
        <v>2111</v>
      </c>
      <c r="E127" s="168" t="e">
        <f>E126-$D$126</f>
        <v>#REF!</v>
      </c>
      <c r="F127" s="168" t="e">
        <f>F126-$D$126</f>
        <v>#REF!</v>
      </c>
      <c r="G127" s="168" t="e">
        <f>G126-$D$126</f>
        <v>#REF!</v>
      </c>
      <c r="H127" s="168" t="e">
        <f>H126-$D$126</f>
        <v>#REF!</v>
      </c>
      <c r="I127" s="168" t="e">
        <f>I126-$D$126</f>
        <v>#REF!</v>
      </c>
      <c r="J127" s="264"/>
      <c r="K127" s="264"/>
      <c r="L127" s="264"/>
      <c r="M127" s="264"/>
      <c r="N127" s="264"/>
      <c r="O127" s="264"/>
      <c r="P127" s="264"/>
      <c r="Q127" s="202"/>
      <c r="R127" s="121"/>
      <c r="V127" s="121"/>
    </row>
    <row r="128" spans="1:40" hidden="1" x14ac:dyDescent="0.3">
      <c r="A128" s="264"/>
      <c r="B128" s="296"/>
      <c r="C128" s="202"/>
      <c r="D128" s="202"/>
      <c r="E128" s="202"/>
      <c r="F128" s="202"/>
      <c r="G128" s="202"/>
      <c r="H128" s="202"/>
      <c r="I128" s="202"/>
      <c r="J128" s="264"/>
      <c r="K128" s="264"/>
      <c r="L128" s="264"/>
      <c r="M128" s="264"/>
      <c r="N128" s="264"/>
      <c r="O128" s="264"/>
      <c r="P128" s="264"/>
      <c r="Q128" s="202"/>
      <c r="R128" s="121"/>
      <c r="V128" s="121"/>
    </row>
    <row r="129" spans="1:40" hidden="1" x14ac:dyDescent="0.3">
      <c r="A129" s="264"/>
      <c r="B129" s="354" t="s">
        <v>2112</v>
      </c>
      <c r="C129" s="355"/>
      <c r="D129" s="355"/>
      <c r="E129" s="355"/>
      <c r="F129" s="355"/>
      <c r="G129" s="355"/>
      <c r="H129" s="355"/>
      <c r="I129" s="201"/>
      <c r="J129" s="264"/>
      <c r="K129" s="264"/>
      <c r="L129" s="264"/>
      <c r="M129" s="264"/>
      <c r="N129" s="264"/>
      <c r="O129" s="264"/>
      <c r="P129" s="264"/>
      <c r="Q129" s="202"/>
      <c r="R129" s="121"/>
      <c r="S129" s="121"/>
      <c r="T129" s="121"/>
      <c r="U129" s="121"/>
      <c r="V129" s="121"/>
      <c r="W129" s="121"/>
      <c r="X129" s="121"/>
      <c r="Y129" s="121"/>
      <c r="Z129" s="121"/>
      <c r="AJ129" s="260"/>
      <c r="AK129" s="260"/>
      <c r="AL129" s="260"/>
      <c r="AM129" s="260"/>
      <c r="AN129" s="260"/>
    </row>
    <row r="130" spans="1:40" ht="43.2" hidden="1" x14ac:dyDescent="0.3">
      <c r="A130" s="264"/>
      <c r="B130" s="253" t="s">
        <v>2033</v>
      </c>
      <c r="C130" s="153" t="s">
        <v>2096</v>
      </c>
      <c r="D130" s="840" t="s">
        <v>2082</v>
      </c>
      <c r="E130" s="231" t="s">
        <v>1885</v>
      </c>
      <c r="F130" s="231" t="s">
        <v>1886</v>
      </c>
      <c r="G130" s="152" t="s">
        <v>2054</v>
      </c>
      <c r="H130" s="152" t="s">
        <v>2055</v>
      </c>
      <c r="I130" s="231" t="s">
        <v>2056</v>
      </c>
      <c r="J130" s="264"/>
      <c r="K130" s="264"/>
      <c r="L130" s="264"/>
      <c r="M130" s="264"/>
      <c r="N130" s="264"/>
      <c r="O130" s="264"/>
      <c r="P130" s="264"/>
      <c r="Q130" s="202"/>
      <c r="R130" s="121"/>
      <c r="S130" s="121"/>
      <c r="T130" s="121"/>
      <c r="U130" s="121"/>
      <c r="V130" s="121"/>
      <c r="W130" s="121"/>
      <c r="X130" s="121"/>
      <c r="Y130" s="121"/>
      <c r="Z130" s="121"/>
      <c r="AJ130" s="260"/>
      <c r="AK130" s="260"/>
      <c r="AL130" s="260"/>
      <c r="AM130" s="260"/>
      <c r="AN130" s="260"/>
    </row>
    <row r="131" spans="1:40" hidden="1" x14ac:dyDescent="0.3">
      <c r="A131" s="264"/>
      <c r="B131" s="313" t="str">
        <f>'Capacity inputs'!G13</f>
        <v xml:space="preserve">Durvalumab with tremelimumab </v>
      </c>
      <c r="C131" s="137">
        <f>'Capacity inputs'!G23</f>
        <v>0</v>
      </c>
      <c r="D131" s="116">
        <f>'Financial impact (cash)'!D13*'Capacity (local prices)'!$C131</f>
        <v>0</v>
      </c>
      <c r="E131" s="116">
        <f>'Financial impact (cash)'!E13*'Capacity (local prices)'!$C131</f>
        <v>0</v>
      </c>
      <c r="F131" s="116">
        <f>'Financial impact (cash)'!F13*'Capacity (local prices)'!$C131</f>
        <v>0</v>
      </c>
      <c r="G131" s="116">
        <f>'Financial impact (cash)'!G13*'Capacity (local prices)'!$C131</f>
        <v>0</v>
      </c>
      <c r="H131" s="116">
        <f>'Financial impact (cash)'!H13*'Capacity (local prices)'!$C131</f>
        <v>0</v>
      </c>
      <c r="I131" s="116">
        <f>'Financial impact (cash)'!I13*'Capacity (local prices)'!$C131</f>
        <v>0</v>
      </c>
      <c r="J131" s="264"/>
      <c r="K131" s="264"/>
      <c r="L131" s="264"/>
      <c r="M131" s="264"/>
      <c r="N131" s="264"/>
      <c r="O131" s="264"/>
      <c r="P131" s="264"/>
      <c r="Q131" s="202"/>
      <c r="R131" s="121"/>
      <c r="S131" s="121"/>
      <c r="T131" s="121"/>
      <c r="U131" s="121"/>
      <c r="V131" s="121"/>
      <c r="W131" s="121"/>
      <c r="X131" s="121"/>
      <c r="Y131" s="121"/>
      <c r="Z131" s="121"/>
      <c r="AJ131" s="260"/>
      <c r="AK131" s="260"/>
      <c r="AL131" s="260"/>
      <c r="AM131" s="260"/>
      <c r="AN131" s="260"/>
    </row>
    <row r="132" spans="1:40" hidden="1" x14ac:dyDescent="0.3">
      <c r="A132" s="264"/>
      <c r="B132" s="313" t="str">
        <f>'Capacity inputs'!H13</f>
        <v xml:space="preserve">Atezolizumab with bevacizumab </v>
      </c>
      <c r="C132" s="137">
        <f>'Capacity inputs'!H23</f>
        <v>0</v>
      </c>
      <c r="D132" s="116">
        <f>'Financial impact (cash)'!D14*'Capacity (local prices)'!$C132</f>
        <v>0</v>
      </c>
      <c r="E132" s="116">
        <f>'Financial impact (cash)'!E14*'Capacity (local prices)'!$C132</f>
        <v>0</v>
      </c>
      <c r="F132" s="116">
        <f>'Financial impact (cash)'!F14*'Capacity (local prices)'!$C132</f>
        <v>0</v>
      </c>
      <c r="G132" s="116">
        <f>'Financial impact (cash)'!G14*'Capacity (local prices)'!$C132</f>
        <v>0</v>
      </c>
      <c r="H132" s="116">
        <f>'Financial impact (cash)'!H14*'Capacity (local prices)'!$C132</f>
        <v>0</v>
      </c>
      <c r="I132" s="116">
        <f>'Financial impact (cash)'!I14*'Capacity (local prices)'!$C132</f>
        <v>0</v>
      </c>
      <c r="J132" s="264"/>
      <c r="K132" s="264"/>
      <c r="L132" s="264"/>
      <c r="M132" s="264"/>
      <c r="N132" s="264"/>
      <c r="O132" s="264"/>
      <c r="P132" s="264"/>
      <c r="Q132" s="202"/>
      <c r="R132" s="121"/>
      <c r="S132" s="121"/>
      <c r="T132" s="121"/>
      <c r="U132" s="121"/>
      <c r="V132" s="121"/>
      <c r="W132" s="121"/>
      <c r="X132" s="121"/>
      <c r="Y132" s="121"/>
      <c r="Z132" s="121"/>
      <c r="AJ132" s="260"/>
      <c r="AK132" s="260"/>
      <c r="AL132" s="260"/>
      <c r="AM132" s="260"/>
      <c r="AN132" s="260"/>
    </row>
    <row r="133" spans="1:40" hidden="1" x14ac:dyDescent="0.3">
      <c r="A133" s="264"/>
      <c r="B133" s="313" t="str">
        <f>'Capacity inputs'!I13</f>
        <v xml:space="preserve">Lenvatinib </v>
      </c>
      <c r="C133" s="137">
        <f>'Capacity inputs'!I23</f>
        <v>0</v>
      </c>
      <c r="D133" s="116">
        <f>'Financial impact (cash)'!D15*'Capacity (local prices)'!$C133</f>
        <v>0</v>
      </c>
      <c r="E133" s="116">
        <f>'Financial impact (cash)'!E15*'Capacity (local prices)'!$C133</f>
        <v>0</v>
      </c>
      <c r="F133" s="116">
        <f>'Financial impact (cash)'!F15*'Capacity (local prices)'!$C133</f>
        <v>0</v>
      </c>
      <c r="G133" s="116">
        <f>'Financial impact (cash)'!G15*'Capacity (local prices)'!$C133</f>
        <v>0</v>
      </c>
      <c r="H133" s="116">
        <f>'Financial impact (cash)'!H15*'Capacity (local prices)'!$C133</f>
        <v>0</v>
      </c>
      <c r="I133" s="116">
        <f>'Financial impact (cash)'!I15*'Capacity (local prices)'!$C133</f>
        <v>0</v>
      </c>
      <c r="J133" s="264"/>
      <c r="K133" s="264"/>
      <c r="L133" s="264"/>
      <c r="M133" s="264"/>
      <c r="N133" s="264"/>
      <c r="O133" s="264"/>
      <c r="P133" s="264"/>
      <c r="Q133" s="202"/>
      <c r="R133" s="121"/>
      <c r="S133" s="121"/>
      <c r="T133" s="121"/>
      <c r="U133" s="121"/>
      <c r="V133" s="121"/>
      <c r="W133" s="121"/>
      <c r="X133" s="121"/>
      <c r="Y133" s="121"/>
      <c r="Z133" s="121"/>
      <c r="AJ133" s="260"/>
      <c r="AK133" s="260"/>
      <c r="AL133" s="260"/>
      <c r="AM133" s="260"/>
      <c r="AN133" s="260"/>
    </row>
    <row r="134" spans="1:40" hidden="1" x14ac:dyDescent="0.3">
      <c r="A134" s="264"/>
      <c r="B134" s="313" t="str">
        <f>'Capacity inputs'!J13</f>
        <v>Sorafenib</v>
      </c>
      <c r="C134" s="137">
        <f>'Capacity inputs'!J23</f>
        <v>0</v>
      </c>
      <c r="D134" s="116">
        <f>'Financial impact (cash)'!D16*'Capacity (local prices)'!$C134</f>
        <v>0</v>
      </c>
      <c r="E134" s="116">
        <f>'Financial impact (cash)'!E16*'Capacity (local prices)'!$C134</f>
        <v>0</v>
      </c>
      <c r="F134" s="116">
        <f>'Financial impact (cash)'!F16*'Capacity (local prices)'!$C134</f>
        <v>0</v>
      </c>
      <c r="G134" s="116">
        <f>'Financial impact (cash)'!G16*'Capacity (local prices)'!$C134</f>
        <v>0</v>
      </c>
      <c r="H134" s="116">
        <f>'Financial impact (cash)'!H16*'Capacity (local prices)'!$C134</f>
        <v>0</v>
      </c>
      <c r="I134" s="116">
        <f>'Financial impact (cash)'!I16*'Capacity (local prices)'!$C134</f>
        <v>0</v>
      </c>
      <c r="J134" s="264"/>
      <c r="K134" s="264"/>
      <c r="L134" s="264"/>
      <c r="M134" s="264"/>
      <c r="N134" s="264"/>
      <c r="O134" s="264"/>
      <c r="P134" s="264"/>
      <c r="Q134" s="202"/>
      <c r="R134" s="121"/>
      <c r="S134" s="121"/>
      <c r="T134" s="121"/>
      <c r="U134" s="121"/>
      <c r="V134" s="121"/>
      <c r="W134" s="121"/>
      <c r="X134" s="121"/>
      <c r="Y134" s="121"/>
      <c r="Z134" s="121"/>
      <c r="AJ134" s="260"/>
      <c r="AK134" s="260"/>
      <c r="AL134" s="260"/>
      <c r="AM134" s="260"/>
      <c r="AN134" s="260"/>
    </row>
    <row r="135" spans="1:40" hidden="1" x14ac:dyDescent="0.3">
      <c r="A135" s="264"/>
      <c r="B135" s="313" t="str">
        <f>'Capacity inputs'!K13</f>
        <v>Treatment E</v>
      </c>
      <c r="C135" s="137">
        <f>'Capacity inputs'!K23</f>
        <v>0</v>
      </c>
      <c r="D135" s="116" t="e">
        <f>'Financial impact (cash)'!#REF!*'Capacity (local prices)'!$C135</f>
        <v>#REF!</v>
      </c>
      <c r="E135" s="116" t="e">
        <f>'Financial impact (cash)'!#REF!*'Capacity (local prices)'!$C135</f>
        <v>#REF!</v>
      </c>
      <c r="F135" s="116" t="e">
        <f>'Financial impact (cash)'!#REF!*'Capacity (local prices)'!$C135</f>
        <v>#REF!</v>
      </c>
      <c r="G135" s="116" t="e">
        <f>'Financial impact (cash)'!#REF!*'Capacity (local prices)'!$C135</f>
        <v>#REF!</v>
      </c>
      <c r="H135" s="116" t="e">
        <f>'Financial impact (cash)'!#REF!*'Capacity (local prices)'!$C135</f>
        <v>#REF!</v>
      </c>
      <c r="I135" s="116" t="e">
        <f>'Financial impact (cash)'!#REF!*'Capacity (local prices)'!$C135</f>
        <v>#REF!</v>
      </c>
      <c r="J135" s="264"/>
      <c r="K135" s="264"/>
      <c r="L135" s="264"/>
      <c r="M135" s="264"/>
      <c r="N135" s="264"/>
      <c r="O135" s="264"/>
      <c r="P135" s="264"/>
      <c r="Q135" s="202"/>
      <c r="R135" s="121"/>
      <c r="S135" s="121"/>
      <c r="T135" s="121"/>
      <c r="U135" s="121"/>
      <c r="V135" s="121"/>
      <c r="W135" s="121"/>
      <c r="X135" s="121"/>
      <c r="Y135" s="121"/>
      <c r="Z135" s="121"/>
      <c r="AJ135" s="260"/>
      <c r="AK135" s="260"/>
      <c r="AL135" s="260"/>
      <c r="AM135" s="260"/>
      <c r="AN135" s="260"/>
    </row>
    <row r="136" spans="1:40" hidden="1" x14ac:dyDescent="0.3">
      <c r="A136" s="264"/>
      <c r="B136" s="254"/>
      <c r="C136" s="189"/>
      <c r="D136" s="168" t="e">
        <f>SUM(D131:D135)</f>
        <v>#REF!</v>
      </c>
      <c r="E136" s="168" t="e">
        <f t="shared" ref="E136:I136" si="51">SUM(E131:E135)</f>
        <v>#REF!</v>
      </c>
      <c r="F136" s="168" t="e">
        <f t="shared" si="51"/>
        <v>#REF!</v>
      </c>
      <c r="G136" s="168" t="e">
        <f t="shared" si="51"/>
        <v>#REF!</v>
      </c>
      <c r="H136" s="168" t="e">
        <f t="shared" si="51"/>
        <v>#REF!</v>
      </c>
      <c r="I136" s="168" t="e">
        <f t="shared" si="51"/>
        <v>#REF!</v>
      </c>
      <c r="J136" s="264"/>
      <c r="K136" s="264"/>
      <c r="L136" s="264"/>
      <c r="M136" s="264"/>
      <c r="N136" s="264"/>
      <c r="O136" s="264"/>
      <c r="P136" s="264"/>
      <c r="Q136" s="202"/>
      <c r="R136" s="121"/>
      <c r="S136" s="121"/>
      <c r="T136" s="121"/>
      <c r="U136" s="121"/>
      <c r="V136" s="121"/>
      <c r="W136" s="121"/>
      <c r="X136" s="121"/>
      <c r="Y136" s="121"/>
      <c r="Z136" s="121"/>
      <c r="AJ136" s="260"/>
      <c r="AK136" s="260"/>
      <c r="AL136" s="260"/>
      <c r="AM136" s="260"/>
      <c r="AN136" s="260"/>
    </row>
    <row r="137" spans="1:40" hidden="1" x14ac:dyDescent="0.3">
      <c r="A137" s="264"/>
      <c r="B137" s="281"/>
      <c r="C137" s="232"/>
      <c r="D137" s="259" t="s">
        <v>2113</v>
      </c>
      <c r="E137" s="168" t="e">
        <f>E136-$D$136</f>
        <v>#REF!</v>
      </c>
      <c r="F137" s="168" t="e">
        <f>F136-$D$136</f>
        <v>#REF!</v>
      </c>
      <c r="G137" s="168" t="e">
        <f>G136-$D$136</f>
        <v>#REF!</v>
      </c>
      <c r="H137" s="168" t="e">
        <f>H136-$D$136</f>
        <v>#REF!</v>
      </c>
      <c r="I137" s="168" t="e">
        <f>I136-$D$136</f>
        <v>#REF!</v>
      </c>
      <c r="J137" s="264"/>
      <c r="K137" s="264"/>
      <c r="L137" s="264"/>
      <c r="M137" s="264"/>
      <c r="N137" s="264"/>
      <c r="O137" s="264"/>
      <c r="P137" s="264"/>
      <c r="Q137" s="202"/>
      <c r="R137" s="121"/>
      <c r="V137" s="121"/>
    </row>
    <row r="138" spans="1:40" hidden="1" x14ac:dyDescent="0.3">
      <c r="A138" s="264"/>
      <c r="B138" s="296"/>
      <c r="C138" s="202"/>
      <c r="D138" s="202"/>
      <c r="E138" s="202"/>
      <c r="F138" s="202"/>
      <c r="G138" s="202"/>
      <c r="H138" s="202"/>
      <c r="I138" s="202"/>
      <c r="J138" s="202"/>
      <c r="K138" s="202"/>
      <c r="L138" s="202"/>
      <c r="M138" s="202"/>
      <c r="N138" s="202"/>
      <c r="O138" s="202"/>
      <c r="P138" s="202"/>
      <c r="Q138" s="202"/>
      <c r="R138" s="121"/>
      <c r="V138" s="121"/>
    </row>
    <row r="139" spans="1:40" hidden="1" x14ac:dyDescent="0.3">
      <c r="A139" s="264"/>
      <c r="B139" s="354" t="s">
        <v>1976</v>
      </c>
      <c r="C139" s="355"/>
      <c r="D139" s="355"/>
      <c r="E139" s="355"/>
      <c r="F139" s="355"/>
      <c r="G139" s="355"/>
      <c r="H139" s="355"/>
      <c r="I139" s="201"/>
      <c r="J139" s="202"/>
      <c r="K139" s="202"/>
      <c r="L139" s="202"/>
      <c r="M139" s="202"/>
      <c r="N139" s="202"/>
      <c r="O139" s="202"/>
      <c r="P139" s="202"/>
      <c r="Q139" s="202"/>
      <c r="R139" s="121"/>
      <c r="S139" s="121"/>
      <c r="T139" s="121"/>
      <c r="U139" s="121"/>
      <c r="V139" s="121"/>
      <c r="W139" s="121"/>
      <c r="X139" s="121"/>
      <c r="Y139" s="121"/>
      <c r="Z139" s="121"/>
      <c r="AJ139" s="260"/>
      <c r="AK139" s="260"/>
      <c r="AL139" s="260"/>
      <c r="AM139" s="260"/>
      <c r="AN139" s="260"/>
    </row>
    <row r="140" spans="1:40" ht="43.2" hidden="1" x14ac:dyDescent="0.3">
      <c r="A140" s="264"/>
      <c r="B140" s="253" t="s">
        <v>2033</v>
      </c>
      <c r="C140" s="153" t="s">
        <v>2096</v>
      </c>
      <c r="D140" s="840" t="s">
        <v>2082</v>
      </c>
      <c r="E140" s="231" t="s">
        <v>1885</v>
      </c>
      <c r="F140" s="231" t="s">
        <v>1886</v>
      </c>
      <c r="G140" s="152" t="s">
        <v>2054</v>
      </c>
      <c r="H140" s="152" t="s">
        <v>2055</v>
      </c>
      <c r="I140" s="231" t="s">
        <v>2056</v>
      </c>
      <c r="J140" s="264"/>
      <c r="K140" s="264"/>
      <c r="L140" s="202"/>
      <c r="M140" s="202"/>
      <c r="N140" s="202"/>
      <c r="O140" s="202"/>
      <c r="P140" s="202"/>
      <c r="Q140" s="202"/>
      <c r="R140" s="121"/>
      <c r="S140" s="121"/>
      <c r="T140" s="121"/>
      <c r="U140" s="121"/>
      <c r="V140" s="121"/>
      <c r="W140" s="121"/>
      <c r="X140" s="121"/>
      <c r="Y140" s="121"/>
      <c r="Z140" s="121"/>
      <c r="AJ140" s="260"/>
      <c r="AK140" s="260"/>
      <c r="AL140" s="260"/>
      <c r="AM140" s="260"/>
      <c r="AN140" s="260"/>
    </row>
    <row r="141" spans="1:40" hidden="1" x14ac:dyDescent="0.3">
      <c r="A141" s="264"/>
      <c r="B141" s="313" t="str">
        <f>'Capacity inputs'!G13</f>
        <v xml:space="preserve">Durvalumab with tremelimumab </v>
      </c>
      <c r="C141" s="137">
        <f>'Capacity inputs'!G24</f>
        <v>0</v>
      </c>
      <c r="D141" s="116">
        <f>'Financial impact (cash)'!D13*'Capacity (local prices)'!$C141</f>
        <v>0</v>
      </c>
      <c r="E141" s="116">
        <f>'Financial impact (cash)'!E13*'Capacity (local prices)'!$C141</f>
        <v>0</v>
      </c>
      <c r="F141" s="116">
        <f>'Financial impact (cash)'!F13*'Capacity (local prices)'!$C141</f>
        <v>0</v>
      </c>
      <c r="G141" s="116">
        <f>'Financial impact (cash)'!G13*'Capacity (local prices)'!$C141</f>
        <v>0</v>
      </c>
      <c r="H141" s="116">
        <f>'Financial impact (cash)'!H13*'Capacity (local prices)'!$C141</f>
        <v>0</v>
      </c>
      <c r="I141" s="116">
        <f>'Financial impact (cash)'!I13*'Capacity (local prices)'!$C141</f>
        <v>0</v>
      </c>
      <c r="J141" s="264"/>
      <c r="K141" s="264"/>
      <c r="L141" s="202"/>
      <c r="M141" s="202"/>
      <c r="N141" s="202"/>
      <c r="O141" s="202"/>
      <c r="P141" s="202"/>
      <c r="Q141" s="202"/>
      <c r="R141" s="121"/>
      <c r="S141" s="121"/>
      <c r="T141" s="121"/>
      <c r="U141" s="121"/>
      <c r="V141" s="121"/>
      <c r="W141" s="121"/>
      <c r="X141" s="121"/>
      <c r="Y141" s="121"/>
      <c r="Z141" s="121"/>
      <c r="AJ141" s="260"/>
      <c r="AK141" s="260"/>
      <c r="AL141" s="260"/>
      <c r="AM141" s="260"/>
      <c r="AN141" s="260"/>
    </row>
    <row r="142" spans="1:40" hidden="1" x14ac:dyDescent="0.3">
      <c r="A142" s="264"/>
      <c r="B142" s="313" t="str">
        <f>'Capacity inputs'!H13</f>
        <v xml:space="preserve">Atezolizumab with bevacizumab </v>
      </c>
      <c r="C142" s="137">
        <f>'Capacity inputs'!H24</f>
        <v>0</v>
      </c>
      <c r="D142" s="116">
        <f>'Financial impact (cash)'!D14*'Capacity (local prices)'!$C142</f>
        <v>0</v>
      </c>
      <c r="E142" s="116">
        <f>'Financial impact (cash)'!E14*'Capacity (local prices)'!$C142</f>
        <v>0</v>
      </c>
      <c r="F142" s="116">
        <f>'Financial impact (cash)'!F14*'Capacity (local prices)'!$C142</f>
        <v>0</v>
      </c>
      <c r="G142" s="116">
        <f>'Financial impact (cash)'!G14*'Capacity (local prices)'!$C142</f>
        <v>0</v>
      </c>
      <c r="H142" s="116">
        <f>'Financial impact (cash)'!H14*'Capacity (local prices)'!$C142</f>
        <v>0</v>
      </c>
      <c r="I142" s="116">
        <f>'Financial impact (cash)'!I14*'Capacity (local prices)'!$C142</f>
        <v>0</v>
      </c>
      <c r="J142" s="264"/>
      <c r="K142" s="264"/>
      <c r="L142" s="202"/>
      <c r="M142" s="202"/>
      <c r="N142" s="202"/>
      <c r="O142" s="202"/>
      <c r="P142" s="202"/>
      <c r="Q142" s="202"/>
      <c r="R142" s="121"/>
      <c r="S142" s="121"/>
      <c r="T142" s="121"/>
      <c r="U142" s="121"/>
      <c r="V142" s="121"/>
      <c r="W142" s="121"/>
      <c r="X142" s="121"/>
      <c r="Y142" s="121"/>
      <c r="Z142" s="121"/>
      <c r="AJ142" s="260"/>
      <c r="AK142" s="260"/>
      <c r="AL142" s="260"/>
      <c r="AM142" s="260"/>
      <c r="AN142" s="260"/>
    </row>
    <row r="143" spans="1:40" hidden="1" x14ac:dyDescent="0.3">
      <c r="A143" s="264"/>
      <c r="B143" s="313" t="str">
        <f>'Capacity inputs'!I13</f>
        <v xml:space="preserve">Lenvatinib </v>
      </c>
      <c r="C143" s="137">
        <f>'Capacity inputs'!I24</f>
        <v>0</v>
      </c>
      <c r="D143" s="116">
        <f>'Financial impact (cash)'!D15*'Capacity (local prices)'!$C143</f>
        <v>0</v>
      </c>
      <c r="E143" s="116">
        <f>'Financial impact (cash)'!E15*'Capacity (local prices)'!$C143</f>
        <v>0</v>
      </c>
      <c r="F143" s="116">
        <f>'Financial impact (cash)'!F15*'Capacity (local prices)'!$C143</f>
        <v>0</v>
      </c>
      <c r="G143" s="116">
        <f>'Financial impact (cash)'!G15*'Capacity (local prices)'!$C143</f>
        <v>0</v>
      </c>
      <c r="H143" s="116">
        <f>'Financial impact (cash)'!H15*'Capacity (local prices)'!$C143</f>
        <v>0</v>
      </c>
      <c r="I143" s="116">
        <f>'Financial impact (cash)'!I15*'Capacity (local prices)'!$C143</f>
        <v>0</v>
      </c>
      <c r="J143" s="264"/>
      <c r="K143" s="264"/>
      <c r="L143" s="202"/>
      <c r="M143" s="202"/>
      <c r="N143" s="202"/>
      <c r="O143" s="202"/>
      <c r="P143" s="202"/>
      <c r="Q143" s="202"/>
      <c r="R143" s="121"/>
      <c r="S143" s="121"/>
      <c r="T143" s="121"/>
      <c r="U143" s="121"/>
      <c r="V143" s="121"/>
      <c r="W143" s="121"/>
      <c r="X143" s="121"/>
      <c r="Y143" s="121"/>
      <c r="Z143" s="121"/>
      <c r="AJ143" s="260"/>
      <c r="AK143" s="260"/>
      <c r="AL143" s="260"/>
      <c r="AM143" s="260"/>
      <c r="AN143" s="260"/>
    </row>
    <row r="144" spans="1:40" hidden="1" x14ac:dyDescent="0.3">
      <c r="A144" s="264"/>
      <c r="B144" s="313" t="str">
        <f>'Capacity inputs'!J13</f>
        <v>Sorafenib</v>
      </c>
      <c r="C144" s="137">
        <f>'Capacity inputs'!J24</f>
        <v>0</v>
      </c>
      <c r="D144" s="116">
        <f>'Financial impact (cash)'!D16*'Capacity (local prices)'!$C144</f>
        <v>0</v>
      </c>
      <c r="E144" s="116">
        <f>'Financial impact (cash)'!E16*'Capacity (local prices)'!$C144</f>
        <v>0</v>
      </c>
      <c r="F144" s="116">
        <f>'Financial impact (cash)'!F16*'Capacity (local prices)'!$C144</f>
        <v>0</v>
      </c>
      <c r="G144" s="116">
        <f>'Financial impact (cash)'!G16*'Capacity (local prices)'!$C144</f>
        <v>0</v>
      </c>
      <c r="H144" s="116">
        <f>'Financial impact (cash)'!H16*'Capacity (local prices)'!$C144</f>
        <v>0</v>
      </c>
      <c r="I144" s="116">
        <f>'Financial impact (cash)'!I16*'Capacity (local prices)'!$C144</f>
        <v>0</v>
      </c>
      <c r="J144" s="264"/>
      <c r="K144" s="264"/>
      <c r="L144" s="202"/>
      <c r="M144" s="202"/>
      <c r="N144" s="202"/>
      <c r="O144" s="202"/>
      <c r="P144" s="202"/>
      <c r="Q144" s="202"/>
      <c r="R144" s="121"/>
      <c r="S144" s="121"/>
      <c r="T144" s="121"/>
      <c r="U144" s="121"/>
      <c r="V144" s="121"/>
      <c r="W144" s="121"/>
      <c r="X144" s="121"/>
      <c r="Y144" s="121"/>
      <c r="Z144" s="121"/>
      <c r="AJ144" s="260"/>
      <c r="AK144" s="260"/>
      <c r="AL144" s="260"/>
      <c r="AM144" s="260"/>
      <c r="AN144" s="260"/>
    </row>
    <row r="145" spans="1:40" hidden="1" x14ac:dyDescent="0.3">
      <c r="A145" s="264"/>
      <c r="B145" s="313" t="str">
        <f>'Capacity inputs'!K13</f>
        <v>Treatment E</v>
      </c>
      <c r="C145" s="137">
        <f>'Capacity inputs'!K24</f>
        <v>0</v>
      </c>
      <c r="D145" s="116" t="e">
        <f>'Financial impact (cash)'!#REF!*'Capacity (local prices)'!$C145</f>
        <v>#REF!</v>
      </c>
      <c r="E145" s="116" t="e">
        <f>'Financial impact (cash)'!#REF!*'Capacity (local prices)'!$C145</f>
        <v>#REF!</v>
      </c>
      <c r="F145" s="116" t="e">
        <f>'Financial impact (cash)'!#REF!*'Capacity (local prices)'!$C145</f>
        <v>#REF!</v>
      </c>
      <c r="G145" s="116" t="e">
        <f>'Financial impact (cash)'!#REF!*'Capacity (local prices)'!$C145</f>
        <v>#REF!</v>
      </c>
      <c r="H145" s="116" t="e">
        <f>'Financial impact (cash)'!#REF!*'Capacity (local prices)'!$C145</f>
        <v>#REF!</v>
      </c>
      <c r="I145" s="116" t="e">
        <f>'Financial impact (cash)'!#REF!*'Capacity (local prices)'!$C145</f>
        <v>#REF!</v>
      </c>
      <c r="J145" s="264"/>
      <c r="K145" s="264"/>
      <c r="L145" s="202"/>
      <c r="M145" s="202"/>
      <c r="N145" s="202"/>
      <c r="O145" s="202"/>
      <c r="P145" s="202"/>
      <c r="Q145" s="202"/>
      <c r="R145" s="121"/>
      <c r="S145" s="121"/>
      <c r="T145" s="121"/>
      <c r="U145" s="121"/>
      <c r="V145" s="121"/>
      <c r="W145" s="121"/>
      <c r="X145" s="121"/>
      <c r="Y145" s="121"/>
      <c r="Z145" s="121"/>
      <c r="AJ145" s="260"/>
      <c r="AK145" s="260"/>
      <c r="AL145" s="260"/>
      <c r="AM145" s="260"/>
      <c r="AN145" s="260"/>
    </row>
    <row r="146" spans="1:40" hidden="1" x14ac:dyDescent="0.3">
      <c r="A146" s="264"/>
      <c r="B146" s="254"/>
      <c r="C146" s="189"/>
      <c r="D146" s="168" t="e">
        <f>SUM(D141:D145)</f>
        <v>#REF!</v>
      </c>
      <c r="E146" s="168" t="e">
        <f t="shared" ref="E146:I146" si="52">SUM(E141:E145)</f>
        <v>#REF!</v>
      </c>
      <c r="F146" s="168" t="e">
        <f t="shared" si="52"/>
        <v>#REF!</v>
      </c>
      <c r="G146" s="168" t="e">
        <f t="shared" si="52"/>
        <v>#REF!</v>
      </c>
      <c r="H146" s="168" t="e">
        <f t="shared" si="52"/>
        <v>#REF!</v>
      </c>
      <c r="I146" s="168" t="e">
        <f t="shared" si="52"/>
        <v>#REF!</v>
      </c>
      <c r="J146" s="264"/>
      <c r="K146" s="264"/>
      <c r="L146" s="202"/>
      <c r="M146" s="202"/>
      <c r="N146" s="202"/>
      <c r="O146" s="202"/>
      <c r="P146" s="202"/>
      <c r="Q146" s="202"/>
      <c r="R146" s="121"/>
      <c r="S146" s="121"/>
      <c r="T146" s="121"/>
      <c r="U146" s="121"/>
      <c r="V146" s="121"/>
      <c r="W146" s="121"/>
      <c r="X146" s="121"/>
      <c r="Y146" s="121"/>
      <c r="Z146" s="121"/>
      <c r="AJ146" s="260"/>
      <c r="AK146" s="260"/>
      <c r="AL146" s="260"/>
      <c r="AM146" s="260"/>
      <c r="AN146" s="260"/>
    </row>
    <row r="147" spans="1:40" hidden="1" x14ac:dyDescent="0.3">
      <c r="A147" s="264"/>
      <c r="B147" s="281"/>
      <c r="C147" s="232"/>
      <c r="D147" s="259" t="s">
        <v>2114</v>
      </c>
      <c r="E147" s="168" t="e">
        <f>E146-$D$146</f>
        <v>#REF!</v>
      </c>
      <c r="F147" s="168" t="e">
        <f>F146-$D$146</f>
        <v>#REF!</v>
      </c>
      <c r="G147" s="168" t="e">
        <f>G146-$D$146</f>
        <v>#REF!</v>
      </c>
      <c r="H147" s="168" t="e">
        <f>H146-$D$146</f>
        <v>#REF!</v>
      </c>
      <c r="I147" s="168" t="e">
        <f>I146-$D$146</f>
        <v>#REF!</v>
      </c>
      <c r="J147" s="264"/>
      <c r="K147" s="264"/>
      <c r="L147" s="202"/>
      <c r="M147" s="202"/>
      <c r="N147" s="202"/>
      <c r="O147" s="202"/>
      <c r="P147" s="202"/>
      <c r="Q147" s="202"/>
      <c r="R147" s="121"/>
      <c r="V147" s="121"/>
    </row>
    <row r="148" spans="1:40" hidden="1" x14ac:dyDescent="0.3">
      <c r="A148" s="264"/>
      <c r="B148" s="264"/>
      <c r="C148" s="202"/>
      <c r="D148" s="264"/>
      <c r="E148" s="264"/>
      <c r="F148" s="264"/>
      <c r="G148" s="264"/>
      <c r="H148" s="264"/>
      <c r="I148" s="202"/>
      <c r="J148" s="202"/>
      <c r="K148" s="202"/>
      <c r="L148" s="202"/>
      <c r="M148" s="202"/>
      <c r="N148" s="202"/>
      <c r="O148" s="202"/>
      <c r="P148" s="202"/>
      <c r="Q148" s="202"/>
      <c r="R148" s="121"/>
      <c r="V148" s="121"/>
    </row>
    <row r="149" spans="1:40" hidden="1" x14ac:dyDescent="0.3">
      <c r="B149"/>
    </row>
    <row r="150" spans="1:40" x14ac:dyDescent="0.3">
      <c r="B150"/>
    </row>
    <row r="151" spans="1:40" x14ac:dyDescent="0.3">
      <c r="B151"/>
    </row>
    <row r="152" spans="1:40" x14ac:dyDescent="0.3">
      <c r="B152"/>
    </row>
    <row r="153" spans="1:40" x14ac:dyDescent="0.3">
      <c r="B153"/>
    </row>
  </sheetData>
  <sheetProtection algorithmName="SHA-512" hashValue="DWvVCE1bE7Avs3pWYxo0FUoq5JOWh+ieS/YDCqPivYszP8pgLEzI3npRy73X0AyGSB9wwlkSMEznvzHXhitggA==" saltValue="hm14nUBCOq3LA1RM+R2vT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07" min="1" max="17" man="1"/>
  </rowBreaks>
  <ignoredErrors>
    <ignoredError sqref="D25 E25:I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22"/>
  <sheetViews>
    <sheetView showGridLines="0" zoomScale="80" zoomScaleNormal="80" zoomScaleSheetLayoutView="30" workbookViewId="0">
      <selection activeCell="D71" sqref="D71"/>
    </sheetView>
  </sheetViews>
  <sheetFormatPr defaultColWidth="8.88671875" defaultRowHeight="14.4" x14ac:dyDescent="0.3"/>
  <cols>
    <col min="1" max="1" width="3.5546875" customWidth="1"/>
    <col min="2" max="2" width="56.5546875" style="1" customWidth="1"/>
    <col min="3" max="9" width="12.5546875" customWidth="1"/>
    <col min="10" max="10" width="1.88671875" customWidth="1"/>
    <col min="11" max="18" width="11.5546875" customWidth="1"/>
    <col min="19" max="19" width="11.44140625" customWidth="1"/>
    <col min="20" max="20" width="11.5546875" customWidth="1"/>
    <col min="21" max="26" width="10.88671875" customWidth="1"/>
    <col min="28" max="41" width="0" hidden="1" customWidth="1"/>
  </cols>
  <sheetData>
    <row r="1" spans="1:40" ht="30" customHeight="1" x14ac:dyDescent="0.3">
      <c r="B1" s="451" t="str">
        <f>'Inputs and population'!B1</f>
        <v>Durvalumab with tremelimumab for untreated advanced or unresectable hepatocellular carcinoma</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 customHeight="1" x14ac:dyDescent="0.3">
      <c r="B2" s="193" t="s">
        <v>2115</v>
      </c>
      <c r="C2" s="115" t="s">
        <v>1893</v>
      </c>
      <c r="D2" s="115" t="s">
        <v>1893</v>
      </c>
      <c r="E2" s="115" t="s">
        <v>1893</v>
      </c>
      <c r="F2" s="115" t="s">
        <v>1893</v>
      </c>
      <c r="G2" s="115" t="s">
        <v>1893</v>
      </c>
      <c r="H2" s="115" t="s">
        <v>1893</v>
      </c>
      <c r="I2" s="115" t="s">
        <v>1893</v>
      </c>
      <c r="J2" s="115" t="s">
        <v>1893</v>
      </c>
      <c r="K2" s="115"/>
      <c r="L2" s="115" t="s">
        <v>1893</v>
      </c>
      <c r="M2" s="115" t="s">
        <v>1893</v>
      </c>
      <c r="N2" s="115" t="s">
        <v>1893</v>
      </c>
      <c r="O2" s="115" t="s">
        <v>1893</v>
      </c>
      <c r="P2" s="115" t="s">
        <v>1893</v>
      </c>
      <c r="Q2" s="115"/>
      <c r="R2" s="115"/>
      <c r="S2" s="115"/>
      <c r="T2" s="115"/>
      <c r="U2" s="115"/>
      <c r="V2" s="115"/>
      <c r="W2" s="115"/>
      <c r="X2" s="115"/>
      <c r="Y2" s="115"/>
      <c r="Z2" s="115"/>
    </row>
    <row r="3" spans="1:40" ht="14.4" customHeight="1" x14ac:dyDescent="0.3">
      <c r="B3" s="118" t="s">
        <v>1893</v>
      </c>
      <c r="C3" s="121" t="s">
        <v>1893</v>
      </c>
      <c r="D3" s="121" t="s">
        <v>1893</v>
      </c>
      <c r="E3" s="121" t="s">
        <v>1893</v>
      </c>
      <c r="F3" s="121" t="s">
        <v>1893</v>
      </c>
      <c r="G3" s="121" t="s">
        <v>1893</v>
      </c>
      <c r="H3" s="121" t="s">
        <v>1893</v>
      </c>
      <c r="I3" s="121" t="s">
        <v>1893</v>
      </c>
      <c r="J3" s="121" t="s">
        <v>1893</v>
      </c>
      <c r="K3" s="121"/>
      <c r="L3" s="121" t="s">
        <v>1893</v>
      </c>
      <c r="M3" s="121" t="s">
        <v>1893</v>
      </c>
      <c r="N3" s="121" t="s">
        <v>1893</v>
      </c>
      <c r="O3" s="121" t="s">
        <v>1893</v>
      </c>
      <c r="P3" s="121" t="s">
        <v>1893</v>
      </c>
      <c r="Q3" s="121"/>
      <c r="R3" s="121"/>
      <c r="S3" s="115"/>
      <c r="T3" s="115"/>
      <c r="U3" s="115"/>
      <c r="V3" s="115"/>
      <c r="W3" s="115"/>
      <c r="X3" s="115"/>
      <c r="Y3" s="121"/>
      <c r="Z3" s="121"/>
    </row>
    <row r="4" spans="1:40" ht="14.4" customHeight="1" x14ac:dyDescent="0.3">
      <c r="B4" t="s">
        <v>2116</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4" customHeight="1" x14ac:dyDescent="0.3">
      <c r="B5" s="5"/>
      <c r="F5" s="121"/>
      <c r="G5" s="121"/>
      <c r="H5" s="121"/>
      <c r="I5" s="121"/>
      <c r="J5" s="121"/>
      <c r="K5" s="121"/>
      <c r="L5" s="121"/>
      <c r="M5" s="121"/>
      <c r="N5" s="121"/>
      <c r="O5" s="121"/>
      <c r="P5" s="121"/>
      <c r="Q5" s="121"/>
      <c r="R5" s="121"/>
      <c r="S5" s="115"/>
      <c r="T5" s="115"/>
      <c r="U5" s="115"/>
      <c r="V5" s="115"/>
      <c r="W5" s="115"/>
      <c r="X5" s="115"/>
      <c r="Y5" s="121"/>
      <c r="Z5" s="121"/>
    </row>
    <row r="6" spans="1:40" ht="43.2" x14ac:dyDescent="0.3">
      <c r="B6" s="233" t="s">
        <v>2057</v>
      </c>
      <c r="C6" s="189"/>
      <c r="D6" s="840" t="s">
        <v>2082</v>
      </c>
      <c r="E6" s="231" t="s">
        <v>1885</v>
      </c>
      <c r="F6" s="231" t="s">
        <v>1886</v>
      </c>
      <c r="G6" s="152" t="s">
        <v>2054</v>
      </c>
      <c r="H6" s="152" t="s">
        <v>2055</v>
      </c>
      <c r="I6" s="231" t="s">
        <v>2056</v>
      </c>
      <c r="L6" s="840" t="s">
        <v>2082</v>
      </c>
      <c r="M6" s="231" t="s">
        <v>1885</v>
      </c>
      <c r="N6" s="231" t="s">
        <v>1886</v>
      </c>
      <c r="O6" s="152" t="s">
        <v>2054</v>
      </c>
      <c r="P6" s="152" t="s">
        <v>2055</v>
      </c>
      <c r="Q6" s="231" t="s">
        <v>2056</v>
      </c>
      <c r="R6" s="121"/>
      <c r="S6" s="115"/>
      <c r="T6" s="115"/>
      <c r="U6" s="115"/>
      <c r="V6" s="115"/>
      <c r="W6" s="115"/>
      <c r="X6" s="115"/>
      <c r="Y6" s="121"/>
      <c r="Z6" s="121"/>
      <c r="AJ6" s="260"/>
      <c r="AK6" s="260"/>
      <c r="AL6" s="260"/>
      <c r="AM6" s="260"/>
      <c r="AN6" s="260"/>
    </row>
    <row r="7" spans="1:40" ht="14.4" customHeight="1" x14ac:dyDescent="0.3">
      <c r="B7" s="204" t="s">
        <v>2057</v>
      </c>
      <c r="C7" s="155"/>
      <c r="D7" s="336">
        <f>'Inputs and population'!E31</f>
        <v>1177.6867008390193</v>
      </c>
      <c r="E7" s="336">
        <f>'Inputs and population'!F31</f>
        <v>1188.0395320269201</v>
      </c>
      <c r="F7" s="336">
        <f>'Inputs and population'!G31</f>
        <v>1198.4833730848727</v>
      </c>
      <c r="G7" s="336">
        <f>'Inputs and population'!H31</f>
        <v>1209.0190240642155</v>
      </c>
      <c r="H7" s="336">
        <f>'Inputs and population'!I31</f>
        <v>1219.6472920493936</v>
      </c>
      <c r="I7" s="336">
        <f>'Inputs and population'!J31</f>
        <v>1230.368991219786</v>
      </c>
      <c r="P7" s="121"/>
      <c r="Q7" s="121"/>
      <c r="R7" s="121"/>
      <c r="S7" s="115"/>
      <c r="T7" s="115"/>
      <c r="U7" s="115"/>
      <c r="V7" s="115"/>
      <c r="W7" s="115"/>
      <c r="X7" s="115"/>
      <c r="Y7" s="121"/>
      <c r="Z7" s="121"/>
      <c r="AJ7" s="260"/>
      <c r="AK7" s="260"/>
      <c r="AL7" s="260"/>
      <c r="AM7" s="260"/>
      <c r="AN7" s="260"/>
    </row>
    <row r="8" spans="1:40" ht="14.4" customHeight="1" x14ac:dyDescent="0.3">
      <c r="B8"/>
      <c r="P8" s="121"/>
      <c r="Q8" s="121"/>
      <c r="R8" s="121"/>
      <c r="S8" s="115"/>
      <c r="T8" s="115"/>
      <c r="U8" s="115"/>
      <c r="V8" s="115"/>
      <c r="W8" s="115"/>
      <c r="X8" s="115"/>
      <c r="Y8" s="121"/>
      <c r="Z8" s="121"/>
      <c r="AJ8" s="260"/>
      <c r="AK8" s="260"/>
      <c r="AL8" s="260"/>
      <c r="AM8" s="260"/>
      <c r="AN8" s="260"/>
    </row>
    <row r="9" spans="1:40" ht="14.4" customHeight="1" x14ac:dyDescent="0.3">
      <c r="B9" s="253" t="s">
        <v>2090</v>
      </c>
      <c r="C9" s="363" t="s">
        <v>2091</v>
      </c>
      <c r="D9" s="381"/>
      <c r="E9" s="382"/>
      <c r="F9" s="381"/>
      <c r="G9" s="383"/>
      <c r="H9" s="384"/>
      <c r="I9" s="384"/>
      <c r="J9" s="473"/>
      <c r="K9" s="716"/>
      <c r="L9" s="560" t="s">
        <v>2061</v>
      </c>
      <c r="M9" s="560" t="s">
        <v>2061</v>
      </c>
      <c r="N9" s="560" t="s">
        <v>2061</v>
      </c>
      <c r="O9" s="560" t="s">
        <v>2061</v>
      </c>
      <c r="P9" s="560" t="s">
        <v>2061</v>
      </c>
      <c r="Q9" s="560" t="s">
        <v>2061</v>
      </c>
      <c r="R9" s="121"/>
      <c r="S9" s="115"/>
      <c r="T9" s="115"/>
      <c r="U9" s="115"/>
      <c r="V9" s="115"/>
      <c r="W9" s="115"/>
      <c r="X9" s="115"/>
      <c r="Y9" s="121"/>
      <c r="Z9" s="121"/>
      <c r="AJ9" s="260"/>
      <c r="AK9" s="260"/>
      <c r="AL9" s="260"/>
      <c r="AM9" s="260"/>
      <c r="AN9" s="260"/>
    </row>
    <row r="10" spans="1:40" ht="14.4" customHeight="1" x14ac:dyDescent="0.3">
      <c r="A10" s="262"/>
      <c r="B10" s="388" t="str">
        <f>B31</f>
        <v>First attendances</v>
      </c>
      <c r="C10" s="341"/>
      <c r="D10" s="371">
        <f>D37</f>
        <v>0</v>
      </c>
      <c r="E10" s="371">
        <f>E37</f>
        <v>0</v>
      </c>
      <c r="F10" s="371">
        <f t="shared" ref="F10:I10" si="0">F37</f>
        <v>0</v>
      </c>
      <c r="G10" s="371">
        <f t="shared" si="0"/>
        <v>0</v>
      </c>
      <c r="H10" s="371">
        <f t="shared" si="0"/>
        <v>0</v>
      </c>
      <c r="I10" s="371">
        <f t="shared" si="0"/>
        <v>0</v>
      </c>
      <c r="L10" s="265">
        <f>L37</f>
        <v>0</v>
      </c>
      <c r="M10" s="265">
        <f t="shared" ref="M10:Q10" si="1">M37</f>
        <v>0</v>
      </c>
      <c r="N10" s="265">
        <f t="shared" si="1"/>
        <v>0</v>
      </c>
      <c r="O10" s="265">
        <f t="shared" si="1"/>
        <v>0</v>
      </c>
      <c r="P10" s="265">
        <f t="shared" si="1"/>
        <v>0</v>
      </c>
      <c r="Q10" s="265">
        <f t="shared" si="1"/>
        <v>0</v>
      </c>
      <c r="R10" s="121"/>
      <c r="S10" s="121"/>
      <c r="T10" s="121"/>
      <c r="U10" s="121"/>
      <c r="V10" s="121"/>
      <c r="W10" s="121"/>
      <c r="X10" s="121"/>
      <c r="Y10" s="121"/>
      <c r="Z10" s="121"/>
      <c r="AJ10" s="260"/>
      <c r="AK10" s="260"/>
      <c r="AL10" s="260"/>
      <c r="AM10" s="260"/>
      <c r="AN10" s="260"/>
    </row>
    <row r="11" spans="1:40" ht="14.4" customHeight="1" x14ac:dyDescent="0.3">
      <c r="A11" s="262"/>
      <c r="B11" s="388" t="str">
        <f>B31&amp;" - hours"</f>
        <v>First attendances - hours</v>
      </c>
      <c r="C11" s="708">
        <f>'Capacity inputs'!F14</f>
        <v>0</v>
      </c>
      <c r="D11" s="371">
        <f>D10*$C11/60</f>
        <v>0</v>
      </c>
      <c r="E11" s="371">
        <f t="shared" ref="E11:I11" si="2">E10*$C11/60</f>
        <v>0</v>
      </c>
      <c r="F11" s="371">
        <f t="shared" si="2"/>
        <v>0</v>
      </c>
      <c r="G11" s="371">
        <f t="shared" si="2"/>
        <v>0</v>
      </c>
      <c r="H11" s="371">
        <f t="shared" si="2"/>
        <v>0</v>
      </c>
      <c r="I11" s="371">
        <f t="shared" si="2"/>
        <v>0</v>
      </c>
      <c r="L11" s="709"/>
      <c r="M11" s="709"/>
      <c r="N11" s="709"/>
      <c r="O11" s="709"/>
      <c r="P11" s="709"/>
      <c r="Q11" s="709"/>
      <c r="R11" s="121"/>
      <c r="S11" s="121"/>
      <c r="T11" s="121"/>
      <c r="U11" s="121"/>
      <c r="V11" s="121"/>
      <c r="W11" s="121"/>
      <c r="X11" s="121"/>
      <c r="Y11" s="121"/>
      <c r="Z11" s="121"/>
      <c r="AJ11" s="260"/>
      <c r="AK11" s="260"/>
      <c r="AL11" s="260"/>
      <c r="AM11" s="260"/>
      <c r="AN11" s="260"/>
    </row>
    <row r="12" spans="1:40" ht="14.4" customHeight="1" x14ac:dyDescent="0.3">
      <c r="A12" s="262"/>
      <c r="B12" s="388" t="str">
        <f>B40</f>
        <v>Follow up attendances</v>
      </c>
      <c r="C12" s="341"/>
      <c r="D12" s="371">
        <f>D46</f>
        <v>0</v>
      </c>
      <c r="E12" s="371">
        <f t="shared" ref="E12:I12" si="3">E46</f>
        <v>0</v>
      </c>
      <c r="F12" s="371">
        <f t="shared" si="3"/>
        <v>0</v>
      </c>
      <c r="G12" s="371">
        <f t="shared" si="3"/>
        <v>0</v>
      </c>
      <c r="H12" s="371">
        <f t="shared" si="3"/>
        <v>0</v>
      </c>
      <c r="I12" s="371">
        <f t="shared" si="3"/>
        <v>0</v>
      </c>
      <c r="L12" s="265">
        <f>L46</f>
        <v>0</v>
      </c>
      <c r="M12" s="265">
        <f t="shared" ref="M12:Q12" si="4">M46</f>
        <v>0</v>
      </c>
      <c r="N12" s="265">
        <f t="shared" si="4"/>
        <v>0</v>
      </c>
      <c r="O12" s="265">
        <f t="shared" si="4"/>
        <v>0</v>
      </c>
      <c r="P12" s="265">
        <f t="shared" si="4"/>
        <v>0</v>
      </c>
      <c r="Q12" s="265">
        <f t="shared" si="4"/>
        <v>0</v>
      </c>
      <c r="R12" s="121"/>
      <c r="S12" s="121"/>
      <c r="T12" s="121"/>
      <c r="U12" s="121"/>
      <c r="V12" s="121"/>
      <c r="W12" s="121"/>
      <c r="X12" s="121"/>
      <c r="Y12" s="121"/>
      <c r="Z12" s="121"/>
      <c r="AJ12" s="260"/>
      <c r="AK12" s="260"/>
      <c r="AL12" s="260"/>
      <c r="AM12" s="260"/>
      <c r="AN12" s="260"/>
    </row>
    <row r="13" spans="1:40" ht="14.4" customHeight="1" x14ac:dyDescent="0.3">
      <c r="A13" s="262"/>
      <c r="B13" s="388" t="str">
        <f>B40&amp;" - hours"</f>
        <v>Follow up attendances - hours</v>
      </c>
      <c r="C13" s="708">
        <f>'Capacity inputs'!F15</f>
        <v>0</v>
      </c>
      <c r="D13" s="371">
        <f>$C13/60*D12</f>
        <v>0</v>
      </c>
      <c r="E13" s="371">
        <f t="shared" ref="E13:I13" si="5">$C13/60*E12</f>
        <v>0</v>
      </c>
      <c r="F13" s="371">
        <f t="shared" si="5"/>
        <v>0</v>
      </c>
      <c r="G13" s="371">
        <f t="shared" si="5"/>
        <v>0</v>
      </c>
      <c r="H13" s="371">
        <f t="shared" si="5"/>
        <v>0</v>
      </c>
      <c r="I13" s="371">
        <f t="shared" si="5"/>
        <v>0</v>
      </c>
      <c r="L13" s="709"/>
      <c r="M13" s="709"/>
      <c r="N13" s="709"/>
      <c r="O13" s="709"/>
      <c r="P13" s="709"/>
      <c r="Q13" s="709"/>
      <c r="R13" s="121"/>
      <c r="S13" s="121"/>
      <c r="T13" s="121"/>
      <c r="U13" s="121"/>
      <c r="V13" s="121"/>
      <c r="W13" s="121"/>
      <c r="X13" s="121"/>
      <c r="Y13" s="121"/>
      <c r="Z13" s="121"/>
      <c r="AJ13" s="260"/>
      <c r="AK13" s="260"/>
      <c r="AL13" s="260"/>
      <c r="AM13" s="260"/>
      <c r="AN13" s="260"/>
    </row>
    <row r="14" spans="1:40" ht="14.4" customHeight="1" x14ac:dyDescent="0.3">
      <c r="A14" s="268"/>
      <c r="B14" s="385" t="str">
        <f>B59</f>
        <v>Number of administrations</v>
      </c>
      <c r="C14" s="367"/>
      <c r="D14" s="366">
        <f>D65</f>
        <v>6625.665378920321</v>
      </c>
      <c r="E14" s="366">
        <f t="shared" ref="E14:I14" si="6">E65</f>
        <v>6395.810820666924</v>
      </c>
      <c r="F14" s="366">
        <f t="shared" si="6"/>
        <v>6161.4030210293304</v>
      </c>
      <c r="G14" s="366">
        <f t="shared" si="6"/>
        <v>6215.566802714131</v>
      </c>
      <c r="H14" s="366">
        <f t="shared" si="6"/>
        <v>6270.2067284259329</v>
      </c>
      <c r="I14" s="366">
        <f t="shared" si="6"/>
        <v>6325.3269838609203</v>
      </c>
      <c r="L14" s="265">
        <f>L65</f>
        <v>2696.0546104967498</v>
      </c>
      <c r="M14" s="265">
        <f>M65</f>
        <v>2577.7398643189194</v>
      </c>
      <c r="N14" s="265">
        <f t="shared" ref="N14:Q14" si="7">N65</f>
        <v>2457.1366039154714</v>
      </c>
      <c r="O14" s="265">
        <f t="shared" si="7"/>
        <v>2478.7368482315746</v>
      </c>
      <c r="P14" s="265">
        <f t="shared" si="7"/>
        <v>2500.5269763961273</v>
      </c>
      <c r="Q14" s="265">
        <f t="shared" si="7"/>
        <v>2522.508657643762</v>
      </c>
      <c r="R14" s="121"/>
      <c r="S14" s="121"/>
      <c r="T14" s="121"/>
      <c r="U14" s="121"/>
      <c r="V14" s="121"/>
      <c r="W14" s="121"/>
      <c r="X14" s="121"/>
      <c r="Y14" s="121"/>
      <c r="Z14" s="121"/>
      <c r="AJ14" s="260"/>
      <c r="AK14" s="260"/>
      <c r="AL14" s="260"/>
      <c r="AM14" s="260"/>
      <c r="AN14" s="260"/>
    </row>
    <row r="15" spans="1:40" ht="14.4" customHeight="1" x14ac:dyDescent="0.3">
      <c r="A15" s="261"/>
      <c r="B15" s="386" t="str">
        <f>B69&amp;" "</f>
        <v xml:space="preserve">Nursing - administrations (hours) </v>
      </c>
      <c r="C15" s="391"/>
      <c r="D15" s="368">
        <f t="shared" ref="D15:I15" si="8">D77</f>
        <v>3995.8909759467915</v>
      </c>
      <c r="E15" s="368">
        <f t="shared" si="8"/>
        <v>3857.2673506084025</v>
      </c>
      <c r="F15" s="368">
        <f t="shared" si="8"/>
        <v>3715.8976982496479</v>
      </c>
      <c r="G15" s="368">
        <f t="shared" si="8"/>
        <v>3748.5634841110996</v>
      </c>
      <c r="H15" s="368">
        <f t="shared" si="8"/>
        <v>3781.5164289991453</v>
      </c>
      <c r="I15" s="368">
        <f t="shared" si="8"/>
        <v>3814.7590572769468</v>
      </c>
      <c r="L15" s="188"/>
      <c r="M15" s="188"/>
      <c r="N15" s="188"/>
      <c r="O15" s="188"/>
      <c r="P15" s="365"/>
      <c r="Q15" s="365"/>
      <c r="R15" s="121"/>
      <c r="S15" s="121"/>
      <c r="T15" s="121"/>
      <c r="U15" s="121"/>
      <c r="V15" s="121"/>
      <c r="W15" s="121"/>
      <c r="X15" s="121"/>
      <c r="Y15" s="121"/>
      <c r="Z15" s="121"/>
      <c r="AJ15" s="260"/>
      <c r="AK15" s="260"/>
      <c r="AL15" s="260"/>
      <c r="AM15" s="260"/>
      <c r="AN15" s="260"/>
    </row>
    <row r="16" spans="1:40" ht="14.4" customHeight="1" x14ac:dyDescent="0.3">
      <c r="A16" s="261"/>
      <c r="B16" s="386" t="str">
        <f>B80&amp;" "</f>
        <v xml:space="preserve">Nursing patient preparation time (hours) </v>
      </c>
      <c r="C16" s="391"/>
      <c r="D16" s="368">
        <f t="shared" ref="D16:I16" si="9">D86</f>
        <v>3312.8326894601605</v>
      </c>
      <c r="E16" s="368">
        <f t="shared" si="9"/>
        <v>3197.905410333462</v>
      </c>
      <c r="F16" s="368">
        <f t="shared" si="9"/>
        <v>3080.7015105146652</v>
      </c>
      <c r="G16" s="368">
        <f t="shared" si="9"/>
        <v>3107.7834013570655</v>
      </c>
      <c r="H16" s="368">
        <f t="shared" si="9"/>
        <v>3135.1033642129664</v>
      </c>
      <c r="I16" s="368">
        <f t="shared" si="9"/>
        <v>3162.6634919304602</v>
      </c>
      <c r="L16" s="188"/>
      <c r="M16" s="188"/>
      <c r="N16" s="188"/>
      <c r="O16" s="188"/>
      <c r="P16" s="365"/>
      <c r="Q16" s="365"/>
      <c r="R16" s="121"/>
      <c r="S16" s="121"/>
      <c r="T16" s="121"/>
      <c r="U16" s="121"/>
      <c r="V16" s="121"/>
      <c r="W16" s="121"/>
      <c r="X16" s="121"/>
      <c r="Y16" s="121"/>
      <c r="Z16" s="121"/>
      <c r="AJ16" s="260"/>
      <c r="AK16" s="260"/>
      <c r="AL16" s="260"/>
      <c r="AM16" s="260"/>
      <c r="AN16" s="260"/>
    </row>
    <row r="17" spans="1:40" ht="14.4" customHeight="1" x14ac:dyDescent="0.3">
      <c r="A17" s="261"/>
      <c r="B17" s="386" t="str">
        <f>B89&amp;" s"</f>
        <v>Post administration nursing time (hours) s</v>
      </c>
      <c r="C17" s="391"/>
      <c r="D17" s="368">
        <f t="shared" ref="D17:I17" si="10">D95</f>
        <v>1656.4163447300803</v>
      </c>
      <c r="E17" s="368">
        <f t="shared" si="10"/>
        <v>1598.952705166731</v>
      </c>
      <c r="F17" s="368">
        <f t="shared" si="10"/>
        <v>1540.3507552573326</v>
      </c>
      <c r="G17" s="368">
        <f t="shared" si="10"/>
        <v>1553.8917006785327</v>
      </c>
      <c r="H17" s="368">
        <f t="shared" si="10"/>
        <v>1567.5516821064832</v>
      </c>
      <c r="I17" s="368">
        <f t="shared" si="10"/>
        <v>1581.3317459652301</v>
      </c>
      <c r="L17" s="188"/>
      <c r="M17" s="188"/>
      <c r="N17" s="188"/>
      <c r="O17" s="188"/>
      <c r="P17" s="365"/>
      <c r="Q17" s="365"/>
      <c r="R17" s="121"/>
      <c r="S17" s="121"/>
      <c r="T17" s="121"/>
      <c r="U17" s="121"/>
      <c r="V17" s="121"/>
      <c r="W17" s="121"/>
      <c r="X17" s="121"/>
      <c r="Y17" s="121"/>
      <c r="Z17" s="121"/>
      <c r="AJ17" s="260"/>
      <c r="AK17" s="260"/>
      <c r="AL17" s="260"/>
      <c r="AM17" s="260"/>
      <c r="AN17" s="260"/>
    </row>
    <row r="18" spans="1:40" ht="14.4" customHeight="1" x14ac:dyDescent="0.3">
      <c r="A18" s="263"/>
      <c r="B18" s="387" t="str">
        <f>B99</f>
        <v>Pharmacy support</v>
      </c>
      <c r="C18" s="392"/>
      <c r="D18" s="369">
        <f>D105</f>
        <v>0</v>
      </c>
      <c r="E18" s="369">
        <f t="shared" ref="E18:I18" si="11">E105</f>
        <v>0</v>
      </c>
      <c r="F18" s="369">
        <f t="shared" si="11"/>
        <v>0</v>
      </c>
      <c r="G18" s="369">
        <f t="shared" si="11"/>
        <v>0</v>
      </c>
      <c r="H18" s="369">
        <f t="shared" si="11"/>
        <v>0</v>
      </c>
      <c r="I18" s="369">
        <f t="shared" si="11"/>
        <v>0</v>
      </c>
      <c r="L18" s="188"/>
      <c r="M18" s="188"/>
      <c r="N18" s="188"/>
      <c r="O18" s="188"/>
      <c r="P18" s="365"/>
      <c r="Q18" s="365"/>
      <c r="R18" s="121"/>
      <c r="S18" s="121"/>
      <c r="T18" s="121"/>
      <c r="U18" s="121"/>
      <c r="V18" s="121"/>
      <c r="W18" s="121"/>
      <c r="X18" s="121"/>
      <c r="Y18" s="121"/>
      <c r="Z18" s="121"/>
      <c r="AJ18" s="260"/>
      <c r="AK18" s="260"/>
      <c r="AL18" s="260"/>
      <c r="AM18" s="260"/>
      <c r="AN18" s="260"/>
    </row>
    <row r="19" spans="1:40" ht="14.4" customHeight="1" x14ac:dyDescent="0.3">
      <c r="A19" s="263"/>
      <c r="B19" s="387" t="str">
        <f>B99&amp;" - hours"</f>
        <v>Pharmacy support - hours</v>
      </c>
      <c r="C19" s="392"/>
      <c r="D19" s="369">
        <f>($C101*D101)+($C102*D102)+($C103*D103)+($C104*D104)</f>
        <v>0</v>
      </c>
      <c r="E19" s="369">
        <f t="shared" ref="E19:I19" si="12">($C101*E101)+($C102*E102)+($C103*E103)+($C104*E104)</f>
        <v>0</v>
      </c>
      <c r="F19" s="369">
        <f t="shared" si="12"/>
        <v>0</v>
      </c>
      <c r="G19" s="369">
        <f t="shared" si="12"/>
        <v>0</v>
      </c>
      <c r="H19" s="369">
        <f t="shared" si="12"/>
        <v>0</v>
      </c>
      <c r="I19" s="369">
        <f t="shared" si="12"/>
        <v>0</v>
      </c>
      <c r="L19" s="188"/>
      <c r="M19" s="188"/>
      <c r="N19" s="188"/>
      <c r="O19" s="188"/>
      <c r="P19" s="365"/>
      <c r="Q19" s="365"/>
      <c r="R19" s="121"/>
      <c r="S19" s="121"/>
      <c r="T19" s="121"/>
      <c r="U19" s="121"/>
      <c r="V19" s="121"/>
      <c r="W19" s="121"/>
      <c r="X19" s="121"/>
      <c r="Y19" s="121"/>
      <c r="Z19" s="121"/>
      <c r="AJ19" s="260"/>
      <c r="AK19" s="260"/>
      <c r="AL19" s="260"/>
      <c r="AM19" s="260"/>
      <c r="AN19" s="260"/>
    </row>
    <row r="20" spans="1:40" ht="14.4" customHeight="1" x14ac:dyDescent="0.3">
      <c r="A20" s="297"/>
      <c r="B20" s="389" t="str">
        <f>B109</f>
        <v>Pre-treatment endoscopy appointments</v>
      </c>
      <c r="C20" s="393"/>
      <c r="D20" s="372">
        <f>D115</f>
        <v>683.05828648663112</v>
      </c>
      <c r="E20" s="372">
        <f t="shared" ref="E20:I20" si="13">E115</f>
        <v>659.36194027494071</v>
      </c>
      <c r="F20" s="372">
        <f t="shared" si="13"/>
        <v>635.19618773498257</v>
      </c>
      <c r="G20" s="372">
        <f t="shared" si="13"/>
        <v>640.7800827540342</v>
      </c>
      <c r="H20" s="372">
        <f t="shared" si="13"/>
        <v>646.41306478617867</v>
      </c>
      <c r="I20" s="372">
        <f t="shared" si="13"/>
        <v>652.09556534648664</v>
      </c>
      <c r="L20" s="265">
        <f>L115</f>
        <v>0</v>
      </c>
      <c r="M20" s="265">
        <f t="shared" ref="M20:Q20" si="14">M115</f>
        <v>0</v>
      </c>
      <c r="N20" s="265">
        <f t="shared" si="14"/>
        <v>0</v>
      </c>
      <c r="O20" s="265">
        <f t="shared" si="14"/>
        <v>0</v>
      </c>
      <c r="P20" s="265">
        <f t="shared" si="14"/>
        <v>0</v>
      </c>
      <c r="Q20" s="265">
        <f t="shared" si="14"/>
        <v>0</v>
      </c>
      <c r="R20" s="121"/>
      <c r="S20" s="121"/>
      <c r="T20" s="121"/>
      <c r="U20" s="121"/>
      <c r="V20" s="121"/>
      <c r="W20" s="121"/>
      <c r="X20" s="121"/>
      <c r="Y20" s="121"/>
      <c r="Z20" s="121"/>
      <c r="AJ20" s="260"/>
      <c r="AK20" s="260"/>
      <c r="AL20" s="260"/>
      <c r="AM20" s="260"/>
      <c r="AN20" s="260"/>
    </row>
    <row r="21" spans="1:40" ht="14.4" hidden="1" customHeight="1" x14ac:dyDescent="0.3">
      <c r="A21" s="264"/>
      <c r="B21" s="390" t="e">
        <f>#REF!</f>
        <v>#REF!</v>
      </c>
      <c r="C21" s="394"/>
      <c r="D21" s="373" t="e">
        <f>#REF!</f>
        <v>#REF!</v>
      </c>
      <c r="E21" s="373" t="e">
        <f>#REF!</f>
        <v>#REF!</v>
      </c>
      <c r="F21" s="373" t="e">
        <f>#REF!</f>
        <v>#REF!</v>
      </c>
      <c r="G21" s="373" t="e">
        <f>#REF!</f>
        <v>#REF!</v>
      </c>
      <c r="H21" s="373" t="e">
        <f>#REF!</f>
        <v>#REF!</v>
      </c>
      <c r="I21" s="373" t="e">
        <f>#REF!</f>
        <v>#REF!</v>
      </c>
      <c r="L21" s="265" t="e">
        <f>#REF!</f>
        <v>#REF!</v>
      </c>
      <c r="M21" s="265" t="e">
        <f>#REF!</f>
        <v>#REF!</v>
      </c>
      <c r="N21" s="265" t="e">
        <f>#REF!</f>
        <v>#REF!</v>
      </c>
      <c r="O21" s="265" t="e">
        <f>#REF!</f>
        <v>#REF!</v>
      </c>
      <c r="P21" s="265" t="e">
        <f>#REF!</f>
        <v>#REF!</v>
      </c>
      <c r="Q21" s="265" t="e">
        <f>#REF!</f>
        <v>#REF!</v>
      </c>
      <c r="R21" s="121"/>
      <c r="S21" s="121"/>
      <c r="T21" s="121"/>
      <c r="U21" s="121"/>
      <c r="V21" s="121"/>
      <c r="W21" s="121"/>
      <c r="X21" s="121"/>
      <c r="Y21" s="121"/>
      <c r="Z21" s="121"/>
      <c r="AJ21" s="260"/>
      <c r="AK21" s="260"/>
      <c r="AL21" s="260"/>
      <c r="AM21" s="260"/>
      <c r="AN21" s="260"/>
    </row>
    <row r="22" spans="1:40" ht="14.4" hidden="1" customHeight="1" x14ac:dyDescent="0.3">
      <c r="A22" s="264"/>
      <c r="B22" s="390" t="e">
        <f>#REF!&amp;" - hours"</f>
        <v>#REF!</v>
      </c>
      <c r="C22" s="373">
        <f>'Capacity inputs'!F22</f>
        <v>0</v>
      </c>
      <c r="D22" s="373" t="e">
        <f>$C$22/60*D21</f>
        <v>#REF!</v>
      </c>
      <c r="E22" s="373" t="e">
        <f t="shared" ref="E22:I22" si="15">$C$22/60*E21</f>
        <v>#REF!</v>
      </c>
      <c r="F22" s="373" t="e">
        <f t="shared" si="15"/>
        <v>#REF!</v>
      </c>
      <c r="G22" s="373" t="e">
        <f t="shared" si="15"/>
        <v>#REF!</v>
      </c>
      <c r="H22" s="373" t="e">
        <f t="shared" si="15"/>
        <v>#REF!</v>
      </c>
      <c r="I22" s="373" t="e">
        <f t="shared" si="15"/>
        <v>#REF!</v>
      </c>
      <c r="L22" s="709"/>
      <c r="M22" s="709"/>
      <c r="N22" s="709"/>
      <c r="O22" s="709"/>
      <c r="P22" s="709"/>
      <c r="Q22" s="709"/>
      <c r="R22" s="121"/>
      <c r="S22" s="121"/>
      <c r="T22" s="121"/>
      <c r="U22" s="121"/>
      <c r="V22" s="121"/>
      <c r="W22" s="121"/>
      <c r="X22" s="121"/>
      <c r="Y22" s="121"/>
      <c r="Z22" s="121"/>
      <c r="AJ22" s="260"/>
      <c r="AK22" s="260"/>
      <c r="AL22" s="260"/>
      <c r="AM22" s="260"/>
      <c r="AN22" s="260"/>
    </row>
    <row r="23" spans="1:40" ht="14.4" hidden="1" customHeight="1" x14ac:dyDescent="0.3">
      <c r="A23" s="264"/>
      <c r="B23" s="390" t="e">
        <f>#REF!</f>
        <v>#REF!</v>
      </c>
      <c r="C23" s="394"/>
      <c r="D23" s="373" t="e">
        <f>#REF!</f>
        <v>#REF!</v>
      </c>
      <c r="E23" s="373" t="e">
        <f>#REF!</f>
        <v>#REF!</v>
      </c>
      <c r="F23" s="373" t="e">
        <f>#REF!</f>
        <v>#REF!</v>
      </c>
      <c r="G23" s="373" t="e">
        <f>#REF!</f>
        <v>#REF!</v>
      </c>
      <c r="H23" s="373" t="e">
        <f>#REF!</f>
        <v>#REF!</v>
      </c>
      <c r="I23" s="373" t="e">
        <f>#REF!</f>
        <v>#REF!</v>
      </c>
      <c r="L23" s="188"/>
      <c r="M23" s="188"/>
      <c r="N23" s="188"/>
      <c r="O23" s="188"/>
      <c r="P23" s="365"/>
      <c r="Q23" s="365"/>
      <c r="R23" s="121"/>
      <c r="S23" s="121"/>
      <c r="T23" s="121"/>
      <c r="U23" s="121"/>
      <c r="V23" s="121"/>
      <c r="W23" s="121"/>
      <c r="X23" s="121"/>
      <c r="Y23" s="121"/>
      <c r="Z23" s="121"/>
      <c r="AJ23" s="260"/>
      <c r="AK23" s="260"/>
      <c r="AL23" s="260"/>
      <c r="AM23" s="260"/>
      <c r="AN23" s="260"/>
    </row>
    <row r="24" spans="1:40" ht="14.4" hidden="1" customHeight="1" x14ac:dyDescent="0.3">
      <c r="A24" s="264"/>
      <c r="B24" s="390" t="e">
        <f>#REF!&amp;" - hours"</f>
        <v>#REF!</v>
      </c>
      <c r="C24" s="373">
        <f>'Capacity inputs'!F23</f>
        <v>0</v>
      </c>
      <c r="D24" s="373" t="e">
        <f>$C24/60*D23</f>
        <v>#REF!</v>
      </c>
      <c r="E24" s="373" t="e">
        <f t="shared" ref="E24:I24" si="16">$C24/60*E23</f>
        <v>#REF!</v>
      </c>
      <c r="F24" s="373" t="e">
        <f t="shared" si="16"/>
        <v>#REF!</v>
      </c>
      <c r="G24" s="373" t="e">
        <f t="shared" si="16"/>
        <v>#REF!</v>
      </c>
      <c r="H24" s="373" t="e">
        <f t="shared" si="16"/>
        <v>#REF!</v>
      </c>
      <c r="I24" s="373" t="e">
        <f t="shared" si="16"/>
        <v>#REF!</v>
      </c>
      <c r="L24" s="188"/>
      <c r="M24" s="188"/>
      <c r="N24" s="188"/>
      <c r="O24" s="188"/>
      <c r="P24" s="365"/>
      <c r="Q24" s="365"/>
      <c r="R24" s="121"/>
      <c r="S24" s="121"/>
      <c r="T24" s="121"/>
      <c r="U24" s="121"/>
      <c r="V24" s="121"/>
      <c r="W24" s="121"/>
      <c r="X24" s="121"/>
      <c r="Y24" s="121"/>
      <c r="Z24" s="121"/>
      <c r="AJ24" s="260"/>
      <c r="AK24" s="260"/>
      <c r="AL24" s="260"/>
      <c r="AM24" s="260"/>
      <c r="AN24" s="260"/>
    </row>
    <row r="25" spans="1:40" ht="14.4" hidden="1" customHeight="1" x14ac:dyDescent="0.3">
      <c r="A25" s="264"/>
      <c r="B25" s="390" t="e">
        <f>#REF!</f>
        <v>#REF!</v>
      </c>
      <c r="C25" s="394"/>
      <c r="D25" s="373" t="e">
        <f>#REF!</f>
        <v>#REF!</v>
      </c>
      <c r="E25" s="373" t="e">
        <f>#REF!</f>
        <v>#REF!</v>
      </c>
      <c r="F25" s="373" t="e">
        <f>#REF!</f>
        <v>#REF!</v>
      </c>
      <c r="G25" s="373" t="e">
        <f>#REF!</f>
        <v>#REF!</v>
      </c>
      <c r="H25" s="373" t="e">
        <f>#REF!</f>
        <v>#REF!</v>
      </c>
      <c r="I25" s="373" t="e">
        <f>#REF!</f>
        <v>#REF!</v>
      </c>
      <c r="L25" s="188"/>
      <c r="M25" s="188"/>
      <c r="N25" s="188"/>
      <c r="O25" s="188"/>
      <c r="P25" s="365"/>
      <c r="Q25" s="365"/>
      <c r="R25" s="121"/>
      <c r="S25" s="121"/>
      <c r="T25" s="121"/>
      <c r="U25" s="121"/>
      <c r="V25" s="121"/>
      <c r="W25" s="121"/>
      <c r="X25" s="121"/>
      <c r="Y25" s="121"/>
      <c r="Z25" s="121"/>
      <c r="AJ25" s="260"/>
      <c r="AK25" s="260"/>
      <c r="AL25" s="260"/>
      <c r="AM25" s="260"/>
      <c r="AN25" s="260"/>
    </row>
    <row r="26" spans="1:40" ht="14.4" hidden="1" customHeight="1" x14ac:dyDescent="0.3">
      <c r="A26" s="264"/>
      <c r="B26" s="714" t="e">
        <f>#REF!&amp;" - hours"</f>
        <v>#REF!</v>
      </c>
      <c r="C26" s="715">
        <f>'Capacity inputs'!F24</f>
        <v>0</v>
      </c>
      <c r="D26" s="373" t="e">
        <f>$C26/60*D25</f>
        <v>#REF!</v>
      </c>
      <c r="E26" s="373" t="e">
        <f t="shared" ref="E26:I26" si="17">$C26/60*E25</f>
        <v>#REF!</v>
      </c>
      <c r="F26" s="373" t="e">
        <f t="shared" si="17"/>
        <v>#REF!</v>
      </c>
      <c r="G26" s="373" t="e">
        <f t="shared" si="17"/>
        <v>#REF!</v>
      </c>
      <c r="H26" s="373" t="e">
        <f t="shared" si="17"/>
        <v>#REF!</v>
      </c>
      <c r="I26" s="373" t="e">
        <f t="shared" si="17"/>
        <v>#REF!</v>
      </c>
      <c r="L26" s="188"/>
      <c r="M26" s="188"/>
      <c r="N26" s="188"/>
      <c r="O26" s="188"/>
      <c r="P26" s="365"/>
      <c r="Q26" s="365"/>
      <c r="R26" s="121"/>
      <c r="S26" s="121"/>
      <c r="T26" s="121"/>
      <c r="U26" s="121"/>
      <c r="V26" s="121"/>
      <c r="W26" s="121"/>
      <c r="X26" s="121"/>
      <c r="Y26" s="121"/>
      <c r="Z26" s="121"/>
      <c r="AJ26" s="260"/>
      <c r="AK26" s="260"/>
      <c r="AL26" s="260"/>
      <c r="AM26" s="260"/>
      <c r="AN26" s="260"/>
    </row>
    <row r="27" spans="1:40" ht="14.4" customHeight="1" x14ac:dyDescent="0.3">
      <c r="B27" s="222"/>
      <c r="D27" s="260"/>
      <c r="F27" s="121"/>
      <c r="G27" s="121"/>
      <c r="H27" s="121"/>
      <c r="I27" s="121"/>
      <c r="J27" s="121"/>
      <c r="K27" s="121"/>
      <c r="L27" s="266">
        <f t="shared" ref="L27:Q27" si="18">SUM(L10:L20)</f>
        <v>2696.0546104967498</v>
      </c>
      <c r="M27" s="266">
        <f t="shared" si="18"/>
        <v>2577.7398643189194</v>
      </c>
      <c r="N27" s="266">
        <f t="shared" si="18"/>
        <v>2457.1366039154714</v>
      </c>
      <c r="O27" s="266">
        <f t="shared" si="18"/>
        <v>2478.7368482315746</v>
      </c>
      <c r="P27" s="266">
        <f t="shared" si="18"/>
        <v>2500.5269763961273</v>
      </c>
      <c r="Q27" s="266">
        <f t="shared" si="18"/>
        <v>2522.508657643762</v>
      </c>
      <c r="R27" s="121"/>
      <c r="S27" s="121"/>
      <c r="T27" s="121"/>
      <c r="U27" s="121"/>
      <c r="V27" s="121"/>
      <c r="W27" s="121"/>
      <c r="X27" s="121"/>
      <c r="Y27" s="121"/>
      <c r="Z27" s="121"/>
    </row>
    <row r="28" spans="1:40" x14ac:dyDescent="0.3">
      <c r="B28" s="288"/>
      <c r="C28" s="288"/>
      <c r="D28" s="288"/>
      <c r="E28" s="288"/>
      <c r="F28" s="288"/>
      <c r="G28" s="288"/>
      <c r="H28" s="288"/>
      <c r="I28" s="288"/>
      <c r="J28" s="288"/>
      <c r="K28" s="288"/>
      <c r="L28" s="288"/>
      <c r="P28" s="121"/>
      <c r="Q28" s="121"/>
      <c r="R28" s="121"/>
      <c r="S28" s="121"/>
      <c r="V28" s="121"/>
      <c r="W28" s="121"/>
      <c r="X28" s="121"/>
      <c r="Y28" s="121"/>
      <c r="Z28" s="121"/>
      <c r="AJ28" s="260"/>
      <c r="AK28" s="260"/>
      <c r="AL28" s="260"/>
      <c r="AM28" s="260"/>
      <c r="AN28" s="260"/>
    </row>
    <row r="29" spans="1:40" x14ac:dyDescent="0.3">
      <c r="B29" s="328" t="s">
        <v>2093</v>
      </c>
      <c r="C29" s="329"/>
      <c r="D29" s="329"/>
      <c r="E29" s="330"/>
      <c r="F29" s="329"/>
      <c r="G29" s="331"/>
      <c r="H29" s="332"/>
      <c r="I29" s="332"/>
      <c r="J29" s="332"/>
      <c r="K29" s="332"/>
      <c r="L29" s="332"/>
      <c r="M29" s="332"/>
      <c r="N29" s="332"/>
      <c r="O29" s="332"/>
      <c r="P29" s="332"/>
      <c r="Q29" s="333"/>
      <c r="R29" s="121"/>
      <c r="S29" s="121"/>
      <c r="T29" s="121"/>
      <c r="U29" s="121"/>
      <c r="V29" s="121"/>
      <c r="W29" s="121"/>
      <c r="X29" s="121"/>
      <c r="Y29" s="121"/>
      <c r="Z29" s="121"/>
      <c r="AJ29" s="260"/>
      <c r="AK29" s="260"/>
      <c r="AL29" s="260"/>
      <c r="AM29" s="260"/>
      <c r="AN29" s="260"/>
    </row>
    <row r="30" spans="1:40" x14ac:dyDescent="0.3">
      <c r="A30" s="262"/>
      <c r="B30" s="463" t="s">
        <v>2094</v>
      </c>
      <c r="C30" s="456"/>
      <c r="D30" s="457"/>
      <c r="E30" s="458"/>
      <c r="F30" s="262"/>
      <c r="G30" s="262"/>
      <c r="H30" s="198"/>
      <c r="I30" s="198"/>
      <c r="J30" s="198"/>
      <c r="K30" s="198"/>
      <c r="L30" s="198"/>
      <c r="M30" s="198"/>
      <c r="N30" s="198"/>
      <c r="O30" s="198"/>
      <c r="P30" s="198"/>
      <c r="Q30" s="198"/>
      <c r="R30" s="121"/>
      <c r="S30" s="121"/>
      <c r="T30" s="121"/>
      <c r="U30" s="121"/>
      <c r="V30" s="121"/>
      <c r="W30" s="121"/>
      <c r="X30" s="121"/>
      <c r="Y30" s="121"/>
      <c r="Z30" s="121"/>
      <c r="AJ30" s="260"/>
      <c r="AK30" s="260"/>
      <c r="AL30" s="260"/>
      <c r="AM30" s="260"/>
      <c r="AN30" s="260"/>
    </row>
    <row r="31" spans="1:40" x14ac:dyDescent="0.3">
      <c r="A31" s="454"/>
      <c r="B31" s="459" t="s">
        <v>2095</v>
      </c>
      <c r="C31" s="351"/>
      <c r="D31" s="351"/>
      <c r="E31" s="351"/>
      <c r="F31" s="351"/>
      <c r="G31" s="351"/>
      <c r="H31" s="351"/>
      <c r="I31" s="197"/>
      <c r="J31" s="198"/>
      <c r="K31" s="198"/>
      <c r="L31" s="198"/>
      <c r="M31" s="198"/>
      <c r="N31" s="198"/>
      <c r="O31" s="198"/>
      <c r="P31" s="198"/>
      <c r="Q31" s="198"/>
      <c r="R31" s="121"/>
      <c r="S31" s="121"/>
      <c r="T31" s="121"/>
      <c r="U31" s="121"/>
      <c r="V31" s="121"/>
      <c r="W31" s="121"/>
      <c r="X31" s="121"/>
      <c r="Y31" s="121"/>
      <c r="Z31" s="121"/>
      <c r="AJ31" s="260"/>
      <c r="AK31" s="260"/>
      <c r="AL31" s="260"/>
      <c r="AM31" s="260"/>
      <c r="AN31" s="260"/>
    </row>
    <row r="32" spans="1:40" ht="43.2" x14ac:dyDescent="0.3">
      <c r="A32" s="454"/>
      <c r="B32" s="287" t="s">
        <v>2033</v>
      </c>
      <c r="C32" s="153" t="s">
        <v>2096</v>
      </c>
      <c r="D32" s="840" t="s">
        <v>2082</v>
      </c>
      <c r="E32" s="231" t="s">
        <v>1885</v>
      </c>
      <c r="F32" s="231" t="s">
        <v>1886</v>
      </c>
      <c r="G32" s="152" t="s">
        <v>2054</v>
      </c>
      <c r="H32" s="152" t="s">
        <v>2055</v>
      </c>
      <c r="I32" s="231" t="s">
        <v>2056</v>
      </c>
      <c r="J32" s="462"/>
      <c r="K32" s="453" t="s">
        <v>2117</v>
      </c>
      <c r="L32" s="840" t="s">
        <v>2082</v>
      </c>
      <c r="M32" s="842" t="s">
        <v>1885</v>
      </c>
      <c r="N32" s="842" t="s">
        <v>1886</v>
      </c>
      <c r="O32" s="370" t="s">
        <v>2054</v>
      </c>
      <c r="P32" s="370" t="s">
        <v>2055</v>
      </c>
      <c r="Q32" s="842" t="s">
        <v>2056</v>
      </c>
      <c r="R32" s="121"/>
      <c r="S32" s="121"/>
      <c r="T32" s="121"/>
      <c r="U32" s="121"/>
      <c r="V32" s="121"/>
      <c r="W32" s="121"/>
      <c r="X32" s="121"/>
      <c r="Y32" s="121"/>
      <c r="Z32" s="121"/>
      <c r="AJ32" s="260"/>
      <c r="AK32" s="260"/>
      <c r="AL32" s="260"/>
      <c r="AM32" s="260"/>
      <c r="AN32" s="260"/>
    </row>
    <row r="33" spans="1:40" x14ac:dyDescent="0.3">
      <c r="A33" s="454"/>
      <c r="B33" s="313" t="str">
        <f>'Capacity inputs'!G13</f>
        <v xml:space="preserve">Durvalumab with tremelimumab </v>
      </c>
      <c r="C33" s="137">
        <f>'Capacity inputs'!G$14</f>
        <v>0</v>
      </c>
      <c r="D33" s="116">
        <f>'Financial impact (cash)'!D13*$C$33</f>
        <v>0</v>
      </c>
      <c r="E33" s="116">
        <f>'Financial impact (cash)'!E13*$C$33</f>
        <v>0</v>
      </c>
      <c r="F33" s="116">
        <f>'Financial impact (cash)'!F13*$C$33</f>
        <v>0</v>
      </c>
      <c r="G33" s="116">
        <f>'Financial impact (cash)'!G13*$C$33</f>
        <v>0</v>
      </c>
      <c r="H33" s="116">
        <f>'Financial impact (cash)'!H13*$C$33</f>
        <v>0</v>
      </c>
      <c r="I33" s="116">
        <f>'Financial impact (cash)'!I13*$C$33</f>
        <v>0</v>
      </c>
      <c r="J33" s="462"/>
      <c r="K33" s="467">
        <f>'Unit costs'!N112</f>
        <v>0</v>
      </c>
      <c r="L33" s="265">
        <f>(D33*$K$33)/1000</f>
        <v>0</v>
      </c>
      <c r="M33" s="265">
        <f>(E33*$K$33)/1000</f>
        <v>0</v>
      </c>
      <c r="N33" s="265">
        <f t="shared" ref="N33:Q33" si="19">(F33*$K$33)/1000</f>
        <v>0</v>
      </c>
      <c r="O33" s="265">
        <f t="shared" si="19"/>
        <v>0</v>
      </c>
      <c r="P33" s="265">
        <f t="shared" si="19"/>
        <v>0</v>
      </c>
      <c r="Q33" s="265">
        <f t="shared" si="19"/>
        <v>0</v>
      </c>
      <c r="R33" s="121"/>
      <c r="S33" s="121"/>
      <c r="T33" s="121"/>
      <c r="U33" s="121"/>
      <c r="V33" s="121"/>
      <c r="W33" s="121"/>
      <c r="X33" s="121"/>
      <c r="Y33" s="121"/>
      <c r="Z33" s="121"/>
      <c r="AJ33" s="260"/>
      <c r="AK33" s="260"/>
      <c r="AL33" s="260"/>
      <c r="AM33" s="260"/>
      <c r="AN33" s="260"/>
    </row>
    <row r="34" spans="1:40" x14ac:dyDescent="0.3">
      <c r="A34" s="454"/>
      <c r="B34" s="313" t="str">
        <f>'Capacity inputs'!H13</f>
        <v xml:space="preserve">Atezolizumab with bevacizumab </v>
      </c>
      <c r="C34" s="137">
        <f>'Capacity inputs'!H$14</f>
        <v>0</v>
      </c>
      <c r="D34" s="915">
        <f>'Financial impact (cash)'!D14*$C33</f>
        <v>0</v>
      </c>
      <c r="E34" s="915">
        <f>'Financial impact (cash)'!E14*$C33</f>
        <v>0</v>
      </c>
      <c r="F34" s="915">
        <f>'Financial impact (cash)'!F14*$C33</f>
        <v>0</v>
      </c>
      <c r="G34" s="915">
        <f>'Financial impact (cash)'!G14*$C33</f>
        <v>0</v>
      </c>
      <c r="H34" s="915">
        <f>'Financial impact (cash)'!H14*$C33</f>
        <v>0</v>
      </c>
      <c r="I34" s="915">
        <f>'Financial impact (cash)'!I14*$C33</f>
        <v>0</v>
      </c>
      <c r="J34" s="462"/>
      <c r="K34" s="467">
        <f>K33</f>
        <v>0</v>
      </c>
      <c r="L34" s="265">
        <f>(D34*$K$34)/1000</f>
        <v>0</v>
      </c>
      <c r="M34" s="265">
        <f t="shared" ref="M34:Q34" si="20">(E34*$K$34)/1000</f>
        <v>0</v>
      </c>
      <c r="N34" s="265">
        <f t="shared" si="20"/>
        <v>0</v>
      </c>
      <c r="O34" s="265">
        <f>(G34*$K$34)/1000</f>
        <v>0</v>
      </c>
      <c r="P34" s="265">
        <f t="shared" si="20"/>
        <v>0</v>
      </c>
      <c r="Q34" s="265">
        <f t="shared" si="20"/>
        <v>0</v>
      </c>
      <c r="R34" s="121"/>
      <c r="S34" s="121"/>
      <c r="T34" s="121"/>
      <c r="U34" s="121"/>
      <c r="V34" s="121"/>
      <c r="W34" s="121"/>
      <c r="X34" s="121"/>
      <c r="Y34" s="121"/>
      <c r="Z34" s="121"/>
      <c r="AJ34" s="260"/>
      <c r="AK34" s="260"/>
      <c r="AL34" s="260"/>
      <c r="AM34" s="260"/>
      <c r="AN34" s="260"/>
    </row>
    <row r="35" spans="1:40" x14ac:dyDescent="0.3">
      <c r="A35" s="454"/>
      <c r="B35" s="313" t="str">
        <f>'Capacity inputs'!I13</f>
        <v xml:space="preserve">Lenvatinib </v>
      </c>
      <c r="C35" s="137">
        <f>'Capacity inputs'!I$14</f>
        <v>0</v>
      </c>
      <c r="D35" s="915">
        <f>'Financial impact (cash)'!D15*$C34</f>
        <v>0</v>
      </c>
      <c r="E35" s="915">
        <f>'Financial impact (cash)'!E15*$C34</f>
        <v>0</v>
      </c>
      <c r="F35" s="915">
        <f>'Financial impact (cash)'!F15*$C34</f>
        <v>0</v>
      </c>
      <c r="G35" s="915">
        <f>'Financial impact (cash)'!G15*$C34</f>
        <v>0</v>
      </c>
      <c r="H35" s="915">
        <f>'Financial impact (cash)'!H15*$C34</f>
        <v>0</v>
      </c>
      <c r="I35" s="915">
        <f>'Financial impact (cash)'!I15*$C34</f>
        <v>0</v>
      </c>
      <c r="J35" s="462"/>
      <c r="K35" s="467">
        <f>K33</f>
        <v>0</v>
      </c>
      <c r="L35" s="265">
        <f>(D35*$K$35)/1000</f>
        <v>0</v>
      </c>
      <c r="M35" s="265">
        <f t="shared" ref="M35:Q35" si="21">(E35*$K$35)/1000</f>
        <v>0</v>
      </c>
      <c r="N35" s="265">
        <f t="shared" si="21"/>
        <v>0</v>
      </c>
      <c r="O35" s="265">
        <f t="shared" si="21"/>
        <v>0</v>
      </c>
      <c r="P35" s="265">
        <f t="shared" si="21"/>
        <v>0</v>
      </c>
      <c r="Q35" s="265">
        <f t="shared" si="21"/>
        <v>0</v>
      </c>
      <c r="R35" s="121"/>
      <c r="S35" s="121"/>
      <c r="T35" s="121"/>
      <c r="U35" s="121"/>
      <c r="V35" s="121"/>
      <c r="W35" s="121"/>
      <c r="X35" s="121"/>
      <c r="Y35" s="121"/>
      <c r="Z35" s="121"/>
      <c r="AJ35" s="260"/>
      <c r="AK35" s="260"/>
      <c r="AL35" s="260"/>
      <c r="AM35" s="260"/>
      <c r="AN35" s="260"/>
    </row>
    <row r="36" spans="1:40" x14ac:dyDescent="0.3">
      <c r="A36" s="454"/>
      <c r="B36" s="854" t="str">
        <f>'Capacity inputs'!J13</f>
        <v>Sorafenib</v>
      </c>
      <c r="C36" s="137">
        <f>'Capacity inputs'!J$14</f>
        <v>0</v>
      </c>
      <c r="D36" s="915">
        <f>'Financial impact (cash)'!D16*$C35</f>
        <v>0</v>
      </c>
      <c r="E36" s="915">
        <f>'Financial impact (cash)'!E16*$C35</f>
        <v>0</v>
      </c>
      <c r="F36" s="915">
        <f>'Financial impact (cash)'!F16*$C35</f>
        <v>0</v>
      </c>
      <c r="G36" s="915">
        <f>'Financial impact (cash)'!G16*$C35</f>
        <v>0</v>
      </c>
      <c r="H36" s="915">
        <f>'Financial impact (cash)'!H16*$C35</f>
        <v>0</v>
      </c>
      <c r="I36" s="915">
        <f>'Financial impact (cash)'!I16*$C35</f>
        <v>0</v>
      </c>
      <c r="J36" s="462"/>
      <c r="K36" s="467">
        <f>K33</f>
        <v>0</v>
      </c>
      <c r="L36" s="265">
        <f>(D36*$K$36)/1000</f>
        <v>0</v>
      </c>
      <c r="M36" s="265">
        <f t="shared" ref="M36:P36" si="22">(E36*$K$36)/1000</f>
        <v>0</v>
      </c>
      <c r="N36" s="265">
        <f t="shared" si="22"/>
        <v>0</v>
      </c>
      <c r="O36" s="265">
        <f t="shared" si="22"/>
        <v>0</v>
      </c>
      <c r="P36" s="265">
        <f t="shared" si="22"/>
        <v>0</v>
      </c>
      <c r="Q36" s="265">
        <f>(I36*$K$36)/1000</f>
        <v>0</v>
      </c>
      <c r="R36" s="121"/>
      <c r="S36" s="121"/>
      <c r="T36" s="121"/>
      <c r="U36" s="121"/>
      <c r="V36" s="121"/>
      <c r="W36" s="121"/>
      <c r="X36" s="121"/>
      <c r="Y36" s="121"/>
      <c r="Z36" s="121"/>
      <c r="AJ36" s="260"/>
      <c r="AK36" s="260"/>
      <c r="AL36" s="260"/>
      <c r="AM36" s="260"/>
      <c r="AN36" s="260"/>
    </row>
    <row r="37" spans="1:40" x14ac:dyDescent="0.3">
      <c r="A37" s="454"/>
      <c r="B37" s="443"/>
      <c r="C37" s="291"/>
      <c r="D37" s="168">
        <f t="shared" ref="D37:I37" si="23">SUM(D33:D36)</f>
        <v>0</v>
      </c>
      <c r="E37" s="168">
        <f t="shared" si="23"/>
        <v>0</v>
      </c>
      <c r="F37" s="168">
        <f t="shared" si="23"/>
        <v>0</v>
      </c>
      <c r="G37" s="168">
        <f t="shared" si="23"/>
        <v>0</v>
      </c>
      <c r="H37" s="168">
        <f t="shared" si="23"/>
        <v>0</v>
      </c>
      <c r="I37" s="168">
        <f t="shared" si="23"/>
        <v>0</v>
      </c>
      <c r="J37" s="462"/>
      <c r="K37" s="198"/>
      <c r="L37" s="266">
        <f t="shared" ref="L37:Q37" si="24">SUM(L33:L36)</f>
        <v>0</v>
      </c>
      <c r="M37" s="266">
        <f t="shared" si="24"/>
        <v>0</v>
      </c>
      <c r="N37" s="266">
        <f t="shared" si="24"/>
        <v>0</v>
      </c>
      <c r="O37" s="266">
        <f t="shared" si="24"/>
        <v>0</v>
      </c>
      <c r="P37" s="266">
        <f t="shared" si="24"/>
        <v>0</v>
      </c>
      <c r="Q37" s="266">
        <f t="shared" si="24"/>
        <v>0</v>
      </c>
      <c r="R37" s="121"/>
      <c r="S37" s="121"/>
      <c r="T37" s="121"/>
      <c r="U37" s="121"/>
      <c r="V37" s="121"/>
      <c r="W37" s="121"/>
      <c r="X37" s="121"/>
      <c r="Y37" s="121"/>
      <c r="Z37" s="121"/>
      <c r="AJ37" s="260"/>
      <c r="AK37" s="260"/>
      <c r="AL37" s="260"/>
      <c r="AM37" s="260"/>
      <c r="AN37" s="260"/>
    </row>
    <row r="38" spans="1:40" x14ac:dyDescent="0.3">
      <c r="A38" s="454"/>
      <c r="B38" s="232"/>
      <c r="C38" s="291"/>
      <c r="D38" s="259" t="s">
        <v>2097</v>
      </c>
      <c r="E38" s="168">
        <f>E37-$D$37</f>
        <v>0</v>
      </c>
      <c r="F38" s="168">
        <f>F37-$D$37</f>
        <v>0</v>
      </c>
      <c r="G38" s="168">
        <f>G37-$D$37</f>
        <v>0</v>
      </c>
      <c r="H38" s="168">
        <f>H37-$D$37</f>
        <v>0</v>
      </c>
      <c r="I38" s="168">
        <f>I37-$D$37</f>
        <v>0</v>
      </c>
      <c r="J38" s="462"/>
      <c r="K38" s="198"/>
      <c r="L38" s="198"/>
      <c r="M38" s="266">
        <f>M37-$L37</f>
        <v>0</v>
      </c>
      <c r="N38" s="266">
        <f t="shared" ref="N38:Q38" si="25">N37-$L37</f>
        <v>0</v>
      </c>
      <c r="O38" s="266">
        <f t="shared" si="25"/>
        <v>0</v>
      </c>
      <c r="P38" s="266">
        <f t="shared" si="25"/>
        <v>0</v>
      </c>
      <c r="Q38" s="266">
        <f t="shared" si="25"/>
        <v>0</v>
      </c>
      <c r="R38" s="121"/>
      <c r="S38" s="121"/>
      <c r="T38" s="121"/>
      <c r="U38" s="121"/>
      <c r="V38" s="121"/>
      <c r="W38" s="121"/>
      <c r="X38" s="121"/>
      <c r="Y38" s="121"/>
      <c r="Z38" s="121"/>
      <c r="AJ38" s="260"/>
      <c r="AK38" s="260"/>
      <c r="AL38" s="260"/>
      <c r="AM38" s="260"/>
      <c r="AN38" s="260"/>
    </row>
    <row r="39" spans="1:40" x14ac:dyDescent="0.3">
      <c r="A39" s="262"/>
      <c r="B39" s="455"/>
      <c r="C39" s="456"/>
      <c r="D39" s="457"/>
      <c r="E39" s="458"/>
      <c r="F39" s="262"/>
      <c r="G39" s="262"/>
      <c r="H39" s="262"/>
      <c r="I39" s="282"/>
      <c r="J39" s="198"/>
      <c r="K39" s="198"/>
      <c r="L39" s="198"/>
      <c r="M39" s="198"/>
      <c r="N39" s="198"/>
      <c r="O39" s="198"/>
      <c r="P39" s="198"/>
      <c r="Q39" s="198"/>
      <c r="R39" s="121"/>
      <c r="S39" s="121"/>
      <c r="T39" s="121"/>
      <c r="U39" s="121"/>
      <c r="V39" s="121"/>
      <c r="W39" s="121"/>
      <c r="X39" s="121"/>
      <c r="Y39" s="121"/>
      <c r="Z39" s="121"/>
      <c r="AJ39" s="260"/>
      <c r="AK39" s="260"/>
      <c r="AL39" s="260"/>
      <c r="AM39" s="260"/>
      <c r="AN39" s="260"/>
    </row>
    <row r="40" spans="1:40" x14ac:dyDescent="0.3">
      <c r="A40" s="262"/>
      <c r="B40" s="350" t="s">
        <v>2098</v>
      </c>
      <c r="C40" s="351"/>
      <c r="D40" s="351"/>
      <c r="E40" s="351"/>
      <c r="F40" s="351"/>
      <c r="G40" s="351"/>
      <c r="H40" s="351"/>
      <c r="I40" s="197"/>
      <c r="J40" s="198"/>
      <c r="K40" s="198"/>
      <c r="L40" s="198"/>
      <c r="M40" s="198"/>
      <c r="N40" s="198"/>
      <c r="O40" s="198"/>
      <c r="P40" s="198"/>
      <c r="Q40" s="198"/>
      <c r="R40" s="121"/>
      <c r="S40" s="121"/>
      <c r="T40" s="121"/>
      <c r="U40" s="121"/>
      <c r="V40" s="121"/>
      <c r="W40" s="121"/>
      <c r="X40" s="121"/>
      <c r="Y40" s="121"/>
      <c r="Z40" s="121"/>
      <c r="AJ40" s="260"/>
      <c r="AK40" s="260"/>
      <c r="AL40" s="260"/>
      <c r="AM40" s="260"/>
      <c r="AN40" s="260"/>
    </row>
    <row r="41" spans="1:40" ht="43.2" x14ac:dyDescent="0.3">
      <c r="A41" s="262"/>
      <c r="B41" s="253" t="s">
        <v>2033</v>
      </c>
      <c r="C41" s="153" t="s">
        <v>2096</v>
      </c>
      <c r="D41" s="840" t="s">
        <v>2082</v>
      </c>
      <c r="E41" s="231" t="s">
        <v>1885</v>
      </c>
      <c r="F41" s="231" t="s">
        <v>1886</v>
      </c>
      <c r="G41" s="152" t="s">
        <v>2054</v>
      </c>
      <c r="H41" s="152" t="s">
        <v>2055</v>
      </c>
      <c r="I41" s="231" t="s">
        <v>2056</v>
      </c>
      <c r="J41" s="198"/>
      <c r="K41" s="453" t="s">
        <v>2117</v>
      </c>
      <c r="L41" s="840" t="s">
        <v>2082</v>
      </c>
      <c r="M41" s="842" t="s">
        <v>1885</v>
      </c>
      <c r="N41" s="842" t="s">
        <v>1886</v>
      </c>
      <c r="O41" s="370" t="s">
        <v>2054</v>
      </c>
      <c r="P41" s="370" t="s">
        <v>2055</v>
      </c>
      <c r="Q41" s="842" t="s">
        <v>2056</v>
      </c>
      <c r="R41" s="121"/>
      <c r="S41" s="121"/>
      <c r="T41" s="121"/>
      <c r="U41" s="121"/>
      <c r="V41" s="121"/>
      <c r="W41" s="121"/>
      <c r="X41" s="121"/>
      <c r="Y41" s="121"/>
      <c r="Z41" s="121"/>
      <c r="AJ41" s="260"/>
      <c r="AK41" s="260"/>
      <c r="AL41" s="260"/>
      <c r="AM41" s="260"/>
      <c r="AN41" s="260"/>
    </row>
    <row r="42" spans="1:40" x14ac:dyDescent="0.3">
      <c r="A42" s="262"/>
      <c r="B42" s="312" t="str">
        <f>B33</f>
        <v xml:space="preserve">Durvalumab with tremelimumab </v>
      </c>
      <c r="C42" s="914">
        <f>'Capacity inputs'!G$15</f>
        <v>0</v>
      </c>
      <c r="D42" s="116">
        <f>'Financial impact (cash)'!D13*$C42</f>
        <v>0</v>
      </c>
      <c r="E42" s="116">
        <f>'Financial impact (cash)'!E13*$C42</f>
        <v>0</v>
      </c>
      <c r="F42" s="116">
        <f>'Financial impact (cash)'!F13*$C42</f>
        <v>0</v>
      </c>
      <c r="G42" s="116">
        <f>'Financial impact (cash)'!G13*$C42</f>
        <v>0</v>
      </c>
      <c r="H42" s="116">
        <f>'Financial impact (cash)'!H13*$C42</f>
        <v>0</v>
      </c>
      <c r="I42" s="116">
        <f>'Financial impact (cash)'!I13*$C42</f>
        <v>0</v>
      </c>
      <c r="J42" s="198"/>
      <c r="K42" s="467">
        <f>'Unit costs'!N113</f>
        <v>0</v>
      </c>
      <c r="L42" s="265">
        <f>(D42*$K$42)/1000</f>
        <v>0</v>
      </c>
      <c r="M42" s="265">
        <f>(E42*$K$42)/1000</f>
        <v>0</v>
      </c>
      <c r="N42" s="265">
        <f t="shared" ref="N42:Q42" si="26">(F42*$K$42)/1000</f>
        <v>0</v>
      </c>
      <c r="O42" s="265">
        <f t="shared" si="26"/>
        <v>0</v>
      </c>
      <c r="P42" s="265">
        <f t="shared" si="26"/>
        <v>0</v>
      </c>
      <c r="Q42" s="265">
        <f t="shared" si="26"/>
        <v>0</v>
      </c>
      <c r="R42" s="121"/>
      <c r="S42" s="121"/>
      <c r="T42" s="121"/>
      <c r="U42" s="121"/>
      <c r="V42" s="121"/>
      <c r="W42" s="121"/>
      <c r="X42" s="121"/>
      <c r="Y42" s="121"/>
      <c r="Z42" s="121"/>
      <c r="AJ42" s="260"/>
      <c r="AK42" s="260"/>
      <c r="AL42" s="260"/>
      <c r="AM42" s="260"/>
      <c r="AN42" s="260"/>
    </row>
    <row r="43" spans="1:40" x14ac:dyDescent="0.3">
      <c r="A43" s="262"/>
      <c r="B43" s="312" t="str">
        <f>B34</f>
        <v xml:space="preserve">Atezolizumab with bevacizumab </v>
      </c>
      <c r="C43" s="137">
        <f>'Capacity inputs'!H$15</f>
        <v>0</v>
      </c>
      <c r="D43" s="116">
        <f>'Financial impact (cash)'!D14*$C43</f>
        <v>0</v>
      </c>
      <c r="E43" s="116">
        <f>'Financial impact (cash)'!E14*$C43</f>
        <v>0</v>
      </c>
      <c r="F43" s="116">
        <f>'Financial impact (cash)'!F14*$C43</f>
        <v>0</v>
      </c>
      <c r="G43" s="116">
        <f>'Financial impact (cash)'!G14*$C43</f>
        <v>0</v>
      </c>
      <c r="H43" s="116">
        <f>'Financial impact (cash)'!H14*$C43</f>
        <v>0</v>
      </c>
      <c r="I43" s="116">
        <f>'Financial impact (cash)'!I14*$C43</f>
        <v>0</v>
      </c>
      <c r="J43" s="198"/>
      <c r="K43" s="467">
        <f>K42</f>
        <v>0</v>
      </c>
      <c r="L43" s="265">
        <f>(D43*$K$43)/1000</f>
        <v>0</v>
      </c>
      <c r="M43" s="265">
        <f t="shared" ref="M43:Q43" si="27">(E43*$K$43)/1000</f>
        <v>0</v>
      </c>
      <c r="N43" s="265">
        <f t="shared" si="27"/>
        <v>0</v>
      </c>
      <c r="O43" s="265">
        <f>(G43*$K$43)/1000</f>
        <v>0</v>
      </c>
      <c r="P43" s="265">
        <f t="shared" si="27"/>
        <v>0</v>
      </c>
      <c r="Q43" s="265">
        <f t="shared" si="27"/>
        <v>0</v>
      </c>
      <c r="R43" s="121"/>
      <c r="S43" s="121"/>
      <c r="T43" s="121"/>
      <c r="U43" s="121"/>
      <c r="V43" s="121"/>
      <c r="W43" s="121"/>
      <c r="X43" s="121"/>
      <c r="Y43" s="121"/>
      <c r="Z43" s="121"/>
      <c r="AJ43" s="260"/>
      <c r="AK43" s="260"/>
      <c r="AL43" s="260"/>
      <c r="AM43" s="260"/>
      <c r="AN43" s="260"/>
    </row>
    <row r="44" spans="1:40" x14ac:dyDescent="0.3">
      <c r="A44" s="262"/>
      <c r="B44" s="312" t="str">
        <f>B35</f>
        <v xml:space="preserve">Lenvatinib </v>
      </c>
      <c r="C44" s="137">
        <f>'Capacity inputs'!I$15</f>
        <v>0</v>
      </c>
      <c r="D44" s="116">
        <f>'Financial impact (cash)'!D15*$C44</f>
        <v>0</v>
      </c>
      <c r="E44" s="116">
        <f>'Financial impact (cash)'!E15*$C44</f>
        <v>0</v>
      </c>
      <c r="F44" s="116">
        <f>'Financial impact (cash)'!F15*$C44</f>
        <v>0</v>
      </c>
      <c r="G44" s="116">
        <f>'Financial impact (cash)'!G15*$C44</f>
        <v>0</v>
      </c>
      <c r="H44" s="116">
        <f>'Financial impact (cash)'!H15*$C44</f>
        <v>0</v>
      </c>
      <c r="I44" s="116">
        <f>'Financial impact (cash)'!I15*$C44</f>
        <v>0</v>
      </c>
      <c r="J44" s="198"/>
      <c r="K44" s="467">
        <f>K42</f>
        <v>0</v>
      </c>
      <c r="L44" s="265">
        <f>(D44*$K$44)/1000</f>
        <v>0</v>
      </c>
      <c r="M44" s="265">
        <f t="shared" ref="M44:P44" si="28">(E44*$K$44)/1000</f>
        <v>0</v>
      </c>
      <c r="N44" s="265">
        <f t="shared" si="28"/>
        <v>0</v>
      </c>
      <c r="O44" s="265">
        <f t="shared" si="28"/>
        <v>0</v>
      </c>
      <c r="P44" s="265">
        <f t="shared" si="28"/>
        <v>0</v>
      </c>
      <c r="Q44" s="265">
        <f>(I44*$K$44)/1000</f>
        <v>0</v>
      </c>
      <c r="R44" s="121"/>
      <c r="S44" s="121"/>
      <c r="T44" s="121"/>
      <c r="U44" s="121"/>
      <c r="V44" s="121"/>
      <c r="W44" s="121"/>
      <c r="X44" s="121"/>
      <c r="Y44" s="121"/>
      <c r="Z44" s="121"/>
      <c r="AJ44" s="260"/>
      <c r="AK44" s="260"/>
      <c r="AL44" s="260"/>
      <c r="AM44" s="260"/>
      <c r="AN44" s="260"/>
    </row>
    <row r="45" spans="1:40" x14ac:dyDescent="0.3">
      <c r="A45" s="262"/>
      <c r="B45" s="312" t="str">
        <f>B36</f>
        <v>Sorafenib</v>
      </c>
      <c r="C45" s="137">
        <f>'Capacity inputs'!J$15</f>
        <v>0</v>
      </c>
      <c r="D45" s="116">
        <f>'Financial impact (cash)'!D16*$C45</f>
        <v>0</v>
      </c>
      <c r="E45" s="116">
        <f>'Financial impact (cash)'!E16*$C45</f>
        <v>0</v>
      </c>
      <c r="F45" s="116">
        <f>'Financial impact (cash)'!F16*$C45</f>
        <v>0</v>
      </c>
      <c r="G45" s="116">
        <f>'Financial impact (cash)'!G16*$C45</f>
        <v>0</v>
      </c>
      <c r="H45" s="116">
        <f>'Financial impact (cash)'!H16*$C45</f>
        <v>0</v>
      </c>
      <c r="I45" s="116">
        <f>'Financial impact (cash)'!I16*$C45</f>
        <v>0</v>
      </c>
      <c r="J45" s="198"/>
      <c r="K45" s="467">
        <f>K42</f>
        <v>0</v>
      </c>
      <c r="L45" s="265">
        <f>(D45*$K$45)/1000</f>
        <v>0</v>
      </c>
      <c r="M45" s="265">
        <f t="shared" ref="M45:Q45" si="29">(E45*$K$45)/1000</f>
        <v>0</v>
      </c>
      <c r="N45" s="265">
        <f t="shared" si="29"/>
        <v>0</v>
      </c>
      <c r="O45" s="265">
        <f>(G45*$K$45)/1000</f>
        <v>0</v>
      </c>
      <c r="P45" s="265">
        <f t="shared" si="29"/>
        <v>0</v>
      </c>
      <c r="Q45" s="265">
        <f t="shared" si="29"/>
        <v>0</v>
      </c>
      <c r="R45" s="121"/>
      <c r="S45" s="121"/>
      <c r="T45" s="121"/>
      <c r="U45" s="121"/>
      <c r="V45" s="121"/>
      <c r="W45" s="121"/>
      <c r="X45" s="121"/>
      <c r="Y45" s="121"/>
      <c r="Z45" s="121"/>
      <c r="AJ45" s="260"/>
      <c r="AK45" s="260"/>
      <c r="AL45" s="260"/>
      <c r="AM45" s="260"/>
      <c r="AN45" s="260"/>
    </row>
    <row r="46" spans="1:40" x14ac:dyDescent="0.3">
      <c r="A46" s="262"/>
      <c r="B46" s="254"/>
      <c r="C46" s="291"/>
      <c r="D46" s="168">
        <f t="shared" ref="D46:I46" si="30">SUM(D42:D45)</f>
        <v>0</v>
      </c>
      <c r="E46" s="168">
        <f t="shared" si="30"/>
        <v>0</v>
      </c>
      <c r="F46" s="168">
        <f t="shared" si="30"/>
        <v>0</v>
      </c>
      <c r="G46" s="168">
        <f t="shared" si="30"/>
        <v>0</v>
      </c>
      <c r="H46" s="168">
        <f t="shared" si="30"/>
        <v>0</v>
      </c>
      <c r="I46" s="168">
        <f t="shared" si="30"/>
        <v>0</v>
      </c>
      <c r="J46" s="198"/>
      <c r="K46" s="198"/>
      <c r="L46" s="266">
        <f t="shared" ref="L46:Q46" si="31">SUM(L42:L45)</f>
        <v>0</v>
      </c>
      <c r="M46" s="266">
        <f t="shared" si="31"/>
        <v>0</v>
      </c>
      <c r="N46" s="266">
        <f>SUM(N42:N45)</f>
        <v>0</v>
      </c>
      <c r="O46" s="266">
        <f t="shared" si="31"/>
        <v>0</v>
      </c>
      <c r="P46" s="266">
        <f t="shared" si="31"/>
        <v>0</v>
      </c>
      <c r="Q46" s="266">
        <f t="shared" si="31"/>
        <v>0</v>
      </c>
      <c r="R46" s="121"/>
      <c r="S46" s="121"/>
      <c r="T46" s="121"/>
      <c r="U46" s="121"/>
      <c r="V46" s="121"/>
      <c r="W46" s="121"/>
      <c r="X46" s="121"/>
      <c r="Y46" s="121"/>
      <c r="Z46" s="121"/>
      <c r="AJ46" s="260"/>
      <c r="AK46" s="260"/>
      <c r="AL46" s="260"/>
      <c r="AM46" s="260"/>
      <c r="AN46" s="260"/>
    </row>
    <row r="47" spans="1:40" x14ac:dyDescent="0.3">
      <c r="A47" s="262"/>
      <c r="B47" s="281"/>
      <c r="C47" s="232"/>
      <c r="D47" s="259" t="s">
        <v>2099</v>
      </c>
      <c r="E47" s="168">
        <f>E46-$D$46</f>
        <v>0</v>
      </c>
      <c r="F47" s="168">
        <f t="shared" ref="F47:I47" si="32">F46-$D$46</f>
        <v>0</v>
      </c>
      <c r="G47" s="168">
        <f t="shared" si="32"/>
        <v>0</v>
      </c>
      <c r="H47" s="168">
        <f t="shared" si="32"/>
        <v>0</v>
      </c>
      <c r="I47" s="168">
        <f t="shared" si="32"/>
        <v>0</v>
      </c>
      <c r="J47" s="198"/>
      <c r="K47" s="198"/>
      <c r="L47" s="198"/>
      <c r="M47" s="266">
        <f>M46-$L46</f>
        <v>0</v>
      </c>
      <c r="N47" s="266">
        <f t="shared" ref="N47:Q47" si="33">N46-$L46</f>
        <v>0</v>
      </c>
      <c r="O47" s="266">
        <f t="shared" si="33"/>
        <v>0</v>
      </c>
      <c r="P47" s="266">
        <f t="shared" si="33"/>
        <v>0</v>
      </c>
      <c r="Q47" s="266">
        <f t="shared" si="33"/>
        <v>0</v>
      </c>
      <c r="R47" s="121"/>
      <c r="S47" s="121"/>
      <c r="T47" s="121"/>
      <c r="U47" s="121"/>
      <c r="V47" s="121"/>
      <c r="W47" s="121"/>
      <c r="X47" s="121"/>
      <c r="Y47" s="121"/>
      <c r="Z47" s="121"/>
      <c r="AJ47" s="260"/>
      <c r="AK47" s="260"/>
      <c r="AL47" s="260"/>
      <c r="AM47" s="260"/>
      <c r="AN47" s="260"/>
    </row>
    <row r="48" spans="1:40" x14ac:dyDescent="0.3">
      <c r="A48" s="262"/>
      <c r="B48" s="262"/>
      <c r="C48" s="262"/>
      <c r="D48" s="460"/>
      <c r="E48" s="461"/>
      <c r="F48" s="461"/>
      <c r="G48" s="461"/>
      <c r="H48" s="461"/>
      <c r="I48" s="461"/>
      <c r="J48" s="198"/>
      <c r="K48" s="198"/>
      <c r="L48" s="198"/>
      <c r="M48" s="198"/>
      <c r="N48" s="198"/>
      <c r="O48" s="198"/>
      <c r="P48" s="198"/>
      <c r="Q48" s="198"/>
      <c r="R48" s="121"/>
      <c r="S48" s="121"/>
      <c r="T48" s="121"/>
      <c r="U48" s="121"/>
      <c r="V48" s="121"/>
      <c r="W48" s="121"/>
      <c r="X48" s="121"/>
      <c r="Y48" s="121"/>
      <c r="Z48" s="121"/>
      <c r="AJ48" s="260"/>
      <c r="AK48" s="260"/>
      <c r="AL48" s="260"/>
      <c r="AM48" s="260"/>
      <c r="AN48" s="260"/>
    </row>
    <row r="49" spans="1:40" x14ac:dyDescent="0.3">
      <c r="A49" s="268"/>
      <c r="B49" s="289" t="s">
        <v>2100</v>
      </c>
      <c r="C49" s="269"/>
      <c r="D49" s="269"/>
      <c r="E49" s="270"/>
      <c r="F49" s="271"/>
      <c r="G49" s="272"/>
      <c r="H49" s="272"/>
      <c r="I49" s="376"/>
      <c r="J49" s="377"/>
      <c r="K49" s="268"/>
      <c r="L49" s="268"/>
      <c r="M49" s="268"/>
      <c r="N49" s="268"/>
      <c r="O49" s="268"/>
      <c r="P49" s="268"/>
      <c r="Q49" s="194"/>
      <c r="R49" s="121"/>
      <c r="S49" s="121"/>
      <c r="V49" s="121"/>
    </row>
    <row r="50" spans="1:40" x14ac:dyDescent="0.3">
      <c r="A50" s="268"/>
      <c r="B50" s="711" t="s">
        <v>2101</v>
      </c>
      <c r="C50" s="344"/>
      <c r="D50" s="344"/>
      <c r="E50" s="344"/>
      <c r="F50" s="344"/>
      <c r="G50" s="344"/>
      <c r="H50" s="344"/>
      <c r="I50" s="344"/>
      <c r="J50" s="374"/>
      <c r="K50" s="194"/>
      <c r="L50" s="194"/>
      <c r="M50" s="194"/>
      <c r="N50" s="194"/>
      <c r="O50" s="194"/>
      <c r="P50" s="194"/>
      <c r="Q50" s="194"/>
      <c r="R50" s="121"/>
      <c r="S50" s="121"/>
      <c r="T50" s="121"/>
      <c r="U50" s="121"/>
      <c r="V50" s="121"/>
      <c r="W50" s="121"/>
      <c r="X50" s="121"/>
      <c r="Y50" s="121"/>
      <c r="Z50" s="121"/>
      <c r="AJ50" s="260"/>
      <c r="AK50" s="260"/>
      <c r="AL50" s="260"/>
      <c r="AM50" s="260"/>
      <c r="AN50" s="260"/>
    </row>
    <row r="51" spans="1:40" ht="43.2" x14ac:dyDescent="0.3">
      <c r="A51" s="268"/>
      <c r="B51" s="256" t="s">
        <v>2033</v>
      </c>
      <c r="C51" s="153" t="s">
        <v>2023</v>
      </c>
      <c r="D51" s="212" t="s">
        <v>2082</v>
      </c>
      <c r="E51" s="152" t="s">
        <v>1885</v>
      </c>
      <c r="F51" s="152" t="s">
        <v>1886</v>
      </c>
      <c r="G51" s="152" t="s">
        <v>2054</v>
      </c>
      <c r="H51" s="152" t="s">
        <v>2055</v>
      </c>
      <c r="I51" s="152" t="s">
        <v>2056</v>
      </c>
      <c r="J51" s="374"/>
      <c r="K51" s="194"/>
      <c r="L51" s="194"/>
      <c r="M51" s="194"/>
      <c r="N51" s="194"/>
      <c r="O51" s="194"/>
      <c r="P51" s="194"/>
      <c r="Q51" s="194"/>
      <c r="R51" s="121"/>
      <c r="S51" s="121"/>
      <c r="T51" s="121"/>
      <c r="U51" s="121"/>
      <c r="V51" s="121"/>
      <c r="W51" s="121"/>
      <c r="X51" s="121"/>
      <c r="Y51" s="121"/>
      <c r="Z51" s="121"/>
      <c r="AJ51" s="260"/>
      <c r="AK51" s="260"/>
      <c r="AL51" s="260"/>
      <c r="AM51" s="260"/>
      <c r="AN51" s="260"/>
    </row>
    <row r="52" spans="1:40" x14ac:dyDescent="0.3">
      <c r="A52" s="268"/>
      <c r="B52" s="916" t="s">
        <v>2266</v>
      </c>
      <c r="C52" s="855">
        <f>'Inputs and population'!G45</f>
        <v>0</v>
      </c>
      <c r="D52" s="116">
        <f>'Inputs and population'!K35*$C52</f>
        <v>0</v>
      </c>
      <c r="E52" s="116">
        <f>'Inputs and population'!L35*$C52</f>
        <v>0</v>
      </c>
      <c r="F52" s="116">
        <f>'Inputs and population'!M35*$C52</f>
        <v>0</v>
      </c>
      <c r="G52" s="116">
        <f>'Inputs and population'!N35*$C52</f>
        <v>0</v>
      </c>
      <c r="H52" s="116">
        <f>'Inputs and population'!O35*$C52</f>
        <v>0</v>
      </c>
      <c r="I52" s="116">
        <f>'Inputs and population'!P35*$C52</f>
        <v>0</v>
      </c>
      <c r="J52" s="374"/>
      <c r="K52" s="194"/>
      <c r="L52" s="194"/>
      <c r="M52" s="194"/>
      <c r="N52" s="194"/>
      <c r="O52" s="194"/>
      <c r="P52" s="194"/>
      <c r="Q52" s="194"/>
      <c r="R52" s="121"/>
      <c r="S52" s="121"/>
      <c r="T52" s="121"/>
      <c r="U52" s="121"/>
      <c r="V52" s="121"/>
      <c r="W52" s="121"/>
      <c r="X52" s="121"/>
      <c r="Y52" s="121"/>
      <c r="Z52" s="121"/>
      <c r="AJ52" s="260"/>
      <c r="AK52" s="260"/>
      <c r="AL52" s="260"/>
      <c r="AM52" s="260"/>
      <c r="AN52" s="260"/>
    </row>
    <row r="53" spans="1:40" x14ac:dyDescent="0.3">
      <c r="A53" s="268"/>
      <c r="B53" s="916" t="s">
        <v>2213</v>
      </c>
      <c r="C53" s="855">
        <f>'Inputs and population'!G47</f>
        <v>9.6999999999999993</v>
      </c>
      <c r="D53" s="116">
        <f>'Inputs and population'!K36*$C53</f>
        <v>6625.665378920321</v>
      </c>
      <c r="E53" s="116">
        <f>'Inputs and population'!L36*$C53</f>
        <v>6395.810820666924</v>
      </c>
      <c r="F53" s="116">
        <f>'Inputs and population'!M36*$C53</f>
        <v>6161.4030210293304</v>
      </c>
      <c r="G53" s="116">
        <f>'Inputs and population'!N36*$C53</f>
        <v>6215.566802714131</v>
      </c>
      <c r="H53" s="116">
        <f>'Inputs and population'!O36*$C53</f>
        <v>6270.2067284259329</v>
      </c>
      <c r="I53" s="116">
        <f>'Inputs and population'!P36*$C53</f>
        <v>6325.3269838609203</v>
      </c>
      <c r="J53" s="374"/>
      <c r="K53" s="194"/>
      <c r="L53" s="194"/>
      <c r="M53" s="194"/>
      <c r="N53" s="194"/>
      <c r="O53" s="194"/>
      <c r="P53" s="194"/>
      <c r="Q53" s="194"/>
      <c r="R53" s="121"/>
      <c r="S53" s="121"/>
      <c r="T53" s="121"/>
      <c r="U53" s="121"/>
      <c r="V53" s="121"/>
      <c r="W53" s="121"/>
      <c r="X53" s="121"/>
      <c r="Y53" s="121"/>
      <c r="Z53" s="121"/>
      <c r="AJ53" s="260"/>
      <c r="AK53" s="260"/>
      <c r="AL53" s="260"/>
      <c r="AM53" s="260"/>
      <c r="AN53" s="260"/>
    </row>
    <row r="54" spans="1:40" x14ac:dyDescent="0.3">
      <c r="A54" s="268"/>
      <c r="B54" s="312" t="str">
        <f>'Inputs and population'!C49</f>
        <v>Lenvatinib (oral)</v>
      </c>
      <c r="C54" s="855">
        <f>'Inputs and population'!G49</f>
        <v>8.5</v>
      </c>
      <c r="D54" s="116">
        <f>'Inputs and population'!K37*$C54</f>
        <v>1901.9640218550162</v>
      </c>
      <c r="E54" s="116">
        <f>'Inputs and population'!L37*$C54</f>
        <v>1666.2254436677556</v>
      </c>
      <c r="F54" s="116">
        <f>'Inputs and population'!M37*$C54</f>
        <v>1426.1952139709988</v>
      </c>
      <c r="G54" s="116">
        <f>'Inputs and population'!N37*$C54</f>
        <v>1438.7326386364166</v>
      </c>
      <c r="H54" s="116">
        <f>'Inputs and population'!O37*$C54</f>
        <v>1451.3802775387785</v>
      </c>
      <c r="I54" s="116">
        <f>'Inputs and population'!P37*$C54</f>
        <v>1464.1390995515455</v>
      </c>
      <c r="J54" s="374"/>
      <c r="K54" s="194"/>
      <c r="L54" s="194"/>
      <c r="M54" s="194"/>
      <c r="N54" s="194"/>
      <c r="O54" s="194"/>
      <c r="P54" s="194"/>
      <c r="Q54" s="194"/>
      <c r="R54" s="121"/>
      <c r="S54" s="121"/>
      <c r="T54" s="121"/>
      <c r="U54" s="121"/>
      <c r="V54" s="121"/>
      <c r="W54" s="121"/>
      <c r="X54" s="121"/>
      <c r="Y54" s="121"/>
      <c r="Z54" s="121"/>
      <c r="AJ54" s="260"/>
      <c r="AK54" s="260"/>
      <c r="AL54" s="260"/>
      <c r="AM54" s="260"/>
      <c r="AN54" s="260"/>
    </row>
    <row r="55" spans="1:40" x14ac:dyDescent="0.3">
      <c r="A55" s="268"/>
      <c r="B55" s="312" t="str">
        <f>'Inputs and population'!C50</f>
        <v>Sorafenib (oral)</v>
      </c>
      <c r="C55" s="855">
        <f>'Inputs and population'!G50</f>
        <v>0</v>
      </c>
      <c r="D55" s="116">
        <f>'Inputs and population'!K38*$C55</f>
        <v>0</v>
      </c>
      <c r="E55" s="116">
        <f>'Inputs and population'!L38*$C55</f>
        <v>0</v>
      </c>
      <c r="F55" s="116">
        <f>'Inputs and population'!M38*$C55</f>
        <v>0</v>
      </c>
      <c r="G55" s="116">
        <f>'Inputs and population'!N38*$C55</f>
        <v>0</v>
      </c>
      <c r="H55" s="116">
        <f>'Inputs and population'!O38*$C55</f>
        <v>0</v>
      </c>
      <c r="I55" s="116">
        <f>'Inputs and population'!P38*$C55</f>
        <v>0</v>
      </c>
      <c r="J55" s="374"/>
      <c r="K55" s="194"/>
      <c r="L55" s="194"/>
      <c r="M55" s="194"/>
      <c r="N55" s="194"/>
      <c r="O55" s="194"/>
      <c r="P55" s="194"/>
      <c r="Q55" s="194"/>
      <c r="R55" s="121"/>
      <c r="S55" s="121"/>
      <c r="T55" s="121"/>
      <c r="U55" s="121"/>
      <c r="V55" s="121"/>
      <c r="W55" s="121"/>
      <c r="X55" s="121"/>
      <c r="Y55" s="121"/>
      <c r="Z55" s="121"/>
      <c r="AJ55" s="260"/>
      <c r="AK55" s="260"/>
      <c r="AL55" s="260"/>
      <c r="AM55" s="260"/>
      <c r="AN55" s="260"/>
    </row>
    <row r="56" spans="1:40" x14ac:dyDescent="0.3">
      <c r="A56" s="268"/>
      <c r="B56" s="254"/>
      <c r="C56" s="291"/>
      <c r="D56" s="168">
        <f t="shared" ref="D56:I56" si="34">SUM(D52:D55)</f>
        <v>8527.6294007753368</v>
      </c>
      <c r="E56" s="168">
        <f t="shared" si="34"/>
        <v>8062.0362643346798</v>
      </c>
      <c r="F56" s="168">
        <f t="shared" si="34"/>
        <v>7587.5982350003287</v>
      </c>
      <c r="G56" s="168">
        <f t="shared" si="34"/>
        <v>7654.2994413505476</v>
      </c>
      <c r="H56" s="168">
        <f t="shared" si="34"/>
        <v>7721.5870059647114</v>
      </c>
      <c r="I56" s="168">
        <f t="shared" si="34"/>
        <v>7789.4660834124661</v>
      </c>
      <c r="J56" s="374"/>
      <c r="K56" s="194"/>
      <c r="L56" s="194"/>
      <c r="M56" s="194"/>
      <c r="N56" s="194"/>
      <c r="O56" s="194"/>
      <c r="P56" s="194"/>
      <c r="Q56" s="194"/>
      <c r="R56" s="121"/>
      <c r="S56" s="121"/>
      <c r="T56" s="121"/>
      <c r="U56" s="121"/>
      <c r="V56" s="121"/>
      <c r="W56" s="121"/>
      <c r="X56" s="121"/>
      <c r="Y56" s="121"/>
      <c r="Z56" s="121"/>
      <c r="AJ56" s="260"/>
      <c r="AK56" s="260"/>
      <c r="AL56" s="260"/>
      <c r="AM56" s="260"/>
      <c r="AN56" s="260"/>
    </row>
    <row r="57" spans="1:40" x14ac:dyDescent="0.3">
      <c r="A57" s="268"/>
      <c r="B57" s="188"/>
      <c r="C57" s="188"/>
      <c r="D57" s="710" t="s">
        <v>2102</v>
      </c>
      <c r="E57" s="168">
        <f>E56-$D$56</f>
        <v>-465.59313644065696</v>
      </c>
      <c r="F57" s="168">
        <f>F56-$D$56</f>
        <v>-940.03116577500805</v>
      </c>
      <c r="G57" s="168">
        <f>G56-$D$56</f>
        <v>-873.32995942478919</v>
      </c>
      <c r="H57" s="168">
        <f>H56-$D$56</f>
        <v>-806.04239481062541</v>
      </c>
      <c r="I57" s="168">
        <f>I56-$D$56</f>
        <v>-738.16331736287066</v>
      </c>
      <c r="J57" s="374"/>
      <c r="K57" s="194"/>
      <c r="L57" s="194"/>
      <c r="M57" s="194"/>
      <c r="N57" s="194"/>
      <c r="O57" s="194"/>
      <c r="P57" s="194"/>
      <c r="Q57" s="194"/>
      <c r="R57" s="121"/>
      <c r="S57" s="121"/>
      <c r="T57" s="121"/>
      <c r="U57" s="121"/>
      <c r="V57" s="121"/>
      <c r="W57" s="121"/>
      <c r="X57" s="121"/>
      <c r="Y57" s="121"/>
      <c r="Z57" s="121"/>
      <c r="AJ57" s="260"/>
      <c r="AK57" s="260"/>
      <c r="AL57" s="260"/>
      <c r="AM57" s="260"/>
      <c r="AN57" s="260"/>
    </row>
    <row r="58" spans="1:40" x14ac:dyDescent="0.3">
      <c r="A58" s="268"/>
      <c r="B58" s="843"/>
      <c r="C58" s="844"/>
      <c r="D58" s="844"/>
      <c r="E58" s="844"/>
      <c r="F58" s="844"/>
      <c r="G58" s="844"/>
      <c r="H58" s="844"/>
      <c r="I58" s="844"/>
      <c r="J58" s="194"/>
      <c r="K58" s="194"/>
      <c r="L58" s="194"/>
      <c r="M58" s="194"/>
      <c r="N58" s="194"/>
      <c r="O58" s="194"/>
      <c r="P58" s="194"/>
      <c r="Q58" s="194"/>
      <c r="R58" s="121"/>
      <c r="S58" s="121"/>
      <c r="T58" s="121"/>
      <c r="U58" s="121"/>
      <c r="V58" s="121"/>
      <c r="W58" s="121"/>
      <c r="X58" s="121"/>
      <c r="Y58" s="121"/>
      <c r="Z58" s="121"/>
      <c r="AJ58" s="260"/>
      <c r="AK58" s="260"/>
      <c r="AL58" s="260"/>
      <c r="AM58" s="260"/>
      <c r="AN58" s="260"/>
    </row>
    <row r="59" spans="1:40" x14ac:dyDescent="0.3">
      <c r="A59" s="268"/>
      <c r="B59" s="711" t="s">
        <v>2103</v>
      </c>
      <c r="C59" s="344"/>
      <c r="D59" s="344"/>
      <c r="E59" s="344"/>
      <c r="F59" s="344"/>
      <c r="G59" s="344"/>
      <c r="H59" s="344"/>
      <c r="I59" s="712"/>
      <c r="J59" s="194"/>
      <c r="K59" s="194"/>
      <c r="L59" s="194"/>
      <c r="M59" s="194"/>
      <c r="N59" s="194"/>
      <c r="O59" s="194"/>
      <c r="P59" s="194"/>
      <c r="Q59" s="194"/>
      <c r="R59" s="121"/>
      <c r="S59" s="121"/>
      <c r="T59" s="121"/>
      <c r="U59" s="121"/>
      <c r="V59" s="121"/>
      <c r="W59" s="121"/>
      <c r="X59" s="121"/>
      <c r="Y59" s="121"/>
      <c r="Z59" s="121"/>
      <c r="AJ59" s="260"/>
      <c r="AK59" s="260"/>
      <c r="AL59" s="260"/>
      <c r="AM59" s="260"/>
      <c r="AN59" s="260"/>
    </row>
    <row r="60" spans="1:40" ht="43.2" x14ac:dyDescent="0.3">
      <c r="A60" s="268"/>
      <c r="B60" s="253" t="s">
        <v>2033</v>
      </c>
      <c r="C60" s="548" t="s">
        <v>2037</v>
      </c>
      <c r="D60" s="840" t="s">
        <v>2082</v>
      </c>
      <c r="E60" s="231" t="s">
        <v>1885</v>
      </c>
      <c r="F60" s="231" t="s">
        <v>1886</v>
      </c>
      <c r="G60" s="152" t="s">
        <v>2054</v>
      </c>
      <c r="H60" s="152" t="s">
        <v>2055</v>
      </c>
      <c r="I60" s="231" t="s">
        <v>2056</v>
      </c>
      <c r="J60" s="374"/>
      <c r="K60" s="453" t="s">
        <v>2117</v>
      </c>
      <c r="L60" s="840" t="s">
        <v>2082</v>
      </c>
      <c r="M60" s="842" t="s">
        <v>1885</v>
      </c>
      <c r="N60" s="842" t="s">
        <v>1886</v>
      </c>
      <c r="O60" s="370" t="s">
        <v>2054</v>
      </c>
      <c r="P60" s="370" t="s">
        <v>2055</v>
      </c>
      <c r="Q60" s="842" t="s">
        <v>2056</v>
      </c>
      <c r="R60" s="121"/>
      <c r="S60" s="121"/>
      <c r="T60" s="121"/>
      <c r="U60" s="121"/>
      <c r="V60" s="121"/>
      <c r="W60" s="121"/>
      <c r="X60" s="121"/>
      <c r="Y60" s="121"/>
      <c r="Z60" s="121"/>
      <c r="AJ60" s="260"/>
      <c r="AK60" s="260"/>
      <c r="AL60" s="260"/>
      <c r="AM60" s="260"/>
      <c r="AN60" s="260"/>
    </row>
    <row r="61" spans="1:40" x14ac:dyDescent="0.3">
      <c r="A61" s="268"/>
      <c r="B61" s="311" t="str">
        <f>B52</f>
        <v xml:space="preserve">Durvalumab with tremelimumab </v>
      </c>
      <c r="C61" s="856">
        <f>'Unit costs'!N33</f>
        <v>1</v>
      </c>
      <c r="D61" s="116">
        <f t="shared" ref="D61:I64" si="35">$C61*D52</f>
        <v>0</v>
      </c>
      <c r="E61" s="116">
        <f t="shared" si="35"/>
        <v>0</v>
      </c>
      <c r="F61" s="116">
        <f t="shared" si="35"/>
        <v>0</v>
      </c>
      <c r="G61" s="116">
        <f t="shared" si="35"/>
        <v>0</v>
      </c>
      <c r="H61" s="116">
        <f t="shared" si="35"/>
        <v>0</v>
      </c>
      <c r="I61" s="116">
        <f t="shared" si="35"/>
        <v>0</v>
      </c>
      <c r="J61" s="374"/>
      <c r="K61" s="467">
        <f>'Unit costs'!P33</f>
        <v>182</v>
      </c>
      <c r="L61" s="265">
        <f>D61*$K61/1000</f>
        <v>0</v>
      </c>
      <c r="M61" s="265">
        <f>E61*$K61/1000</f>
        <v>0</v>
      </c>
      <c r="N61" s="265">
        <f t="shared" ref="M61:Q64" si="36">F61*$K61/1000</f>
        <v>0</v>
      </c>
      <c r="O61" s="265">
        <f t="shared" si="36"/>
        <v>0</v>
      </c>
      <c r="P61" s="265">
        <f t="shared" si="36"/>
        <v>0</v>
      </c>
      <c r="Q61" s="265">
        <f t="shared" si="36"/>
        <v>0</v>
      </c>
      <c r="R61" s="121"/>
      <c r="S61" s="121"/>
      <c r="T61" s="121"/>
      <c r="U61" s="121"/>
      <c r="V61" s="121"/>
      <c r="W61" s="121"/>
      <c r="X61" s="121"/>
      <c r="Y61" s="121"/>
      <c r="Z61" s="121"/>
      <c r="AJ61" s="260"/>
      <c r="AK61" s="260"/>
      <c r="AL61" s="260"/>
      <c r="AM61" s="260"/>
      <c r="AN61" s="260"/>
    </row>
    <row r="62" spans="1:40" x14ac:dyDescent="0.3">
      <c r="A62" s="268"/>
      <c r="B62" s="311" t="str">
        <f>B53</f>
        <v xml:space="preserve">Atezolizumab with bevacizumab </v>
      </c>
      <c r="C62" s="856">
        <f>'Unit costs'!N50</f>
        <v>1</v>
      </c>
      <c r="D62" s="116">
        <f t="shared" si="35"/>
        <v>6625.665378920321</v>
      </c>
      <c r="E62" s="116">
        <f t="shared" si="35"/>
        <v>6395.810820666924</v>
      </c>
      <c r="F62" s="116">
        <f t="shared" si="35"/>
        <v>6161.4030210293304</v>
      </c>
      <c r="G62" s="116">
        <f t="shared" si="35"/>
        <v>6215.566802714131</v>
      </c>
      <c r="H62" s="116">
        <f t="shared" si="35"/>
        <v>6270.2067284259329</v>
      </c>
      <c r="I62" s="116">
        <f t="shared" si="35"/>
        <v>6325.3269838609203</v>
      </c>
      <c r="J62" s="374"/>
      <c r="K62" s="467">
        <f>'Unit costs'!P50</f>
        <v>365</v>
      </c>
      <c r="L62" s="265">
        <f>D62*$K62/1000</f>
        <v>2418.3678633059171</v>
      </c>
      <c r="M62" s="265">
        <f t="shared" si="36"/>
        <v>2334.4709495434272</v>
      </c>
      <c r="N62" s="265">
        <f t="shared" si="36"/>
        <v>2248.9121026757057</v>
      </c>
      <c r="O62" s="265">
        <f>G62*$K62/1000</f>
        <v>2268.6818829906579</v>
      </c>
      <c r="P62" s="265">
        <f t="shared" si="36"/>
        <v>2288.6254558754658</v>
      </c>
      <c r="Q62" s="265">
        <f t="shared" si="36"/>
        <v>2308.7443491092363</v>
      </c>
      <c r="R62" s="121"/>
      <c r="S62" s="121"/>
      <c r="T62" s="121"/>
      <c r="U62" s="121"/>
      <c r="V62" s="121"/>
      <c r="W62" s="121"/>
      <c r="X62" s="121"/>
      <c r="Y62" s="121"/>
      <c r="Z62" s="121"/>
      <c r="AJ62" s="260"/>
      <c r="AK62" s="260"/>
      <c r="AL62" s="260"/>
      <c r="AM62" s="260"/>
      <c r="AN62" s="260"/>
    </row>
    <row r="63" spans="1:40" x14ac:dyDescent="0.3">
      <c r="A63" s="268"/>
      <c r="B63" s="311" t="str">
        <f>B54</f>
        <v>Lenvatinib (oral)</v>
      </c>
      <c r="C63" s="856">
        <f>'Unit costs'!N71</f>
        <v>1</v>
      </c>
      <c r="D63" s="116">
        <f t="shared" si="35"/>
        <v>1901.9640218550162</v>
      </c>
      <c r="E63" s="116">
        <f t="shared" si="35"/>
        <v>1666.2254436677556</v>
      </c>
      <c r="F63" s="116">
        <f t="shared" si="35"/>
        <v>1426.1952139709988</v>
      </c>
      <c r="G63" s="116">
        <f t="shared" si="35"/>
        <v>1438.7326386364166</v>
      </c>
      <c r="H63" s="116">
        <f t="shared" si="35"/>
        <v>1451.3802775387785</v>
      </c>
      <c r="I63" s="116">
        <f t="shared" si="35"/>
        <v>1464.1390995515455</v>
      </c>
      <c r="J63" s="374"/>
      <c r="K63" s="467">
        <f>'Unit costs'!P71</f>
        <v>146</v>
      </c>
      <c r="L63" s="265">
        <f>D63*$K63/1000</f>
        <v>277.68674719083242</v>
      </c>
      <c r="M63" s="265">
        <f t="shared" si="36"/>
        <v>243.26891477549231</v>
      </c>
      <c r="N63" s="265">
        <f t="shared" si="36"/>
        <v>208.2245012397658</v>
      </c>
      <c r="O63" s="265">
        <f t="shared" si="36"/>
        <v>210.05496524091683</v>
      </c>
      <c r="P63" s="265">
        <f t="shared" si="36"/>
        <v>211.90152052066168</v>
      </c>
      <c r="Q63" s="265">
        <f t="shared" si="36"/>
        <v>213.76430853452567</v>
      </c>
      <c r="R63" s="121"/>
      <c r="S63" s="121"/>
      <c r="T63" s="121"/>
      <c r="U63" s="121"/>
      <c r="V63" s="121"/>
      <c r="W63" s="121"/>
      <c r="X63" s="121"/>
      <c r="Y63" s="121"/>
      <c r="Z63" s="121"/>
      <c r="AJ63" s="260"/>
      <c r="AK63" s="260"/>
      <c r="AL63" s="260"/>
      <c r="AM63" s="260"/>
      <c r="AN63" s="260"/>
    </row>
    <row r="64" spans="1:40" x14ac:dyDescent="0.3">
      <c r="A64" s="268"/>
      <c r="B64" s="311" t="str">
        <f>B55</f>
        <v>Sorafenib (oral)</v>
      </c>
      <c r="C64" s="856">
        <f>'Unit costs'!N86</f>
        <v>1</v>
      </c>
      <c r="D64" s="116">
        <f t="shared" si="35"/>
        <v>0</v>
      </c>
      <c r="E64" s="116">
        <f t="shared" si="35"/>
        <v>0</v>
      </c>
      <c r="F64" s="116">
        <f t="shared" si="35"/>
        <v>0</v>
      </c>
      <c r="G64" s="116">
        <f t="shared" si="35"/>
        <v>0</v>
      </c>
      <c r="H64" s="116">
        <f t="shared" si="35"/>
        <v>0</v>
      </c>
      <c r="I64" s="116">
        <f t="shared" si="35"/>
        <v>0</v>
      </c>
      <c r="J64" s="374"/>
      <c r="K64" s="467">
        <f>'Unit costs'!P86</f>
        <v>146</v>
      </c>
      <c r="L64" s="265">
        <f t="shared" ref="L64" si="37">D64*$K64/1000</f>
        <v>0</v>
      </c>
      <c r="M64" s="265">
        <f t="shared" si="36"/>
        <v>0</v>
      </c>
      <c r="N64" s="265">
        <f t="shared" si="36"/>
        <v>0</v>
      </c>
      <c r="O64" s="265">
        <f t="shared" si="36"/>
        <v>0</v>
      </c>
      <c r="P64" s="265">
        <f t="shared" si="36"/>
        <v>0</v>
      </c>
      <c r="Q64" s="265">
        <f t="shared" si="36"/>
        <v>0</v>
      </c>
      <c r="R64" s="121"/>
      <c r="S64" s="121"/>
      <c r="T64" s="121"/>
      <c r="U64" s="121"/>
      <c r="V64" s="121"/>
      <c r="W64" s="121"/>
      <c r="X64" s="121"/>
      <c r="Y64" s="121"/>
      <c r="Z64" s="121"/>
      <c r="AJ64" s="260"/>
      <c r="AK64" s="260"/>
      <c r="AL64" s="260"/>
      <c r="AM64" s="260"/>
      <c r="AN64" s="260"/>
    </row>
    <row r="65" spans="1:40" x14ac:dyDescent="0.3">
      <c r="A65" s="268"/>
      <c r="B65" s="254"/>
      <c r="C65" s="291"/>
      <c r="D65" s="168">
        <f>SUM(D61:D62)</f>
        <v>6625.665378920321</v>
      </c>
      <c r="E65" s="168">
        <f t="shared" ref="E65:I65" si="38">SUM(E61:E62)</f>
        <v>6395.810820666924</v>
      </c>
      <c r="F65" s="168">
        <f t="shared" si="38"/>
        <v>6161.4030210293304</v>
      </c>
      <c r="G65" s="168">
        <f t="shared" si="38"/>
        <v>6215.566802714131</v>
      </c>
      <c r="H65" s="168">
        <f t="shared" si="38"/>
        <v>6270.2067284259329</v>
      </c>
      <c r="I65" s="168">
        <f t="shared" si="38"/>
        <v>6325.3269838609203</v>
      </c>
      <c r="J65" s="374"/>
      <c r="K65" s="194"/>
      <c r="L65" s="266">
        <f t="shared" ref="L65:Q65" si="39">SUM(L61:L64)</f>
        <v>2696.0546104967498</v>
      </c>
      <c r="M65" s="266">
        <f t="shared" si="39"/>
        <v>2577.7398643189194</v>
      </c>
      <c r="N65" s="266">
        <f>SUM(N61:N64)</f>
        <v>2457.1366039154714</v>
      </c>
      <c r="O65" s="266">
        <f t="shared" si="39"/>
        <v>2478.7368482315746</v>
      </c>
      <c r="P65" s="266">
        <f t="shared" si="39"/>
        <v>2500.5269763961273</v>
      </c>
      <c r="Q65" s="266">
        <f t="shared" si="39"/>
        <v>2522.508657643762</v>
      </c>
      <c r="R65" s="121"/>
      <c r="S65" s="121"/>
      <c r="T65" s="121"/>
      <c r="U65" s="121"/>
      <c r="V65" s="121"/>
      <c r="W65" s="121"/>
      <c r="X65" s="121"/>
      <c r="Y65" s="121"/>
      <c r="Z65" s="121"/>
      <c r="AJ65" s="260"/>
      <c r="AK65" s="260"/>
      <c r="AL65" s="260"/>
      <c r="AM65" s="260"/>
      <c r="AN65" s="260"/>
    </row>
    <row r="66" spans="1:40" x14ac:dyDescent="0.3">
      <c r="A66" s="268"/>
      <c r="B66" s="281"/>
      <c r="C66" s="232"/>
      <c r="D66" s="259" t="s">
        <v>2104</v>
      </c>
      <c r="E66" s="168">
        <f>E65-D65</f>
        <v>-229.85455825339704</v>
      </c>
      <c r="F66" s="168">
        <f>F65-$D$65</f>
        <v>-464.26235789099064</v>
      </c>
      <c r="G66" s="168">
        <f t="shared" ref="G66:I66" si="40">G65-$D$65</f>
        <v>-410.09857620619005</v>
      </c>
      <c r="H66" s="168">
        <f t="shared" si="40"/>
        <v>-355.45865049438817</v>
      </c>
      <c r="I66" s="168">
        <f t="shared" si="40"/>
        <v>-300.33839505940068</v>
      </c>
      <c r="J66" s="374"/>
      <c r="K66" s="194"/>
      <c r="L66" s="845"/>
      <c r="M66" s="266">
        <f>M65-$L65</f>
        <v>-118.31474617783033</v>
      </c>
      <c r="N66" s="266">
        <f t="shared" ref="N66:Q66" si="41">N65-$L65</f>
        <v>-238.91800658127841</v>
      </c>
      <c r="O66" s="266">
        <f t="shared" si="41"/>
        <v>-217.31776226517513</v>
      </c>
      <c r="P66" s="266">
        <f t="shared" si="41"/>
        <v>-195.52763410062244</v>
      </c>
      <c r="Q66" s="266">
        <f t="shared" si="41"/>
        <v>-173.54595285298774</v>
      </c>
      <c r="R66" s="121"/>
      <c r="S66" s="121"/>
      <c r="T66" s="121"/>
      <c r="U66" s="121"/>
      <c r="V66" s="121"/>
      <c r="W66" s="121"/>
      <c r="X66" s="121"/>
      <c r="Y66" s="121"/>
      <c r="Z66" s="121"/>
      <c r="AJ66" s="260"/>
      <c r="AK66" s="260"/>
      <c r="AL66" s="260"/>
      <c r="AM66" s="260"/>
      <c r="AN66" s="260"/>
    </row>
    <row r="67" spans="1:40" x14ac:dyDescent="0.3">
      <c r="A67" s="268"/>
      <c r="B67" s="290"/>
      <c r="C67" s="274"/>
      <c r="D67" s="273"/>
      <c r="E67" s="274"/>
      <c r="F67" s="275"/>
      <c r="G67" s="268"/>
      <c r="H67" s="268"/>
      <c r="I67" s="272"/>
      <c r="J67" s="194"/>
      <c r="K67" s="194"/>
      <c r="L67" s="194"/>
      <c r="M67" s="194"/>
      <c r="N67" s="194"/>
      <c r="O67" s="194"/>
      <c r="P67" s="194"/>
      <c r="Q67" s="194"/>
      <c r="R67" s="121"/>
      <c r="S67" s="121"/>
      <c r="T67" s="121"/>
      <c r="U67" s="121"/>
      <c r="V67" s="121"/>
      <c r="W67" s="121"/>
      <c r="X67" s="121"/>
      <c r="Y67" s="121"/>
      <c r="Z67" s="121"/>
      <c r="AJ67" s="260"/>
      <c r="AK67" s="260"/>
      <c r="AL67" s="260"/>
      <c r="AM67" s="260"/>
      <c r="AN67" s="260"/>
    </row>
    <row r="68" spans="1:40" x14ac:dyDescent="0.3">
      <c r="A68" s="261"/>
      <c r="B68" s="292" t="s">
        <v>2105</v>
      </c>
      <c r="C68" s="277"/>
      <c r="D68" s="277"/>
      <c r="E68" s="278"/>
      <c r="F68" s="279"/>
      <c r="G68" s="280"/>
      <c r="H68" s="280"/>
      <c r="I68" s="280"/>
      <c r="J68" s="378"/>
      <c r="K68" s="261"/>
      <c r="L68" s="261"/>
      <c r="M68" s="261"/>
      <c r="N68" s="261"/>
      <c r="O68" s="261"/>
      <c r="P68" s="261"/>
      <c r="Q68" s="196"/>
      <c r="R68" s="121"/>
      <c r="V68" s="121"/>
    </row>
    <row r="69" spans="1:40" x14ac:dyDescent="0.3">
      <c r="A69" s="261"/>
      <c r="B69" s="345" t="s">
        <v>2254</v>
      </c>
      <c r="C69" s="346"/>
      <c r="D69" s="346"/>
      <c r="E69" s="346"/>
      <c r="F69" s="346"/>
      <c r="G69" s="346"/>
      <c r="H69" s="346"/>
      <c r="I69" s="195"/>
      <c r="J69" s="375"/>
      <c r="K69" s="196"/>
      <c r="L69" s="261"/>
      <c r="M69" s="261"/>
      <c r="N69" s="261"/>
      <c r="O69" s="261"/>
      <c r="P69" s="261"/>
      <c r="Q69" s="196"/>
      <c r="R69" s="121"/>
      <c r="V69" s="121"/>
    </row>
    <row r="70" spans="1:40" ht="43.2" x14ac:dyDescent="0.3">
      <c r="A70" s="261"/>
      <c r="B70" s="256" t="s">
        <v>2033</v>
      </c>
      <c r="C70" s="363" t="s">
        <v>2091</v>
      </c>
      <c r="D70" s="840" t="s">
        <v>2082</v>
      </c>
      <c r="E70" s="231" t="s">
        <v>1885</v>
      </c>
      <c r="F70" s="231" t="s">
        <v>1886</v>
      </c>
      <c r="G70" s="152" t="s">
        <v>2054</v>
      </c>
      <c r="H70" s="152" t="s">
        <v>2055</v>
      </c>
      <c r="I70" s="231" t="s">
        <v>2056</v>
      </c>
      <c r="J70" s="261"/>
      <c r="K70" s="261"/>
      <c r="L70" s="261"/>
      <c r="M70" s="261"/>
      <c r="N70" s="261"/>
      <c r="O70" s="261"/>
      <c r="P70" s="261"/>
      <c r="Q70" s="196"/>
      <c r="R70" s="121"/>
      <c r="V70" s="121"/>
    </row>
    <row r="71" spans="1:40" x14ac:dyDescent="0.3">
      <c r="A71" s="261"/>
      <c r="B71" s="313" t="s">
        <v>2273</v>
      </c>
      <c r="C71" s="914">
        <f>'Capacity inputs'!F16*'Capacity inputs'!G16</f>
        <v>60</v>
      </c>
      <c r="D71" s="915">
        <f>IF(D52=0,0,(D52/$C52*$C61)*$C71/60)</f>
        <v>0</v>
      </c>
      <c r="E71" s="915">
        <f t="shared" ref="E71:I71" si="42">IF(E52=0,0,(E52/$C52*$C61)*$C71/60)</f>
        <v>0</v>
      </c>
      <c r="F71" s="915">
        <f t="shared" si="42"/>
        <v>0</v>
      </c>
      <c r="G71" s="915">
        <f t="shared" si="42"/>
        <v>0</v>
      </c>
      <c r="H71" s="915">
        <f t="shared" si="42"/>
        <v>0</v>
      </c>
      <c r="I71" s="915">
        <f t="shared" si="42"/>
        <v>0</v>
      </c>
      <c r="J71" s="261"/>
      <c r="K71" s="261"/>
      <c r="L71" s="261"/>
      <c r="M71" s="261"/>
      <c r="N71" s="261"/>
      <c r="O71" s="261"/>
      <c r="P71" s="261"/>
      <c r="Q71" s="196"/>
      <c r="R71" s="121"/>
      <c r="S71" s="121"/>
      <c r="T71" s="121"/>
      <c r="U71" s="121"/>
      <c r="V71" s="121"/>
      <c r="W71" s="121"/>
      <c r="X71" s="121"/>
      <c r="Y71" s="121"/>
      <c r="Z71" s="121"/>
      <c r="AJ71" s="260"/>
      <c r="AK71" s="260"/>
      <c r="AL71" s="260"/>
      <c r="AM71" s="260"/>
      <c r="AN71" s="260"/>
    </row>
    <row r="72" spans="1:40" x14ac:dyDescent="0.3">
      <c r="A72" s="261"/>
      <c r="B72" s="313" t="s">
        <v>2274</v>
      </c>
      <c r="C72" s="914">
        <f>'Capacity inputs'!F17*'Capacity inputs'!G17</f>
        <v>60</v>
      </c>
      <c r="D72" s="915">
        <f>IF(D52=0,0,(D52-(D52/$C52*$C61))*$C72/60)</f>
        <v>0</v>
      </c>
      <c r="E72" s="915">
        <f t="shared" ref="E72:I72" si="43">IF(E52=0,0,(E52-(E52/$C52*$C61))*$C72/60)</f>
        <v>0</v>
      </c>
      <c r="F72" s="915">
        <f t="shared" si="43"/>
        <v>0</v>
      </c>
      <c r="G72" s="915">
        <f t="shared" si="43"/>
        <v>0</v>
      </c>
      <c r="H72" s="915">
        <f t="shared" si="43"/>
        <v>0</v>
      </c>
      <c r="I72" s="915">
        <f t="shared" si="43"/>
        <v>0</v>
      </c>
      <c r="J72" s="261"/>
      <c r="K72" s="261"/>
      <c r="L72" s="261"/>
      <c r="M72" s="261"/>
      <c r="N72" s="261"/>
      <c r="O72" s="261"/>
      <c r="P72" s="261"/>
      <c r="Q72" s="196"/>
      <c r="R72" s="121"/>
      <c r="S72" s="121"/>
      <c r="T72" s="121"/>
      <c r="U72" s="121"/>
      <c r="V72" s="121"/>
      <c r="W72" s="121"/>
      <c r="X72" s="121"/>
      <c r="Y72" s="121"/>
      <c r="Z72" s="121"/>
      <c r="AJ72" s="260"/>
      <c r="AK72" s="260"/>
      <c r="AL72" s="260"/>
      <c r="AM72" s="260"/>
      <c r="AN72" s="260"/>
    </row>
    <row r="73" spans="1:40" x14ac:dyDescent="0.3">
      <c r="A73" s="261"/>
      <c r="B73" s="313" t="s">
        <v>2275</v>
      </c>
      <c r="C73" s="137">
        <f>'Capacity inputs'!F16*'Capacity inputs'!H16</f>
        <v>90</v>
      </c>
      <c r="D73" s="915">
        <f>IF(D53=0,0,(D53/$C53*$C62)*$C73/60)</f>
        <v>1024.5874297299467</v>
      </c>
      <c r="E73" s="915">
        <f t="shared" ref="E73:I73" si="44">IF(E53=0,0,(E53/$C53*$C62)*$C73/60)</f>
        <v>989.04291041241106</v>
      </c>
      <c r="F73" s="915">
        <f t="shared" si="44"/>
        <v>952.7942816024738</v>
      </c>
      <c r="G73" s="915">
        <f t="shared" si="44"/>
        <v>961.17012413105124</v>
      </c>
      <c r="H73" s="915">
        <f t="shared" si="44"/>
        <v>969.619597179268</v>
      </c>
      <c r="I73" s="915">
        <f t="shared" si="44"/>
        <v>978.14334801972996</v>
      </c>
      <c r="J73" s="261"/>
      <c r="K73" s="261"/>
      <c r="L73" s="261"/>
      <c r="M73" s="261"/>
      <c r="N73" s="261"/>
      <c r="O73" s="261"/>
      <c r="P73" s="261"/>
      <c r="Q73" s="196"/>
      <c r="R73" s="121"/>
      <c r="S73" s="121"/>
      <c r="T73" s="121"/>
      <c r="U73" s="121"/>
      <c r="V73" s="121"/>
      <c r="W73" s="121"/>
      <c r="X73" s="121"/>
      <c r="Y73" s="121"/>
      <c r="Z73" s="121"/>
      <c r="AJ73" s="260"/>
      <c r="AK73" s="260"/>
      <c r="AL73" s="260"/>
      <c r="AM73" s="260"/>
      <c r="AN73" s="260"/>
    </row>
    <row r="74" spans="1:40" x14ac:dyDescent="0.3">
      <c r="A74" s="261"/>
      <c r="B74" s="313" t="s">
        <v>2276</v>
      </c>
      <c r="C74" s="137">
        <f>'Capacity inputs'!F17*'Capacity inputs'!H17</f>
        <v>30</v>
      </c>
      <c r="D74" s="915">
        <f>IF(D53=0,0,(D53-(D53/$C53*$C62))*$C74/60)</f>
        <v>2971.303546216845</v>
      </c>
      <c r="E74" s="915">
        <f t="shared" ref="E74:I74" si="45">IF(E53=0,0,(E53-(E53/$C53*$C62))*$C74/60)</f>
        <v>2868.2244401959915</v>
      </c>
      <c r="F74" s="915">
        <f t="shared" si="45"/>
        <v>2763.1034166471741</v>
      </c>
      <c r="G74" s="915">
        <f t="shared" si="45"/>
        <v>2787.3933599800484</v>
      </c>
      <c r="H74" s="915">
        <f t="shared" si="45"/>
        <v>2811.8968318198772</v>
      </c>
      <c r="I74" s="915">
        <f t="shared" si="45"/>
        <v>2836.6157092572166</v>
      </c>
      <c r="J74" s="261"/>
      <c r="K74" s="261"/>
      <c r="L74" s="261"/>
      <c r="M74" s="261"/>
      <c r="N74" s="261"/>
      <c r="O74" s="261"/>
      <c r="P74" s="261"/>
      <c r="Q74" s="196"/>
      <c r="R74" s="121"/>
      <c r="S74" s="121"/>
      <c r="T74" s="121"/>
      <c r="U74" s="121"/>
      <c r="V74" s="121"/>
      <c r="W74" s="121"/>
      <c r="X74" s="121"/>
      <c r="Y74" s="121"/>
      <c r="Z74" s="121"/>
      <c r="AJ74" s="260"/>
      <c r="AK74" s="260"/>
      <c r="AL74" s="260"/>
      <c r="AM74" s="260"/>
      <c r="AN74" s="260"/>
    </row>
    <row r="75" spans="1:40" hidden="1" x14ac:dyDescent="0.3">
      <c r="A75" s="261"/>
      <c r="B75" s="313" t="str">
        <f>'Inputs and population'!C37</f>
        <v xml:space="preserve">Lenvatinib </v>
      </c>
      <c r="C75" s="137">
        <f>'Capacity inputs'!F16*'Capacity inputs'!I16</f>
        <v>0</v>
      </c>
      <c r="D75" s="915">
        <f t="shared" ref="D75:I76" si="46">D63*$C75/60</f>
        <v>0</v>
      </c>
      <c r="E75" s="915">
        <f t="shared" si="46"/>
        <v>0</v>
      </c>
      <c r="F75" s="915">
        <f t="shared" si="46"/>
        <v>0</v>
      </c>
      <c r="G75" s="915">
        <f t="shared" si="46"/>
        <v>0</v>
      </c>
      <c r="H75" s="915">
        <f t="shared" si="46"/>
        <v>0</v>
      </c>
      <c r="I75" s="915">
        <f t="shared" si="46"/>
        <v>0</v>
      </c>
      <c r="J75" s="261"/>
      <c r="K75" s="261"/>
      <c r="L75" s="261"/>
      <c r="M75" s="261"/>
      <c r="N75" s="261"/>
      <c r="O75" s="261"/>
      <c r="P75" s="261"/>
      <c r="Q75" s="196"/>
      <c r="R75" s="121"/>
      <c r="S75" s="121"/>
      <c r="T75" s="121"/>
      <c r="U75" s="121"/>
      <c r="V75" s="121"/>
      <c r="W75" s="121"/>
      <c r="X75" s="121"/>
      <c r="Y75" s="121"/>
      <c r="Z75" s="121"/>
      <c r="AJ75" s="260"/>
      <c r="AK75" s="260"/>
      <c r="AL75" s="260"/>
      <c r="AM75" s="260"/>
      <c r="AN75" s="260"/>
    </row>
    <row r="76" spans="1:40" hidden="1" x14ac:dyDescent="0.3">
      <c r="A76" s="261"/>
      <c r="B76" s="313" t="str">
        <f>'Inputs and population'!C38</f>
        <v>Sorafenib</v>
      </c>
      <c r="C76" s="137">
        <f>'Capacity inputs'!F16*'Capacity inputs'!J16</f>
        <v>0</v>
      </c>
      <c r="D76" s="915">
        <f t="shared" si="46"/>
        <v>0</v>
      </c>
      <c r="E76" s="915">
        <f t="shared" si="46"/>
        <v>0</v>
      </c>
      <c r="F76" s="915">
        <f t="shared" si="46"/>
        <v>0</v>
      </c>
      <c r="G76" s="915">
        <f t="shared" si="46"/>
        <v>0</v>
      </c>
      <c r="H76" s="915">
        <f t="shared" si="46"/>
        <v>0</v>
      </c>
      <c r="I76" s="915">
        <f t="shared" si="46"/>
        <v>0</v>
      </c>
      <c r="J76" s="261"/>
      <c r="K76" s="261"/>
      <c r="L76" s="261"/>
      <c r="M76" s="261"/>
      <c r="N76" s="261"/>
      <c r="O76" s="261"/>
      <c r="P76" s="261"/>
      <c r="Q76" s="196"/>
      <c r="R76" s="121"/>
      <c r="S76" s="121"/>
      <c r="T76" s="121"/>
      <c r="U76" s="121"/>
      <c r="V76" s="121"/>
      <c r="W76" s="121"/>
      <c r="X76" s="121"/>
      <c r="Y76" s="121"/>
      <c r="Z76" s="121"/>
      <c r="AJ76" s="260"/>
      <c r="AK76" s="260"/>
      <c r="AL76" s="260"/>
      <c r="AM76" s="260"/>
      <c r="AN76" s="260"/>
    </row>
    <row r="77" spans="1:40" x14ac:dyDescent="0.3">
      <c r="A77" s="261"/>
      <c r="B77" s="254" t="s">
        <v>2118</v>
      </c>
      <c r="C77" s="291"/>
      <c r="D77" s="168">
        <f>SUM(D71:D76)</f>
        <v>3995.8909759467915</v>
      </c>
      <c r="E77" s="168">
        <f t="shared" ref="E77:I77" si="47">SUM(E71:E76)</f>
        <v>3857.2673506084025</v>
      </c>
      <c r="F77" s="168">
        <f t="shared" si="47"/>
        <v>3715.8976982496479</v>
      </c>
      <c r="G77" s="168">
        <f t="shared" si="47"/>
        <v>3748.5634841110996</v>
      </c>
      <c r="H77" s="168">
        <f t="shared" si="47"/>
        <v>3781.5164289991453</v>
      </c>
      <c r="I77" s="168">
        <f t="shared" si="47"/>
        <v>3814.7590572769468</v>
      </c>
      <c r="J77" s="261"/>
      <c r="K77" s="261"/>
      <c r="L77" s="261"/>
      <c r="M77" s="261"/>
      <c r="N77" s="261"/>
      <c r="O77" s="261"/>
      <c r="P77" s="261"/>
      <c r="Q77" s="196"/>
      <c r="R77" s="121"/>
      <c r="S77" s="121"/>
      <c r="T77" s="121"/>
      <c r="U77" s="121"/>
      <c r="V77" s="121"/>
      <c r="W77" s="121"/>
      <c r="X77" s="121"/>
      <c r="Y77" s="121"/>
      <c r="Z77" s="121"/>
      <c r="AJ77" s="260"/>
      <c r="AK77" s="260"/>
      <c r="AL77" s="260"/>
      <c r="AM77" s="260"/>
      <c r="AN77" s="260"/>
    </row>
    <row r="78" spans="1:40" x14ac:dyDescent="0.3">
      <c r="A78" s="261"/>
      <c r="B78" s="281"/>
      <c r="C78" s="232"/>
      <c r="D78" s="259" t="s">
        <v>2257</v>
      </c>
      <c r="E78" s="168">
        <f>E77-$D$77</f>
        <v>-138.62362533838905</v>
      </c>
      <c r="F78" s="168">
        <f>F77-$D$77</f>
        <v>-279.99327769714364</v>
      </c>
      <c r="G78" s="168">
        <f>G77-$D$77</f>
        <v>-247.32749183569194</v>
      </c>
      <c r="H78" s="168">
        <f>H77-$D$77</f>
        <v>-214.37454694764619</v>
      </c>
      <c r="I78" s="168">
        <f>I77-$D$77</f>
        <v>-181.13191866984471</v>
      </c>
      <c r="J78" s="261"/>
      <c r="K78" s="261"/>
      <c r="L78" s="261"/>
      <c r="M78" s="261"/>
      <c r="N78" s="261"/>
      <c r="O78" s="261"/>
      <c r="P78" s="261"/>
      <c r="Q78" s="196"/>
      <c r="R78" s="121"/>
      <c r="S78" s="121"/>
      <c r="T78" s="121"/>
      <c r="U78" s="121"/>
      <c r="V78" s="121"/>
      <c r="W78" s="121"/>
      <c r="X78" s="121"/>
      <c r="Y78" s="121"/>
      <c r="Z78" s="121"/>
      <c r="AJ78" s="260"/>
      <c r="AK78" s="260"/>
      <c r="AL78" s="260"/>
      <c r="AM78" s="260"/>
      <c r="AN78" s="260"/>
    </row>
    <row r="79" spans="1:40" x14ac:dyDescent="0.3">
      <c r="A79" s="261"/>
      <c r="B79" s="293"/>
      <c r="C79" s="196"/>
      <c r="D79" s="196"/>
      <c r="E79" s="196"/>
      <c r="F79" s="196"/>
      <c r="G79" s="196"/>
      <c r="H79" s="196"/>
      <c r="I79" s="196"/>
      <c r="J79" s="196"/>
      <c r="K79" s="196"/>
      <c r="L79" s="261"/>
      <c r="M79" s="261"/>
      <c r="N79" s="261"/>
      <c r="O79" s="261"/>
      <c r="P79" s="261"/>
      <c r="Q79" s="196"/>
      <c r="R79" s="121"/>
      <c r="S79" s="121"/>
      <c r="T79" s="121"/>
      <c r="U79" s="121"/>
      <c r="V79" s="121"/>
      <c r="W79" s="121"/>
      <c r="X79" s="121"/>
      <c r="Y79" s="121"/>
      <c r="Z79" s="121"/>
      <c r="AJ79" s="260"/>
      <c r="AK79" s="260"/>
      <c r="AL79" s="260"/>
      <c r="AM79" s="260"/>
      <c r="AN79" s="260"/>
    </row>
    <row r="80" spans="1:40" x14ac:dyDescent="0.3">
      <c r="A80" s="261"/>
      <c r="B80" s="347" t="s">
        <v>2255</v>
      </c>
      <c r="C80" s="346"/>
      <c r="D80" s="346"/>
      <c r="E80" s="346"/>
      <c r="F80" s="346"/>
      <c r="G80" s="346"/>
      <c r="H80" s="346"/>
      <c r="I80" s="195"/>
      <c r="J80" s="375"/>
      <c r="K80" s="196"/>
      <c r="L80" s="261"/>
      <c r="M80" s="261"/>
      <c r="N80" s="261"/>
      <c r="O80" s="261"/>
      <c r="P80" s="261"/>
      <c r="Q80" s="196"/>
      <c r="R80" s="121"/>
      <c r="S80" s="121"/>
      <c r="T80" s="121"/>
      <c r="U80" s="121"/>
      <c r="V80" s="121"/>
      <c r="W80" s="121"/>
      <c r="X80" s="121"/>
      <c r="Y80" s="121"/>
      <c r="Z80" s="121"/>
      <c r="AJ80" s="260"/>
      <c r="AK80" s="260"/>
      <c r="AL80" s="260"/>
      <c r="AM80" s="260"/>
      <c r="AN80" s="260"/>
    </row>
    <row r="81" spans="1:40" ht="43.2" x14ac:dyDescent="0.3">
      <c r="A81" s="261"/>
      <c r="B81" s="256" t="s">
        <v>2033</v>
      </c>
      <c r="C81" s="363" t="s">
        <v>2091</v>
      </c>
      <c r="D81" s="840" t="s">
        <v>2082</v>
      </c>
      <c r="E81" s="231" t="s">
        <v>1885</v>
      </c>
      <c r="F81" s="231" t="s">
        <v>1886</v>
      </c>
      <c r="G81" s="152" t="s">
        <v>2252</v>
      </c>
      <c r="H81" s="152" t="s">
        <v>2055</v>
      </c>
      <c r="I81" s="231" t="s">
        <v>2056</v>
      </c>
      <c r="J81" s="261"/>
      <c r="K81" s="261"/>
      <c r="L81" s="261"/>
      <c r="M81" s="261"/>
      <c r="N81" s="261"/>
      <c r="O81" s="261"/>
      <c r="P81" s="261"/>
      <c r="Q81" s="196"/>
      <c r="R81" s="121"/>
      <c r="S81" s="121"/>
      <c r="T81" s="121"/>
      <c r="U81" s="121"/>
      <c r="V81" s="121"/>
      <c r="W81" s="121"/>
      <c r="X81" s="121"/>
      <c r="Y81" s="121"/>
      <c r="Z81" s="121"/>
      <c r="AJ81" s="260"/>
      <c r="AK81" s="260"/>
      <c r="AL81" s="260"/>
      <c r="AM81" s="260"/>
      <c r="AN81" s="260"/>
    </row>
    <row r="82" spans="1:40" x14ac:dyDescent="0.3">
      <c r="A82" s="261"/>
      <c r="B82" s="313" t="str">
        <f>B71</f>
        <v>Durvalumab with tremelimumab - 1st infusion</v>
      </c>
      <c r="C82" s="914">
        <f>'Capacity inputs'!F18*'Capacity inputs'!G18</f>
        <v>30</v>
      </c>
      <c r="D82" s="116">
        <f t="shared" ref="D82:I83" si="48">D61*$C82/60</f>
        <v>0</v>
      </c>
      <c r="E82" s="116">
        <f t="shared" si="48"/>
        <v>0</v>
      </c>
      <c r="F82" s="116">
        <f t="shared" si="48"/>
        <v>0</v>
      </c>
      <c r="G82" s="116">
        <f t="shared" si="48"/>
        <v>0</v>
      </c>
      <c r="H82" s="116">
        <f t="shared" si="48"/>
        <v>0</v>
      </c>
      <c r="I82" s="116">
        <f t="shared" si="48"/>
        <v>0</v>
      </c>
      <c r="J82" s="261"/>
      <c r="K82" s="261"/>
      <c r="L82" s="261"/>
      <c r="M82" s="261"/>
      <c r="N82" s="261"/>
      <c r="O82" s="261"/>
      <c r="P82" s="261"/>
      <c r="Q82" s="196"/>
      <c r="R82" s="121"/>
      <c r="S82" s="121"/>
      <c r="T82" s="121"/>
      <c r="U82" s="121"/>
      <c r="V82" s="121"/>
      <c r="W82" s="121"/>
      <c r="X82" s="121"/>
      <c r="Y82" s="121"/>
      <c r="Z82" s="121"/>
      <c r="AJ82" s="260"/>
      <c r="AK82" s="260"/>
      <c r="AL82" s="260"/>
      <c r="AM82" s="260"/>
      <c r="AN82" s="260"/>
    </row>
    <row r="83" spans="1:40" x14ac:dyDescent="0.3">
      <c r="A83" s="261"/>
      <c r="B83" s="313" t="str">
        <f>B73</f>
        <v>Atezolizumab with bevacizumab - 1st infusion</v>
      </c>
      <c r="C83" s="914">
        <f>'Capacity inputs'!F18*'Capacity inputs'!H18</f>
        <v>30</v>
      </c>
      <c r="D83" s="116">
        <f t="shared" si="48"/>
        <v>3312.8326894601605</v>
      </c>
      <c r="E83" s="116">
        <f t="shared" si="48"/>
        <v>3197.905410333462</v>
      </c>
      <c r="F83" s="116">
        <f t="shared" si="48"/>
        <v>3080.7015105146652</v>
      </c>
      <c r="G83" s="116">
        <f t="shared" si="48"/>
        <v>3107.7834013570655</v>
      </c>
      <c r="H83" s="116">
        <f t="shared" si="48"/>
        <v>3135.1033642129664</v>
      </c>
      <c r="I83" s="116">
        <f t="shared" si="48"/>
        <v>3162.6634919304602</v>
      </c>
      <c r="J83" s="261"/>
      <c r="K83" s="261"/>
      <c r="L83" s="261"/>
      <c r="M83" s="261"/>
      <c r="N83" s="261"/>
      <c r="O83" s="261"/>
      <c r="P83" s="261"/>
      <c r="Q83" s="196"/>
      <c r="R83" s="121"/>
      <c r="S83" s="121"/>
      <c r="T83" s="121"/>
      <c r="U83" s="121"/>
      <c r="V83" s="121"/>
      <c r="W83" s="121"/>
      <c r="X83" s="121"/>
      <c r="Y83" s="121"/>
      <c r="Z83" s="121"/>
      <c r="AJ83" s="260"/>
      <c r="AK83" s="260"/>
      <c r="AL83" s="260"/>
      <c r="AM83" s="260"/>
      <c r="AN83" s="260"/>
    </row>
    <row r="84" spans="1:40" hidden="1" x14ac:dyDescent="0.3">
      <c r="A84" s="261"/>
      <c r="B84" s="313" t="str">
        <f>B75</f>
        <v xml:space="preserve">Lenvatinib </v>
      </c>
      <c r="C84" s="137">
        <f>'Capacity inputs'!F18*'Capacity inputs'!I18</f>
        <v>0</v>
      </c>
      <c r="D84" s="116">
        <f>D63*C84/60</f>
        <v>0</v>
      </c>
      <c r="E84" s="116">
        <f t="shared" ref="E84:I84" si="49">E63*D84/60</f>
        <v>0</v>
      </c>
      <c r="F84" s="116">
        <f t="shared" si="49"/>
        <v>0</v>
      </c>
      <c r="G84" s="116">
        <f t="shared" si="49"/>
        <v>0</v>
      </c>
      <c r="H84" s="116">
        <f t="shared" si="49"/>
        <v>0</v>
      </c>
      <c r="I84" s="116">
        <f t="shared" si="49"/>
        <v>0</v>
      </c>
      <c r="J84" s="261"/>
      <c r="K84" s="261"/>
      <c r="L84" s="261"/>
      <c r="M84" s="261"/>
      <c r="N84" s="261"/>
      <c r="O84" s="261"/>
      <c r="P84" s="261"/>
      <c r="Q84" s="196"/>
      <c r="R84" s="121"/>
      <c r="S84" s="121"/>
      <c r="T84" s="121"/>
      <c r="U84" s="121"/>
      <c r="V84" s="121"/>
      <c r="W84" s="121"/>
      <c r="X84" s="121"/>
      <c r="Y84" s="121"/>
      <c r="Z84" s="121"/>
      <c r="AJ84" s="260"/>
      <c r="AK84" s="260"/>
      <c r="AL84" s="260"/>
      <c r="AM84" s="260"/>
      <c r="AN84" s="260"/>
    </row>
    <row r="85" spans="1:40" hidden="1" x14ac:dyDescent="0.3">
      <c r="A85" s="261"/>
      <c r="B85" s="313" t="str">
        <f>B76</f>
        <v>Sorafenib</v>
      </c>
      <c r="C85" s="137">
        <f>'Capacity inputs'!F18*'Capacity inputs'!J18</f>
        <v>0</v>
      </c>
      <c r="D85" s="116">
        <f>D64*C85/60</f>
        <v>0</v>
      </c>
      <c r="E85" s="116">
        <f t="shared" ref="E85:I85" si="50">E64*D85/60</f>
        <v>0</v>
      </c>
      <c r="F85" s="116">
        <f t="shared" si="50"/>
        <v>0</v>
      </c>
      <c r="G85" s="116">
        <f t="shared" si="50"/>
        <v>0</v>
      </c>
      <c r="H85" s="116">
        <f t="shared" si="50"/>
        <v>0</v>
      </c>
      <c r="I85" s="116">
        <f t="shared" si="50"/>
        <v>0</v>
      </c>
      <c r="J85" s="261"/>
      <c r="K85" s="261"/>
      <c r="L85" s="261"/>
      <c r="M85" s="261"/>
      <c r="N85" s="261"/>
      <c r="O85" s="261"/>
      <c r="P85" s="261"/>
      <c r="Q85" s="196"/>
      <c r="R85" s="121"/>
      <c r="S85" s="121"/>
      <c r="T85" s="121"/>
      <c r="U85" s="121"/>
      <c r="V85" s="121"/>
      <c r="W85" s="121"/>
      <c r="X85" s="121"/>
      <c r="Y85" s="121"/>
      <c r="Z85" s="121"/>
      <c r="AJ85" s="260"/>
      <c r="AK85" s="260"/>
      <c r="AL85" s="260"/>
      <c r="AM85" s="260"/>
      <c r="AN85" s="260"/>
    </row>
    <row r="86" spans="1:40" x14ac:dyDescent="0.3">
      <c r="A86" s="261"/>
      <c r="B86" s="254"/>
      <c r="C86" s="291"/>
      <c r="D86" s="168">
        <f>SUM(D82:D83)</f>
        <v>3312.8326894601605</v>
      </c>
      <c r="E86" s="168">
        <f t="shared" ref="E86:I86" si="51">SUM(E82:E83)</f>
        <v>3197.905410333462</v>
      </c>
      <c r="F86" s="168">
        <f t="shared" si="51"/>
        <v>3080.7015105146652</v>
      </c>
      <c r="G86" s="168">
        <f t="shared" si="51"/>
        <v>3107.7834013570655</v>
      </c>
      <c r="H86" s="168">
        <f t="shared" si="51"/>
        <v>3135.1033642129664</v>
      </c>
      <c r="I86" s="168">
        <f t="shared" si="51"/>
        <v>3162.6634919304602</v>
      </c>
      <c r="J86" s="261"/>
      <c r="K86" s="261"/>
      <c r="L86" s="261"/>
      <c r="M86" s="261"/>
      <c r="N86" s="261"/>
      <c r="O86" s="261"/>
      <c r="P86" s="261"/>
      <c r="Q86" s="196"/>
      <c r="R86" s="121"/>
      <c r="S86" s="121"/>
      <c r="T86" s="121"/>
      <c r="U86" s="121"/>
      <c r="V86" s="121"/>
      <c r="W86" s="121"/>
      <c r="X86" s="121"/>
      <c r="Y86" s="121"/>
      <c r="Z86" s="121"/>
      <c r="AJ86" s="260"/>
      <c r="AK86" s="260"/>
      <c r="AL86" s="260"/>
      <c r="AM86" s="260"/>
      <c r="AN86" s="260"/>
    </row>
    <row r="87" spans="1:40" x14ac:dyDescent="0.3">
      <c r="A87" s="261"/>
      <c r="B87" s="257"/>
      <c r="C87" s="257"/>
      <c r="D87" s="259" t="s">
        <v>2258</v>
      </c>
      <c r="E87" s="168">
        <f>E86-$D$86</f>
        <v>-114.92727912669852</v>
      </c>
      <c r="F87" s="168">
        <f>F86-$D$86</f>
        <v>-232.13117894549532</v>
      </c>
      <c r="G87" s="168">
        <f>G86-$D$86</f>
        <v>-205.04928810309502</v>
      </c>
      <c r="H87" s="168">
        <f>H86-$D$86</f>
        <v>-177.72932524719408</v>
      </c>
      <c r="I87" s="168">
        <f>I86-$D$86</f>
        <v>-150.16919752970034</v>
      </c>
      <c r="J87" s="261"/>
      <c r="K87" s="261"/>
      <c r="L87" s="261"/>
      <c r="M87" s="261"/>
      <c r="N87" s="261"/>
      <c r="O87" s="261"/>
      <c r="P87" s="261"/>
      <c r="Q87" s="196"/>
      <c r="R87" s="121"/>
      <c r="S87" s="121"/>
      <c r="T87" s="121"/>
      <c r="U87" s="121"/>
      <c r="V87" s="121"/>
      <c r="W87" s="121"/>
      <c r="X87" s="121"/>
      <c r="Y87" s="121"/>
      <c r="Z87" s="121"/>
      <c r="AJ87" s="260"/>
      <c r="AK87" s="260"/>
      <c r="AL87" s="260"/>
      <c r="AM87" s="260"/>
      <c r="AN87" s="260"/>
    </row>
    <row r="88" spans="1:40" x14ac:dyDescent="0.3">
      <c r="A88" s="261"/>
      <c r="B88" s="293"/>
      <c r="C88" s="196"/>
      <c r="D88" s="196"/>
      <c r="E88" s="196"/>
      <c r="F88" s="196"/>
      <c r="G88" s="196"/>
      <c r="H88" s="196"/>
      <c r="I88" s="196"/>
      <c r="J88" s="196"/>
      <c r="K88" s="196"/>
      <c r="L88" s="261"/>
      <c r="M88" s="261"/>
      <c r="N88" s="261"/>
      <c r="O88" s="261"/>
      <c r="P88" s="261"/>
      <c r="Q88" s="196"/>
      <c r="R88" s="121"/>
      <c r="S88" s="121"/>
      <c r="T88" s="121"/>
      <c r="U88" s="121"/>
      <c r="V88" s="121"/>
      <c r="W88" s="121"/>
      <c r="X88" s="121"/>
      <c r="Y88" s="121"/>
      <c r="Z88" s="121"/>
      <c r="AJ88" s="260"/>
      <c r="AK88" s="260"/>
      <c r="AL88" s="260"/>
      <c r="AM88" s="260"/>
      <c r="AN88" s="260"/>
    </row>
    <row r="89" spans="1:40" x14ac:dyDescent="0.3">
      <c r="A89" s="261"/>
      <c r="B89" s="347" t="s">
        <v>2256</v>
      </c>
      <c r="C89" s="346"/>
      <c r="D89" s="346"/>
      <c r="E89" s="346"/>
      <c r="F89" s="346"/>
      <c r="G89" s="346"/>
      <c r="H89" s="346"/>
      <c r="I89" s="195"/>
      <c r="J89" s="375"/>
      <c r="K89" s="196"/>
      <c r="L89" s="261"/>
      <c r="M89" s="261"/>
      <c r="N89" s="261"/>
      <c r="O89" s="261"/>
      <c r="P89" s="261"/>
      <c r="Q89" s="196"/>
      <c r="R89" s="121"/>
      <c r="V89" s="121"/>
      <c r="AJ89" s="260"/>
      <c r="AK89" s="260"/>
      <c r="AL89" s="260"/>
      <c r="AM89" s="260"/>
      <c r="AN89" s="260"/>
    </row>
    <row r="90" spans="1:40" ht="43.2" x14ac:dyDescent="0.3">
      <c r="A90" s="261"/>
      <c r="B90" s="256" t="s">
        <v>2033</v>
      </c>
      <c r="C90" s="363" t="s">
        <v>2091</v>
      </c>
      <c r="D90" s="840" t="s">
        <v>2082</v>
      </c>
      <c r="E90" s="231" t="s">
        <v>1885</v>
      </c>
      <c r="F90" s="231" t="s">
        <v>1886</v>
      </c>
      <c r="G90" s="152" t="s">
        <v>2054</v>
      </c>
      <c r="H90" s="152" t="s">
        <v>2055</v>
      </c>
      <c r="I90" s="231" t="s">
        <v>2056</v>
      </c>
      <c r="J90" s="261"/>
      <c r="K90" s="261"/>
      <c r="L90" s="261"/>
      <c r="M90" s="261"/>
      <c r="N90" s="261"/>
      <c r="O90" s="261"/>
      <c r="P90" s="261"/>
      <c r="Q90" s="196"/>
      <c r="R90" s="121"/>
      <c r="V90" s="121"/>
      <c r="AJ90" s="260"/>
      <c r="AK90" s="260"/>
      <c r="AL90" s="260"/>
      <c r="AM90" s="260"/>
      <c r="AN90" s="260"/>
    </row>
    <row r="91" spans="1:40" x14ac:dyDescent="0.3">
      <c r="A91" s="261"/>
      <c r="B91" s="313" t="str">
        <f>B71</f>
        <v>Durvalumab with tremelimumab - 1st infusion</v>
      </c>
      <c r="C91" s="914">
        <f>'Capacity inputs'!F19*'Capacity inputs'!G19</f>
        <v>15</v>
      </c>
      <c r="D91" s="116">
        <f t="shared" ref="D91:I91" si="52">D61*$C91/60</f>
        <v>0</v>
      </c>
      <c r="E91" s="116">
        <f t="shared" si="52"/>
        <v>0</v>
      </c>
      <c r="F91" s="116">
        <f t="shared" si="52"/>
        <v>0</v>
      </c>
      <c r="G91" s="116">
        <f t="shared" si="52"/>
        <v>0</v>
      </c>
      <c r="H91" s="116">
        <f t="shared" si="52"/>
        <v>0</v>
      </c>
      <c r="I91" s="116">
        <f t="shared" si="52"/>
        <v>0</v>
      </c>
      <c r="J91" s="261"/>
      <c r="K91" s="261"/>
      <c r="L91" s="261"/>
      <c r="M91" s="261"/>
      <c r="N91" s="261"/>
      <c r="O91" s="261"/>
      <c r="P91" s="261"/>
      <c r="Q91" s="196"/>
      <c r="R91" s="121"/>
      <c r="V91" s="121"/>
      <c r="AJ91" s="260"/>
      <c r="AK91" s="260"/>
      <c r="AL91" s="260"/>
      <c r="AM91" s="260"/>
      <c r="AN91" s="260"/>
    </row>
    <row r="92" spans="1:40" x14ac:dyDescent="0.3">
      <c r="A92" s="261"/>
      <c r="B92" s="313" t="str">
        <f>B73</f>
        <v>Atezolizumab with bevacizumab - 1st infusion</v>
      </c>
      <c r="C92" s="914">
        <f>'Capacity inputs'!F19*'Capacity inputs'!H19</f>
        <v>15</v>
      </c>
      <c r="D92" s="116">
        <f>D62*$C92/60</f>
        <v>1656.4163447300803</v>
      </c>
      <c r="E92" s="116">
        <f t="shared" ref="E92:I92" si="53">E62*$C92/60</f>
        <v>1598.952705166731</v>
      </c>
      <c r="F92" s="116">
        <f t="shared" si="53"/>
        <v>1540.3507552573326</v>
      </c>
      <c r="G92" s="116">
        <f t="shared" si="53"/>
        <v>1553.8917006785327</v>
      </c>
      <c r="H92" s="116">
        <f t="shared" si="53"/>
        <v>1567.5516821064832</v>
      </c>
      <c r="I92" s="116">
        <f t="shared" si="53"/>
        <v>1581.3317459652301</v>
      </c>
      <c r="J92" s="261"/>
      <c r="K92" s="261"/>
      <c r="L92" s="261"/>
      <c r="M92" s="261"/>
      <c r="N92" s="261"/>
      <c r="O92" s="261"/>
      <c r="P92" s="261"/>
      <c r="Q92" s="196"/>
      <c r="R92" s="121"/>
      <c r="V92" s="121"/>
      <c r="AJ92" s="260"/>
      <c r="AK92" s="260"/>
      <c r="AL92" s="260"/>
      <c r="AM92" s="260"/>
      <c r="AN92" s="260"/>
    </row>
    <row r="93" spans="1:40" hidden="1" x14ac:dyDescent="0.3">
      <c r="A93" s="261"/>
      <c r="B93" s="313" t="str">
        <f>B75</f>
        <v xml:space="preserve">Lenvatinib </v>
      </c>
      <c r="C93" s="137">
        <f>'Capacity inputs'!F19*'Capacity inputs'!I19</f>
        <v>0</v>
      </c>
      <c r="D93" s="116">
        <f>D63*$C93/60</f>
        <v>0</v>
      </c>
      <c r="E93" s="116">
        <f t="shared" ref="E93:I93" si="54">E63*$C93/60</f>
        <v>0</v>
      </c>
      <c r="F93" s="116">
        <f t="shared" si="54"/>
        <v>0</v>
      </c>
      <c r="G93" s="116">
        <f t="shared" si="54"/>
        <v>0</v>
      </c>
      <c r="H93" s="116">
        <f t="shared" si="54"/>
        <v>0</v>
      </c>
      <c r="I93" s="116">
        <f t="shared" si="54"/>
        <v>0</v>
      </c>
      <c r="J93" s="261"/>
      <c r="K93" s="261"/>
      <c r="L93" s="261"/>
      <c r="M93" s="261"/>
      <c r="N93" s="261"/>
      <c r="O93" s="261"/>
      <c r="P93" s="261"/>
      <c r="Q93" s="196"/>
      <c r="R93" s="121"/>
      <c r="V93" s="121"/>
      <c r="AJ93" s="260"/>
      <c r="AK93" s="260"/>
      <c r="AL93" s="260"/>
      <c r="AM93" s="260"/>
      <c r="AN93" s="260"/>
    </row>
    <row r="94" spans="1:40" hidden="1" x14ac:dyDescent="0.3">
      <c r="A94" s="261"/>
      <c r="B94" s="313" t="str">
        <f>B76</f>
        <v>Sorafenib</v>
      </c>
      <c r="C94" s="137">
        <f>'Capacity inputs'!F19*'Capacity inputs'!J19</f>
        <v>0</v>
      </c>
      <c r="D94" s="116">
        <f>D64*$C94/60</f>
        <v>0</v>
      </c>
      <c r="E94" s="116">
        <f t="shared" ref="E94:I94" si="55">E64*$C94/60</f>
        <v>0</v>
      </c>
      <c r="F94" s="116">
        <f t="shared" si="55"/>
        <v>0</v>
      </c>
      <c r="G94" s="116">
        <f t="shared" si="55"/>
        <v>0</v>
      </c>
      <c r="H94" s="116">
        <f t="shared" si="55"/>
        <v>0</v>
      </c>
      <c r="I94" s="116">
        <f t="shared" si="55"/>
        <v>0</v>
      </c>
      <c r="J94" s="261"/>
      <c r="K94" s="261"/>
      <c r="L94" s="261"/>
      <c r="M94" s="261"/>
      <c r="N94" s="261"/>
      <c r="O94" s="261"/>
      <c r="P94" s="261"/>
      <c r="Q94" s="196"/>
      <c r="R94" s="121"/>
      <c r="V94" s="121"/>
      <c r="AJ94" s="260"/>
      <c r="AK94" s="260"/>
      <c r="AL94" s="260"/>
      <c r="AM94" s="260"/>
      <c r="AN94" s="260"/>
    </row>
    <row r="95" spans="1:40" x14ac:dyDescent="0.3">
      <c r="A95" s="261"/>
      <c r="B95" s="254"/>
      <c r="C95" s="291"/>
      <c r="D95" s="168">
        <f>SUM(D91:D92)</f>
        <v>1656.4163447300803</v>
      </c>
      <c r="E95" s="168">
        <f t="shared" ref="E95:I95" si="56">SUM(E91:E92)</f>
        <v>1598.952705166731</v>
      </c>
      <c r="F95" s="168">
        <f t="shared" si="56"/>
        <v>1540.3507552573326</v>
      </c>
      <c r="G95" s="168">
        <f t="shared" si="56"/>
        <v>1553.8917006785327</v>
      </c>
      <c r="H95" s="168">
        <f t="shared" si="56"/>
        <v>1567.5516821064832</v>
      </c>
      <c r="I95" s="168">
        <f t="shared" si="56"/>
        <v>1581.3317459652301</v>
      </c>
      <c r="J95" s="261"/>
      <c r="K95" s="261"/>
      <c r="L95" s="261"/>
      <c r="M95" s="261"/>
      <c r="N95" s="261"/>
      <c r="O95" s="261"/>
      <c r="P95" s="261"/>
      <c r="Q95" s="196"/>
      <c r="R95" s="121"/>
      <c r="S95" s="121"/>
      <c r="T95" s="121"/>
      <c r="U95" s="121"/>
      <c r="V95" s="121"/>
      <c r="W95" s="121"/>
      <c r="X95" s="121"/>
      <c r="Y95" s="121"/>
      <c r="Z95" s="121"/>
      <c r="AJ95" s="260"/>
      <c r="AK95" s="260"/>
      <c r="AL95" s="260"/>
      <c r="AM95" s="260"/>
      <c r="AN95" s="260"/>
    </row>
    <row r="96" spans="1:40" x14ac:dyDescent="0.3">
      <c r="A96" s="261"/>
      <c r="B96" s="281"/>
      <c r="C96" s="257"/>
      <c r="D96" s="259" t="s">
        <v>2259</v>
      </c>
      <c r="E96" s="168">
        <f>E95-$D$95</f>
        <v>-57.463639563349261</v>
      </c>
      <c r="F96" s="168">
        <f>F95-$D$95</f>
        <v>-116.06558947274766</v>
      </c>
      <c r="G96" s="168">
        <f>G95-$D$95</f>
        <v>-102.52464405154751</v>
      </c>
      <c r="H96" s="168">
        <f>H95-$D$95</f>
        <v>-88.864662623597042</v>
      </c>
      <c r="I96" s="168">
        <f>I95-$D$95</f>
        <v>-75.08459876485017</v>
      </c>
      <c r="J96" s="261"/>
      <c r="K96" s="261"/>
      <c r="L96" s="261"/>
      <c r="M96" s="261"/>
      <c r="N96" s="261"/>
      <c r="O96" s="261"/>
      <c r="P96" s="261"/>
      <c r="Q96" s="196"/>
      <c r="R96" s="121"/>
      <c r="S96" s="121"/>
      <c r="T96" s="121"/>
      <c r="U96" s="121"/>
      <c r="V96" s="121"/>
      <c r="W96" s="121"/>
      <c r="X96" s="121"/>
      <c r="Y96" s="121"/>
      <c r="Z96" s="121"/>
      <c r="AJ96" s="260"/>
      <c r="AK96" s="260"/>
      <c r="AL96" s="260"/>
      <c r="AM96" s="260"/>
      <c r="AN96" s="260"/>
    </row>
    <row r="97" spans="1:40" x14ac:dyDescent="0.3">
      <c r="A97" s="261"/>
      <c r="B97" s="293"/>
      <c r="C97" s="196"/>
      <c r="D97" s="196"/>
      <c r="E97" s="196"/>
      <c r="F97" s="196"/>
      <c r="G97" s="196"/>
      <c r="H97" s="196"/>
      <c r="I97" s="196"/>
      <c r="J97" s="261"/>
      <c r="K97" s="261"/>
      <c r="L97" s="261"/>
      <c r="M97" s="261"/>
      <c r="N97" s="261"/>
      <c r="O97" s="261"/>
      <c r="P97" s="261"/>
      <c r="Q97" s="196"/>
      <c r="R97" s="121"/>
      <c r="S97" s="121"/>
      <c r="T97" s="121"/>
      <c r="U97" s="121"/>
      <c r="V97" s="121"/>
      <c r="W97" s="121"/>
      <c r="X97" s="121"/>
      <c r="Y97" s="121"/>
      <c r="Z97" s="121"/>
      <c r="AJ97" s="260"/>
      <c r="AK97" s="260"/>
      <c r="AL97" s="260"/>
      <c r="AM97" s="260"/>
      <c r="AN97" s="260"/>
    </row>
    <row r="98" spans="1:40" x14ac:dyDescent="0.3">
      <c r="A98" s="567"/>
      <c r="B98" s="573" t="s">
        <v>2106</v>
      </c>
      <c r="C98" s="568"/>
      <c r="D98" s="569"/>
      <c r="E98" s="568"/>
      <c r="F98" s="570"/>
      <c r="G98" s="571"/>
      <c r="H98" s="571"/>
      <c r="I98" s="572"/>
      <c r="J98" s="567"/>
      <c r="K98" s="567"/>
      <c r="L98" s="567"/>
      <c r="M98" s="567"/>
      <c r="N98" s="567"/>
      <c r="O98" s="567"/>
      <c r="P98" s="263"/>
      <c r="Q98" s="263"/>
      <c r="R98" s="121"/>
      <c r="S98" s="121"/>
      <c r="T98" s="121"/>
      <c r="U98" s="121"/>
      <c r="V98" s="121"/>
      <c r="W98" s="121"/>
      <c r="X98" s="121"/>
      <c r="Y98" s="121"/>
      <c r="Z98" s="121"/>
      <c r="AJ98" s="260"/>
      <c r="AK98" s="260"/>
      <c r="AL98" s="260"/>
      <c r="AM98" s="260"/>
      <c r="AN98" s="260"/>
    </row>
    <row r="99" spans="1:40" x14ac:dyDescent="0.3">
      <c r="A99" s="263"/>
      <c r="B99" s="348" t="s">
        <v>2107</v>
      </c>
      <c r="C99" s="349"/>
      <c r="D99" s="349"/>
      <c r="E99" s="349"/>
      <c r="F99" s="349"/>
      <c r="G99" s="349"/>
      <c r="H99" s="349"/>
      <c r="I99" s="199"/>
      <c r="J99" s="263"/>
      <c r="K99" s="263"/>
      <c r="L99" s="200"/>
      <c r="M99" s="200"/>
      <c r="N99" s="263"/>
      <c r="O99" s="200"/>
      <c r="P99" s="200"/>
      <c r="Q99" s="200"/>
      <c r="R99" s="121"/>
      <c r="V99" s="121"/>
    </row>
    <row r="100" spans="1:40" ht="43.2" x14ac:dyDescent="0.3">
      <c r="A100" s="263"/>
      <c r="B100" s="253" t="s">
        <v>2033</v>
      </c>
      <c r="C100" s="363" t="s">
        <v>2091</v>
      </c>
      <c r="D100" s="840" t="s">
        <v>2082</v>
      </c>
      <c r="E100" s="231" t="s">
        <v>1885</v>
      </c>
      <c r="F100" s="231" t="s">
        <v>1886</v>
      </c>
      <c r="G100" s="152" t="s">
        <v>2054</v>
      </c>
      <c r="H100" s="152" t="s">
        <v>2055</v>
      </c>
      <c r="I100" s="231" t="s">
        <v>2056</v>
      </c>
      <c r="J100" s="263"/>
      <c r="K100" s="263"/>
      <c r="L100" s="200"/>
      <c r="M100" s="200"/>
      <c r="N100" s="263"/>
      <c r="O100" s="200"/>
      <c r="P100" s="200"/>
      <c r="Q100" s="200"/>
      <c r="R100" s="121"/>
      <c r="V100" s="121"/>
    </row>
    <row r="101" spans="1:40" x14ac:dyDescent="0.3">
      <c r="A101" s="263"/>
      <c r="B101" s="313" t="str">
        <f>'Capacity inputs'!G13</f>
        <v xml:space="preserve">Durvalumab with tremelimumab </v>
      </c>
      <c r="C101" s="914">
        <f>'Capacity inputs'!F20*'Capacity inputs'!G20</f>
        <v>0</v>
      </c>
      <c r="D101" s="915">
        <f t="shared" ref="D101:I102" si="57">D61*$C101</f>
        <v>0</v>
      </c>
      <c r="E101" s="915">
        <f t="shared" si="57"/>
        <v>0</v>
      </c>
      <c r="F101" s="915">
        <f t="shared" si="57"/>
        <v>0</v>
      </c>
      <c r="G101" s="915">
        <f t="shared" si="57"/>
        <v>0</v>
      </c>
      <c r="H101" s="915">
        <f t="shared" si="57"/>
        <v>0</v>
      </c>
      <c r="I101" s="915">
        <f t="shared" si="57"/>
        <v>0</v>
      </c>
      <c r="J101" s="263"/>
      <c r="K101" s="263"/>
      <c r="L101" s="200"/>
      <c r="M101" s="200"/>
      <c r="N101" s="263"/>
      <c r="O101" s="200"/>
      <c r="P101" s="200"/>
      <c r="Q101" s="200"/>
      <c r="R101" s="121"/>
      <c r="V101" s="121"/>
    </row>
    <row r="102" spans="1:40" x14ac:dyDescent="0.3">
      <c r="A102" s="263"/>
      <c r="B102" s="313" t="str">
        <f>'Capacity inputs'!H13</f>
        <v xml:space="preserve">Atezolizumab with bevacizumab </v>
      </c>
      <c r="C102" s="914">
        <f>'Capacity inputs'!F20*'Capacity inputs'!H20</f>
        <v>0</v>
      </c>
      <c r="D102" s="915">
        <f t="shared" si="57"/>
        <v>0</v>
      </c>
      <c r="E102" s="915">
        <f t="shared" si="57"/>
        <v>0</v>
      </c>
      <c r="F102" s="915">
        <f t="shared" si="57"/>
        <v>0</v>
      </c>
      <c r="G102" s="915">
        <f t="shared" si="57"/>
        <v>0</v>
      </c>
      <c r="H102" s="915">
        <f t="shared" si="57"/>
        <v>0</v>
      </c>
      <c r="I102" s="915">
        <f t="shared" si="57"/>
        <v>0</v>
      </c>
      <c r="J102" s="263"/>
      <c r="K102" s="263"/>
      <c r="L102" s="200"/>
      <c r="M102" s="200"/>
      <c r="N102" s="263"/>
      <c r="O102" s="200"/>
      <c r="P102" s="200"/>
      <c r="Q102" s="200"/>
      <c r="R102" s="121"/>
      <c r="V102" s="121"/>
    </row>
    <row r="103" spans="1:40" x14ac:dyDescent="0.3">
      <c r="A103" s="263"/>
      <c r="B103" s="313" t="str">
        <f>'Capacity inputs'!I13</f>
        <v xml:space="preserve">Lenvatinib </v>
      </c>
      <c r="C103" s="914">
        <f>'Capacity inputs'!F20*'Capacity inputs'!I20</f>
        <v>0</v>
      </c>
      <c r="D103" s="915">
        <f>'Financial impact (cash)'!D15*$C103</f>
        <v>0</v>
      </c>
      <c r="E103" s="915">
        <f>'Financial impact (cash)'!E15*$C103</f>
        <v>0</v>
      </c>
      <c r="F103" s="915">
        <f>'Financial impact (cash)'!F15*$C103</f>
        <v>0</v>
      </c>
      <c r="G103" s="915">
        <f>'Financial impact (cash)'!G15*$C103</f>
        <v>0</v>
      </c>
      <c r="H103" s="915">
        <f>'Financial impact (cash)'!H15*$C103</f>
        <v>0</v>
      </c>
      <c r="I103" s="915">
        <f>'Financial impact (cash)'!I15*$C103</f>
        <v>0</v>
      </c>
      <c r="J103" s="263"/>
      <c r="K103" s="263"/>
      <c r="L103" s="200"/>
      <c r="M103" s="200"/>
      <c r="N103" s="263"/>
      <c r="O103" s="200"/>
      <c r="P103" s="200"/>
      <c r="Q103" s="200"/>
      <c r="R103" s="121"/>
      <c r="V103" s="121"/>
    </row>
    <row r="104" spans="1:40" x14ac:dyDescent="0.3">
      <c r="A104" s="263"/>
      <c r="B104" s="313" t="str">
        <f>'Capacity inputs'!J13</f>
        <v>Sorafenib</v>
      </c>
      <c r="C104" s="914">
        <f>'Capacity inputs'!F20*'Capacity inputs'!J20</f>
        <v>0</v>
      </c>
      <c r="D104" s="915">
        <f>'Financial impact (cash)'!D16*$C104</f>
        <v>0</v>
      </c>
      <c r="E104" s="915">
        <f>'Financial impact (cash)'!E16*$C104</f>
        <v>0</v>
      </c>
      <c r="F104" s="915">
        <f>'Financial impact (cash)'!F16*$C104</f>
        <v>0</v>
      </c>
      <c r="G104" s="915">
        <f>'Financial impact (cash)'!G16*$C104</f>
        <v>0</v>
      </c>
      <c r="H104" s="915">
        <f>'Financial impact (cash)'!H16*$C104</f>
        <v>0</v>
      </c>
      <c r="I104" s="915">
        <f>'Financial impact (cash)'!I16*$C104</f>
        <v>0</v>
      </c>
      <c r="J104" s="263"/>
      <c r="K104" s="263"/>
      <c r="L104" s="200"/>
      <c r="M104" s="200"/>
      <c r="N104" s="263"/>
      <c r="O104" s="200"/>
      <c r="P104" s="200"/>
      <c r="Q104" s="200"/>
      <c r="R104" s="121"/>
      <c r="V104" s="121"/>
    </row>
    <row r="105" spans="1:40" x14ac:dyDescent="0.3">
      <c r="A105" s="263"/>
      <c r="B105" s="254"/>
      <c r="C105" s="189"/>
      <c r="D105" s="168">
        <f t="shared" ref="D105:I105" si="58">SUM(D101:D104)</f>
        <v>0</v>
      </c>
      <c r="E105" s="168">
        <f t="shared" si="58"/>
        <v>0</v>
      </c>
      <c r="F105" s="168">
        <f t="shared" si="58"/>
        <v>0</v>
      </c>
      <c r="G105" s="168">
        <f t="shared" si="58"/>
        <v>0</v>
      </c>
      <c r="H105" s="168">
        <f t="shared" si="58"/>
        <v>0</v>
      </c>
      <c r="I105" s="168">
        <f t="shared" si="58"/>
        <v>0</v>
      </c>
      <c r="J105" s="263"/>
      <c r="K105" s="263"/>
      <c r="L105" s="200"/>
      <c r="M105" s="200"/>
      <c r="N105" s="263"/>
      <c r="O105" s="200"/>
      <c r="P105" s="200"/>
      <c r="Q105" s="200"/>
      <c r="R105" s="121"/>
      <c r="V105" s="121"/>
    </row>
    <row r="106" spans="1:40" x14ac:dyDescent="0.3">
      <c r="A106" s="263"/>
      <c r="B106" s="281"/>
      <c r="C106" s="203"/>
      <c r="D106" s="259" t="s">
        <v>2108</v>
      </c>
      <c r="E106" s="168">
        <f>E105-$D$105</f>
        <v>0</v>
      </c>
      <c r="F106" s="168">
        <f>F105-$D$105</f>
        <v>0</v>
      </c>
      <c r="G106" s="168">
        <f>G105-$D$105</f>
        <v>0</v>
      </c>
      <c r="H106" s="168">
        <f>H105-$D$105</f>
        <v>0</v>
      </c>
      <c r="I106" s="168">
        <f>I105-$D$105</f>
        <v>0</v>
      </c>
      <c r="J106" s="263"/>
      <c r="K106" s="263"/>
      <c r="L106" s="200"/>
      <c r="M106" s="200"/>
      <c r="N106" s="263"/>
      <c r="O106" s="200"/>
      <c r="P106" s="200"/>
      <c r="Q106" s="200"/>
      <c r="R106" s="121"/>
      <c r="V106" s="121"/>
    </row>
    <row r="107" spans="1:40" x14ac:dyDescent="0.3">
      <c r="A107" s="263"/>
      <c r="B107" s="294"/>
      <c r="C107" s="349"/>
      <c r="D107" s="200"/>
      <c r="E107" s="200"/>
      <c r="F107" s="200"/>
      <c r="G107" s="200"/>
      <c r="H107" s="200"/>
      <c r="I107" s="200"/>
      <c r="J107" s="200"/>
      <c r="K107" s="200"/>
      <c r="L107" s="200"/>
      <c r="M107" s="200"/>
      <c r="N107" s="263"/>
      <c r="O107" s="200"/>
      <c r="P107" s="200"/>
      <c r="Q107" s="200"/>
      <c r="R107" s="121"/>
      <c r="S107" s="121"/>
      <c r="T107" s="121"/>
      <c r="U107" s="121"/>
      <c r="V107" s="121"/>
      <c r="W107" s="121"/>
      <c r="X107" s="121"/>
      <c r="Y107" s="121"/>
      <c r="Z107" s="121"/>
      <c r="AJ107" s="260"/>
      <c r="AK107" s="260"/>
      <c r="AL107" s="260"/>
      <c r="AM107" s="260"/>
      <c r="AN107" s="260"/>
    </row>
    <row r="108" spans="1:40" x14ac:dyDescent="0.3">
      <c r="A108" s="297"/>
      <c r="B108" s="298" t="s">
        <v>2241</v>
      </c>
      <c r="C108" s="299"/>
      <c r="D108" s="299"/>
      <c r="E108" s="300"/>
      <c r="F108" s="301"/>
      <c r="G108" s="302"/>
      <c r="H108" s="302"/>
      <c r="I108" s="342"/>
      <c r="J108" s="297"/>
      <c r="K108" s="297"/>
      <c r="L108" s="297"/>
      <c r="M108" s="297"/>
      <c r="N108" s="297"/>
      <c r="O108" s="297"/>
      <c r="P108" s="297"/>
      <c r="Q108" s="360"/>
      <c r="R108" s="121"/>
      <c r="S108" s="121"/>
      <c r="T108" s="121"/>
      <c r="U108" s="121"/>
      <c r="V108" s="121"/>
      <c r="W108" s="121"/>
      <c r="X108" s="121"/>
      <c r="Y108" s="121"/>
      <c r="Z108" s="121"/>
      <c r="AJ108" s="260"/>
      <c r="AK108" s="260"/>
      <c r="AL108" s="260"/>
      <c r="AM108" s="260"/>
      <c r="AN108" s="260"/>
    </row>
    <row r="109" spans="1:40" x14ac:dyDescent="0.3">
      <c r="A109" s="297"/>
      <c r="B109" s="352" t="s">
        <v>2230</v>
      </c>
      <c r="C109" s="353"/>
      <c r="D109" s="353"/>
      <c r="E109" s="353"/>
      <c r="F109" s="353"/>
      <c r="G109" s="353"/>
      <c r="H109" s="353"/>
      <c r="I109" s="303"/>
      <c r="J109" s="360"/>
      <c r="K109" s="360"/>
      <c r="L109" s="379"/>
      <c r="M109" s="379"/>
      <c r="N109" s="379"/>
      <c r="O109" s="379"/>
      <c r="P109" s="379"/>
      <c r="Q109" s="379"/>
      <c r="R109" s="121"/>
      <c r="S109" s="121"/>
      <c r="T109" s="121"/>
      <c r="U109" s="121"/>
      <c r="V109" s="121"/>
      <c r="W109" s="121"/>
      <c r="X109" s="121"/>
      <c r="Y109" s="121"/>
      <c r="Z109" s="121"/>
      <c r="AJ109" s="260"/>
      <c r="AK109" s="260"/>
      <c r="AL109" s="260"/>
      <c r="AM109" s="260"/>
      <c r="AN109" s="260"/>
    </row>
    <row r="110" spans="1:40" ht="43.2" x14ac:dyDescent="0.3">
      <c r="A110" s="297"/>
      <c r="B110" s="253" t="s">
        <v>2033</v>
      </c>
      <c r="C110" s="153" t="s">
        <v>2096</v>
      </c>
      <c r="D110" s="840" t="s">
        <v>2082</v>
      </c>
      <c r="E110" s="231" t="s">
        <v>1885</v>
      </c>
      <c r="F110" s="231" t="s">
        <v>1886</v>
      </c>
      <c r="G110" s="152" t="s">
        <v>2054</v>
      </c>
      <c r="H110" s="152" t="s">
        <v>2055</v>
      </c>
      <c r="I110" s="231" t="s">
        <v>2056</v>
      </c>
      <c r="J110" s="297"/>
      <c r="K110" s="453" t="s">
        <v>2117</v>
      </c>
      <c r="L110" s="840" t="s">
        <v>2082</v>
      </c>
      <c r="M110" s="231" t="s">
        <v>1885</v>
      </c>
      <c r="N110" s="231" t="s">
        <v>1886</v>
      </c>
      <c r="O110" s="152" t="s">
        <v>2054</v>
      </c>
      <c r="P110" s="152" t="s">
        <v>2055</v>
      </c>
      <c r="Q110" s="231" t="s">
        <v>2056</v>
      </c>
      <c r="R110" s="121"/>
      <c r="S110" s="121"/>
      <c r="T110" s="121"/>
      <c r="U110" s="121"/>
      <c r="V110" s="121"/>
      <c r="W110" s="121"/>
      <c r="X110" s="121"/>
      <c r="Y110" s="121"/>
      <c r="Z110" s="121"/>
      <c r="AJ110" s="260"/>
      <c r="AK110" s="260"/>
      <c r="AL110" s="260"/>
      <c r="AM110" s="260"/>
      <c r="AN110" s="260"/>
    </row>
    <row r="111" spans="1:40" x14ac:dyDescent="0.3">
      <c r="A111" s="297"/>
      <c r="B111" s="313" t="str">
        <f>'Capacity inputs'!G13</f>
        <v xml:space="preserve">Durvalumab with tremelimumab </v>
      </c>
      <c r="C111" s="137">
        <f>'Capacity inputs'!G21</f>
        <v>0</v>
      </c>
      <c r="D111" s="116">
        <f>$C111*'Financial impact (cash)'!D13</f>
        <v>0</v>
      </c>
      <c r="E111" s="116">
        <f>$C111*'Financial impact (cash)'!E13</f>
        <v>0</v>
      </c>
      <c r="F111" s="116">
        <f>$C111*'Financial impact (cash)'!F13</f>
        <v>0</v>
      </c>
      <c r="G111" s="116">
        <f>$C111*'Financial impact (cash)'!G13</f>
        <v>0</v>
      </c>
      <c r="H111" s="116">
        <f>$C111*'Financial impact (cash)'!H13</f>
        <v>0</v>
      </c>
      <c r="I111" s="116">
        <f>$C111*'Financial impact (cash)'!I13</f>
        <v>0</v>
      </c>
      <c r="J111" s="297"/>
      <c r="K111" s="265">
        <f>'Unit costs'!N54</f>
        <v>0</v>
      </c>
      <c r="L111" s="265">
        <f>D111*$K111/1000</f>
        <v>0</v>
      </c>
      <c r="M111" s="265">
        <f t="shared" ref="M111:Q111" si="59">E111*$K111/1000</f>
        <v>0</v>
      </c>
      <c r="N111" s="265">
        <f>F111*$K111/1000</f>
        <v>0</v>
      </c>
      <c r="O111" s="265">
        <f t="shared" si="59"/>
        <v>0</v>
      </c>
      <c r="P111" s="265">
        <f t="shared" si="59"/>
        <v>0</v>
      </c>
      <c r="Q111" s="265">
        <f t="shared" si="59"/>
        <v>0</v>
      </c>
      <c r="R111" s="121"/>
      <c r="S111" s="121"/>
      <c r="T111" s="121"/>
      <c r="U111" s="121"/>
      <c r="V111" s="121"/>
      <c r="W111" s="121"/>
      <c r="X111" s="121"/>
      <c r="Y111" s="121"/>
      <c r="Z111" s="121"/>
      <c r="AJ111" s="260"/>
      <c r="AK111" s="260"/>
      <c r="AL111" s="260"/>
      <c r="AM111" s="260"/>
      <c r="AN111" s="260"/>
    </row>
    <row r="112" spans="1:40" x14ac:dyDescent="0.3">
      <c r="A112" s="297"/>
      <c r="B112" s="313" t="str">
        <f>'Capacity inputs'!H13</f>
        <v xml:space="preserve">Atezolizumab with bevacizumab </v>
      </c>
      <c r="C112" s="137">
        <f>'Capacity inputs'!H21</f>
        <v>1</v>
      </c>
      <c r="D112" s="116">
        <f>$C112*'Financial impact (cash)'!D14</f>
        <v>683.05828648663112</v>
      </c>
      <c r="E112" s="116">
        <f>$C112*'Financial impact (cash)'!E14</f>
        <v>659.36194027494071</v>
      </c>
      <c r="F112" s="116">
        <f>$C112*'Financial impact (cash)'!F14</f>
        <v>635.19618773498257</v>
      </c>
      <c r="G112" s="116">
        <f>$C112*'Financial impact (cash)'!G14</f>
        <v>640.7800827540342</v>
      </c>
      <c r="H112" s="116">
        <f>$C112*'Financial impact (cash)'!H14</f>
        <v>646.41306478617867</v>
      </c>
      <c r="I112" s="116">
        <f>$C112*'Financial impact (cash)'!I14</f>
        <v>652.09556534648664</v>
      </c>
      <c r="J112" s="297"/>
      <c r="K112" s="265">
        <f>K111</f>
        <v>0</v>
      </c>
      <c r="L112" s="265">
        <f>D112*$K112/1000</f>
        <v>0</v>
      </c>
      <c r="M112" s="265">
        <f t="shared" ref="M112:M114" si="60">E112*$K112/1000</f>
        <v>0</v>
      </c>
      <c r="N112" s="265">
        <f t="shared" ref="N112:N113" si="61">F112*$K112/1000</f>
        <v>0</v>
      </c>
      <c r="O112" s="265">
        <f t="shared" ref="O112:O114" si="62">G112*$K112/1000</f>
        <v>0</v>
      </c>
      <c r="P112" s="265">
        <f>H112*$K112/1000</f>
        <v>0</v>
      </c>
      <c r="Q112" s="265">
        <f t="shared" ref="Q112:Q114" si="63">I112*$K112/1000</f>
        <v>0</v>
      </c>
      <c r="R112" s="121"/>
      <c r="S112" s="121"/>
      <c r="T112" s="121"/>
      <c r="U112" s="121"/>
      <c r="V112" s="121"/>
      <c r="W112" s="121"/>
      <c r="X112" s="121"/>
      <c r="Y112" s="121"/>
      <c r="Z112" s="121"/>
      <c r="AJ112" s="260"/>
      <c r="AK112" s="260"/>
      <c r="AL112" s="260"/>
      <c r="AM112" s="260"/>
      <c r="AN112" s="260"/>
    </row>
    <row r="113" spans="1:40" x14ac:dyDescent="0.3">
      <c r="A113" s="297"/>
      <c r="B113" s="313" t="str">
        <f>'Capacity inputs'!I13</f>
        <v xml:space="preserve">Lenvatinib </v>
      </c>
      <c r="C113" s="137">
        <f>'Capacity inputs'!I21</f>
        <v>0</v>
      </c>
      <c r="D113" s="116">
        <f>$C113*'Financial impact (cash)'!D15</f>
        <v>0</v>
      </c>
      <c r="E113" s="116">
        <f>$C113*'Financial impact (cash)'!E15</f>
        <v>0</v>
      </c>
      <c r="F113" s="116">
        <f>$C113*'Financial impact (cash)'!F15</f>
        <v>0</v>
      </c>
      <c r="G113" s="116">
        <f>$C113*'Financial impact (cash)'!G15</f>
        <v>0</v>
      </c>
      <c r="H113" s="116">
        <f>$C113*'Financial impact (cash)'!H15</f>
        <v>0</v>
      </c>
      <c r="I113" s="116">
        <f>$C113*'Financial impact (cash)'!I15</f>
        <v>0</v>
      </c>
      <c r="J113" s="297"/>
      <c r="K113" s="265">
        <f>K111</f>
        <v>0</v>
      </c>
      <c r="L113" s="265">
        <f>D113*$K113/1000</f>
        <v>0</v>
      </c>
      <c r="M113" s="265">
        <f t="shared" si="60"/>
        <v>0</v>
      </c>
      <c r="N113" s="265">
        <f t="shared" si="61"/>
        <v>0</v>
      </c>
      <c r="O113" s="265">
        <f t="shared" si="62"/>
        <v>0</v>
      </c>
      <c r="P113" s="265">
        <f t="shared" ref="P113:P114" si="64">H113*$K113/1000</f>
        <v>0</v>
      </c>
      <c r="Q113" s="265">
        <f t="shared" si="63"/>
        <v>0</v>
      </c>
      <c r="R113" s="121"/>
      <c r="S113" s="121"/>
      <c r="T113" s="121"/>
      <c r="U113" s="121"/>
      <c r="V113" s="121"/>
      <c r="W113" s="121"/>
      <c r="X113" s="121"/>
      <c r="Y113" s="121"/>
      <c r="Z113" s="121"/>
      <c r="AJ113" s="260"/>
      <c r="AK113" s="260"/>
      <c r="AL113" s="260"/>
      <c r="AM113" s="260"/>
      <c r="AN113" s="260"/>
    </row>
    <row r="114" spans="1:40" x14ac:dyDescent="0.3">
      <c r="A114" s="297"/>
      <c r="B114" s="313" t="str">
        <f>'Capacity inputs'!J13</f>
        <v>Sorafenib</v>
      </c>
      <c r="C114" s="137">
        <f>'Capacity inputs'!J21</f>
        <v>0</v>
      </c>
      <c r="D114" s="116">
        <f>$C114*'Financial impact (cash)'!D16</f>
        <v>0</v>
      </c>
      <c r="E114" s="116">
        <f>$C114*'Financial impact (cash)'!E16</f>
        <v>0</v>
      </c>
      <c r="F114" s="116">
        <f>$C114*'Financial impact (cash)'!F16</f>
        <v>0</v>
      </c>
      <c r="G114" s="116">
        <f>$C114*'Financial impact (cash)'!G16</f>
        <v>0</v>
      </c>
      <c r="H114" s="116">
        <f>$C114*'Financial impact (cash)'!H16</f>
        <v>0</v>
      </c>
      <c r="I114" s="116">
        <f>$C114*'Financial impact (cash)'!I16</f>
        <v>0</v>
      </c>
      <c r="J114" s="297"/>
      <c r="K114" s="265">
        <f>K111</f>
        <v>0</v>
      </c>
      <c r="L114" s="265">
        <f>D114*$K114/1000</f>
        <v>0</v>
      </c>
      <c r="M114" s="265">
        <f t="shared" si="60"/>
        <v>0</v>
      </c>
      <c r="N114" s="265">
        <f>F114*$K114/1000</f>
        <v>0</v>
      </c>
      <c r="O114" s="265">
        <f t="shared" si="62"/>
        <v>0</v>
      </c>
      <c r="P114" s="265">
        <f t="shared" si="64"/>
        <v>0</v>
      </c>
      <c r="Q114" s="265">
        <f t="shared" si="63"/>
        <v>0</v>
      </c>
      <c r="R114" s="121"/>
      <c r="S114" s="121"/>
      <c r="T114" s="121"/>
      <c r="U114" s="121"/>
      <c r="V114" s="121"/>
      <c r="W114" s="121"/>
      <c r="X114" s="121"/>
      <c r="Y114" s="121"/>
      <c r="Z114" s="121"/>
      <c r="AJ114" s="260"/>
      <c r="AK114" s="260"/>
      <c r="AL114" s="260"/>
      <c r="AM114" s="260"/>
      <c r="AN114" s="260"/>
    </row>
    <row r="115" spans="1:40" x14ac:dyDescent="0.3">
      <c r="A115" s="297"/>
      <c r="B115" s="254"/>
      <c r="C115" s="189"/>
      <c r="D115" s="168">
        <f t="shared" ref="D115:I115" si="65">SUM(D111:D114)</f>
        <v>683.05828648663112</v>
      </c>
      <c r="E115" s="168">
        <f t="shared" si="65"/>
        <v>659.36194027494071</v>
      </c>
      <c r="F115" s="168">
        <f t="shared" si="65"/>
        <v>635.19618773498257</v>
      </c>
      <c r="G115" s="168">
        <f t="shared" si="65"/>
        <v>640.7800827540342</v>
      </c>
      <c r="H115" s="168">
        <f t="shared" si="65"/>
        <v>646.41306478617867</v>
      </c>
      <c r="I115" s="168">
        <f t="shared" si="65"/>
        <v>652.09556534648664</v>
      </c>
      <c r="J115" s="297"/>
      <c r="K115" s="846"/>
      <c r="L115" s="266">
        <f t="shared" ref="L115:Q115" si="66">SUM(L111:L114)</f>
        <v>0</v>
      </c>
      <c r="M115" s="266">
        <f t="shared" si="66"/>
        <v>0</v>
      </c>
      <c r="N115" s="266">
        <f t="shared" si="66"/>
        <v>0</v>
      </c>
      <c r="O115" s="266">
        <f>SUM(O111:O114)</f>
        <v>0</v>
      </c>
      <c r="P115" s="266">
        <f t="shared" si="66"/>
        <v>0</v>
      </c>
      <c r="Q115" s="266">
        <f t="shared" si="66"/>
        <v>0</v>
      </c>
      <c r="R115" s="121"/>
      <c r="S115" s="121"/>
      <c r="T115" s="121"/>
      <c r="U115" s="121"/>
      <c r="V115" s="121"/>
      <c r="W115" s="121"/>
      <c r="X115" s="121"/>
      <c r="Y115" s="121"/>
      <c r="Z115" s="121"/>
      <c r="AJ115" s="260"/>
      <c r="AK115" s="260"/>
      <c r="AL115" s="260"/>
      <c r="AM115" s="260"/>
      <c r="AN115" s="260"/>
    </row>
    <row r="116" spans="1:40" x14ac:dyDescent="0.3">
      <c r="A116" s="297"/>
      <c r="B116" s="281"/>
      <c r="C116" s="232"/>
      <c r="D116" s="259" t="s">
        <v>2243</v>
      </c>
      <c r="E116" s="168">
        <f>E115-$D$115</f>
        <v>-23.696346211690411</v>
      </c>
      <c r="F116" s="168">
        <f>F115-$D$115</f>
        <v>-47.862098751648546</v>
      </c>
      <c r="G116" s="168">
        <f>G115-$D$115</f>
        <v>-42.278203732596921</v>
      </c>
      <c r="H116" s="168">
        <f>H115-$D$115</f>
        <v>-36.645221700452453</v>
      </c>
      <c r="I116" s="168">
        <f>I115-$D$115</f>
        <v>-30.962721140144481</v>
      </c>
      <c r="J116" s="297"/>
      <c r="K116" s="297"/>
      <c r="L116" s="847"/>
      <c r="M116" s="266">
        <f>M115-$L$115</f>
        <v>0</v>
      </c>
      <c r="N116" s="266">
        <f t="shared" ref="N116:Q116" si="67">N115-$L$115</f>
        <v>0</v>
      </c>
      <c r="O116" s="266">
        <f t="shared" si="67"/>
        <v>0</v>
      </c>
      <c r="P116" s="266">
        <f t="shared" si="67"/>
        <v>0</v>
      </c>
      <c r="Q116" s="266">
        <f t="shared" si="67"/>
        <v>0</v>
      </c>
      <c r="R116" s="121"/>
      <c r="V116" s="121"/>
    </row>
    <row r="117" spans="1:40" x14ac:dyDescent="0.3">
      <c r="A117" s="297"/>
      <c r="B117" s="297"/>
      <c r="C117" s="297"/>
      <c r="D117" s="297"/>
      <c r="E117" s="297"/>
      <c r="F117" s="297"/>
      <c r="G117" s="297"/>
      <c r="H117" s="297"/>
      <c r="I117" s="297"/>
      <c r="J117" s="297"/>
      <c r="K117" s="297"/>
      <c r="L117" s="297"/>
      <c r="M117" s="297"/>
      <c r="N117" s="297"/>
      <c r="O117" s="297"/>
      <c r="P117" s="297"/>
      <c r="Q117" s="297"/>
      <c r="R117" s="121"/>
      <c r="V117" s="121"/>
    </row>
    <row r="118" spans="1:40" x14ac:dyDescent="0.3">
      <c r="B118"/>
    </row>
    <row r="119" spans="1:40" x14ac:dyDescent="0.3">
      <c r="B119"/>
    </row>
    <row r="120" spans="1:40" x14ac:dyDescent="0.3">
      <c r="B120"/>
    </row>
    <row r="121" spans="1:40" x14ac:dyDescent="0.3">
      <c r="B121"/>
    </row>
    <row r="122" spans="1:40" x14ac:dyDescent="0.3">
      <c r="B122"/>
    </row>
  </sheetData>
  <sheetProtection algorithmName="SHA-512" hashValue="qVt+dW2xbFn2Y56NENoZSkOgqphktsljJjDilU/WfaUat/sPsXkNMeb7XMG21+X+ylMORdUdEusx4p3WghmQtg==" saltValue="gOVYJ8uasx2z0dzfs11n7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07" min="1" max="17" man="1"/>
  </rowBreaks>
  <ignoredErrors>
    <ignoredError sqref="D25:I25"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Z102"/>
  <sheetViews>
    <sheetView showGridLines="0" zoomScale="80" zoomScaleNormal="80" workbookViewId="0">
      <selection activeCell="J12" sqref="J12:K47"/>
    </sheetView>
  </sheetViews>
  <sheetFormatPr defaultColWidth="8.5546875" defaultRowHeight="14.4" x14ac:dyDescent="0.3"/>
  <cols>
    <col min="1" max="1" width="13.5546875" customWidth="1"/>
    <col min="2" max="2" width="37.6640625" customWidth="1"/>
    <col min="3" max="4" width="12.6640625" customWidth="1"/>
    <col min="5" max="6" width="11.88671875" customWidth="1"/>
    <col min="7" max="7" width="10.44140625" style="416" customWidth="1"/>
    <col min="8" max="8" width="11.88671875" customWidth="1"/>
    <col min="9" max="9" width="12.5546875" customWidth="1"/>
    <col min="10" max="10" width="11" customWidth="1"/>
    <col min="11" max="12" width="10.109375" customWidth="1"/>
    <col min="13" max="15" width="9" customWidth="1"/>
    <col min="16" max="16" width="8.44140625" customWidth="1"/>
    <col min="17" max="17" width="15.44140625" hidden="1" customWidth="1"/>
    <col min="18" max="18" width="13.44140625" hidden="1" customWidth="1"/>
    <col min="19" max="19" width="14.44140625" hidden="1" customWidth="1"/>
    <col min="20" max="20" width="10.44140625" hidden="1" customWidth="1"/>
    <col min="21" max="23" width="8.5546875" hidden="1" customWidth="1"/>
    <col min="24" max="24" width="47.33203125" bestFit="1" customWidth="1"/>
    <col min="25" max="25" width="10" customWidth="1"/>
  </cols>
  <sheetData>
    <row r="1" spans="1:26" ht="21" customHeight="1" x14ac:dyDescent="0.3">
      <c r="A1" s="566" t="s">
        <v>2119</v>
      </c>
      <c r="B1" s="566"/>
      <c r="C1" s="566"/>
      <c r="D1" s="566"/>
      <c r="E1" s="566"/>
      <c r="F1" s="566"/>
      <c r="G1" s="566"/>
      <c r="H1" s="566"/>
      <c r="I1" s="566"/>
      <c r="J1" s="566"/>
      <c r="K1" s="566"/>
      <c r="L1" s="566"/>
      <c r="M1" s="566"/>
      <c r="N1" s="566"/>
      <c r="O1" s="566"/>
    </row>
    <row r="2" spans="1:26" ht="14.4" customHeight="1" thickBot="1" x14ac:dyDescent="0.35">
      <c r="A2" s="117"/>
      <c r="B2" s="117"/>
      <c r="C2" s="117"/>
      <c r="D2" s="117"/>
      <c r="E2" s="117"/>
      <c r="F2" s="117"/>
      <c r="G2" s="117"/>
      <c r="H2" s="117"/>
      <c r="I2" s="117"/>
      <c r="J2" s="117"/>
      <c r="K2" s="117"/>
      <c r="L2" s="117"/>
      <c r="M2" s="117"/>
      <c r="N2" s="117"/>
      <c r="O2" s="117"/>
    </row>
    <row r="3" spans="1:26" ht="14.4" customHeight="1" x14ac:dyDescent="0.3">
      <c r="A3" s="117"/>
      <c r="B3" s="574" t="s">
        <v>6</v>
      </c>
      <c r="C3" s="575"/>
      <c r="D3" s="117"/>
      <c r="E3" s="117"/>
      <c r="F3" s="117"/>
      <c r="G3" s="117"/>
      <c r="H3" s="117"/>
      <c r="I3" s="117"/>
      <c r="J3" s="117"/>
      <c r="K3" s="117"/>
      <c r="L3" s="117"/>
      <c r="M3" s="117"/>
      <c r="N3" s="117"/>
      <c r="O3" s="117"/>
    </row>
    <row r="4" spans="1:26" ht="14.4" customHeight="1" x14ac:dyDescent="0.3">
      <c r="A4" s="117"/>
      <c r="B4" s="576" t="s">
        <v>2120</v>
      </c>
      <c r="C4" s="597" t="s">
        <v>2121</v>
      </c>
      <c r="D4" s="577" t="s">
        <v>2122</v>
      </c>
      <c r="E4" s="117"/>
      <c r="F4" s="117"/>
      <c r="G4" s="117"/>
      <c r="H4" s="117"/>
      <c r="I4" s="117"/>
      <c r="J4" s="117"/>
      <c r="K4" s="117"/>
      <c r="L4" s="117"/>
      <c r="M4" s="117"/>
      <c r="N4" s="117"/>
      <c r="O4" s="117"/>
    </row>
    <row r="5" spans="1:26" ht="14.4" customHeight="1" x14ac:dyDescent="0.3">
      <c r="A5" s="117"/>
      <c r="B5" s="576" t="s">
        <v>2123</v>
      </c>
      <c r="C5" s="598">
        <v>5000</v>
      </c>
      <c r="D5" s="117"/>
      <c r="E5" s="117"/>
      <c r="F5" s="117"/>
      <c r="G5" s="117"/>
      <c r="H5" s="117"/>
      <c r="I5" s="117"/>
      <c r="J5" s="117"/>
      <c r="K5" s="117"/>
      <c r="L5" s="117"/>
      <c r="M5" s="117"/>
      <c r="N5" s="117"/>
      <c r="O5" s="117"/>
    </row>
    <row r="6" spans="1:26" ht="14.4" customHeight="1" x14ac:dyDescent="0.3">
      <c r="A6" s="117"/>
      <c r="B6" s="576" t="s">
        <v>2124</v>
      </c>
      <c r="C6" s="599">
        <v>0.15</v>
      </c>
      <c r="D6" s="117"/>
      <c r="E6" s="117"/>
      <c r="F6" s="117"/>
      <c r="G6" s="117"/>
      <c r="H6" s="117"/>
      <c r="I6" s="117"/>
      <c r="J6" s="117"/>
      <c r="K6" s="117"/>
      <c r="L6" s="117"/>
      <c r="M6" s="117"/>
      <c r="N6" s="117"/>
      <c r="O6" s="117"/>
    </row>
    <row r="7" spans="1:26" ht="14.4" customHeight="1" x14ac:dyDescent="0.3">
      <c r="A7" s="117"/>
      <c r="B7" s="576" t="s">
        <v>2125</v>
      </c>
      <c r="C7" s="599">
        <v>0.23780000000000001</v>
      </c>
      <c r="D7" s="117"/>
      <c r="E7" s="117"/>
      <c r="F7" s="117"/>
      <c r="G7" s="117"/>
      <c r="H7" s="117"/>
      <c r="I7" s="117"/>
      <c r="J7" s="117"/>
      <c r="K7" s="117"/>
      <c r="L7" s="117"/>
      <c r="M7" s="117"/>
      <c r="N7" s="117"/>
      <c r="O7" s="117"/>
    </row>
    <row r="8" spans="1:26" ht="14.4" customHeight="1" x14ac:dyDescent="0.3">
      <c r="A8" s="117"/>
      <c r="B8" s="576" t="s">
        <v>2126</v>
      </c>
      <c r="C8" s="599">
        <v>5.0000000000000001E-3</v>
      </c>
      <c r="D8" s="117"/>
      <c r="E8" s="117"/>
      <c r="F8" s="117"/>
      <c r="G8" s="117"/>
      <c r="H8" s="117"/>
      <c r="I8" s="117"/>
      <c r="J8" s="117"/>
      <c r="K8" s="117"/>
      <c r="L8" s="117"/>
      <c r="M8" s="117"/>
      <c r="N8" s="117"/>
      <c r="O8" s="117"/>
    </row>
    <row r="9" spans="1:26" ht="14.4" customHeight="1" thickBot="1" x14ac:dyDescent="0.35">
      <c r="A9" s="117"/>
      <c r="B9" s="578" t="s">
        <v>2127</v>
      </c>
      <c r="C9" s="600">
        <v>3.5999999999999997E-2</v>
      </c>
      <c r="D9" s="117"/>
      <c r="E9" s="117"/>
      <c r="F9" s="117"/>
      <c r="G9" s="117"/>
      <c r="H9" s="117"/>
      <c r="I9" s="117"/>
      <c r="J9" s="117"/>
      <c r="K9" s="117"/>
      <c r="L9" s="117"/>
      <c r="M9" s="117"/>
      <c r="N9" s="117"/>
      <c r="O9" s="117"/>
      <c r="T9" s="579"/>
    </row>
    <row r="10" spans="1:26" ht="15" thickBot="1" x14ac:dyDescent="0.35">
      <c r="R10" s="580"/>
      <c r="T10" s="580"/>
    </row>
    <row r="11" spans="1:26" ht="109.5" customHeight="1" thickBot="1" x14ac:dyDescent="0.35">
      <c r="A11" s="581" t="s">
        <v>2128</v>
      </c>
      <c r="B11" s="582" t="s">
        <v>2129</v>
      </c>
      <c r="C11" s="583" t="s">
        <v>2130</v>
      </c>
      <c r="D11" s="583" t="s">
        <v>2131</v>
      </c>
      <c r="E11" s="583" t="s">
        <v>2132</v>
      </c>
      <c r="F11" s="583" t="s">
        <v>2133</v>
      </c>
      <c r="G11" s="584" t="s">
        <v>2134</v>
      </c>
      <c r="H11" s="583" t="s">
        <v>2135</v>
      </c>
      <c r="I11" s="585" t="s">
        <v>2136</v>
      </c>
      <c r="J11" s="586" t="s">
        <v>2137</v>
      </c>
      <c r="K11" s="859" t="s">
        <v>2138</v>
      </c>
      <c r="L11" s="859" t="s">
        <v>2139</v>
      </c>
      <c r="M11" s="587" t="s">
        <v>2092</v>
      </c>
      <c r="N11" s="588" t="s">
        <v>2140</v>
      </c>
      <c r="O11" s="589" t="s">
        <v>2141</v>
      </c>
      <c r="Q11" t="s">
        <v>2121</v>
      </c>
      <c r="R11" t="s">
        <v>2142</v>
      </c>
      <c r="S11" t="s">
        <v>2143</v>
      </c>
      <c r="T11" t="s">
        <v>2144</v>
      </c>
    </row>
    <row r="12" spans="1:26" x14ac:dyDescent="0.3">
      <c r="A12" s="590">
        <v>2</v>
      </c>
      <c r="B12" s="591" t="s">
        <v>2145</v>
      </c>
      <c r="C12" s="860">
        <f>HLOOKUP($C$4,$Q$11:$T$41,2,FALSE)</f>
        <v>24465</v>
      </c>
      <c r="D12" s="860">
        <f>C12*$C$9</f>
        <v>880.7399999999999</v>
      </c>
      <c r="E12" s="860">
        <f>C12*(100%+$C$9)</f>
        <v>25345.74</v>
      </c>
      <c r="F12" s="860">
        <f>(E12-$C$5)*$C$6</f>
        <v>3051.8610000000003</v>
      </c>
      <c r="G12" s="861">
        <f>E12*$C$8</f>
        <v>126.72870000000002</v>
      </c>
      <c r="H12" s="860">
        <f>E12*$C$7</f>
        <v>6027.2169720000011</v>
      </c>
      <c r="I12" s="862">
        <f>SUM(E12:H12)</f>
        <v>34551.546672000004</v>
      </c>
      <c r="J12" s="941">
        <v>1560</v>
      </c>
      <c r="K12" s="942">
        <v>1</v>
      </c>
      <c r="L12" s="601">
        <f t="shared" ref="L12:L47" si="0">J12*K12</f>
        <v>1560</v>
      </c>
      <c r="M12" s="592">
        <f>ROUND(I12/J12,2)</f>
        <v>22.15</v>
      </c>
      <c r="N12" s="593">
        <v>0.41</v>
      </c>
      <c r="O12" s="594">
        <v>0.83</v>
      </c>
      <c r="Q12" s="579">
        <v>24465</v>
      </c>
      <c r="R12" s="260">
        <v>30074</v>
      </c>
      <c r="S12" s="260">
        <v>29179</v>
      </c>
      <c r="T12" s="260">
        <v>25768</v>
      </c>
      <c r="X12" s="158"/>
      <c r="Y12" s="755"/>
      <c r="Z12" s="720"/>
    </row>
    <row r="13" spans="1:26" x14ac:dyDescent="0.3">
      <c r="A13" s="425">
        <v>2</v>
      </c>
      <c r="B13" s="419" t="s">
        <v>2146</v>
      </c>
      <c r="C13" s="863">
        <f>HLOOKUP($C$4,$Q$11:$T$41,3,FALSE)</f>
        <v>24465</v>
      </c>
      <c r="D13" s="863">
        <f t="shared" ref="D13:D47" si="1">C13*$C$9</f>
        <v>880.7399999999999</v>
      </c>
      <c r="E13" s="863">
        <f t="shared" ref="E13:E47" si="2">C13*(100%+$C$9)</f>
        <v>25345.74</v>
      </c>
      <c r="F13" s="863">
        <f t="shared" ref="F13:F47" si="3">(E13-$C$5)*$C$6</f>
        <v>3051.8610000000003</v>
      </c>
      <c r="G13" s="864">
        <f t="shared" ref="G13:G47" si="4">E13*$C$8</f>
        <v>126.72870000000002</v>
      </c>
      <c r="H13" s="863">
        <f t="shared" ref="H13:H47" si="5">E13*$C$7</f>
        <v>6027.2169720000011</v>
      </c>
      <c r="I13" s="862">
        <f t="shared" ref="I13:I47" si="6">SUM(E13:H13)</f>
        <v>34551.546672000004</v>
      </c>
      <c r="J13" s="943">
        <v>1560</v>
      </c>
      <c r="K13" s="942">
        <v>1</v>
      </c>
      <c r="L13" s="601">
        <f t="shared" si="0"/>
        <v>1560</v>
      </c>
      <c r="M13" s="592">
        <f t="shared" ref="M13:M47" si="7">ROUND(I13/J13,2)</f>
        <v>22.15</v>
      </c>
      <c r="N13" s="417">
        <v>0.41</v>
      </c>
      <c r="O13" s="561">
        <v>0.83</v>
      </c>
      <c r="Q13" s="579">
        <v>24465</v>
      </c>
      <c r="R13" s="260">
        <v>30074</v>
      </c>
      <c r="S13" s="260">
        <v>29179</v>
      </c>
      <c r="T13" s="260">
        <v>25768</v>
      </c>
      <c r="X13" s="449" t="s">
        <v>2147</v>
      </c>
      <c r="Z13" s="146"/>
    </row>
    <row r="14" spans="1:26" x14ac:dyDescent="0.3">
      <c r="A14" s="425">
        <v>3</v>
      </c>
      <c r="B14" s="419" t="s">
        <v>2148</v>
      </c>
      <c r="C14" s="863">
        <f>HLOOKUP($C$4,$Q$11:$T$41,4,FALSE)</f>
        <v>24937</v>
      </c>
      <c r="D14" s="863">
        <f t="shared" si="1"/>
        <v>897.73199999999997</v>
      </c>
      <c r="E14" s="863">
        <f t="shared" si="2"/>
        <v>25834.732</v>
      </c>
      <c r="F14" s="863">
        <f t="shared" si="3"/>
        <v>3125.2098000000001</v>
      </c>
      <c r="G14" s="864">
        <f t="shared" si="4"/>
        <v>129.17366000000001</v>
      </c>
      <c r="H14" s="863">
        <f t="shared" si="5"/>
        <v>6143.4992695999999</v>
      </c>
      <c r="I14" s="862">
        <f t="shared" si="6"/>
        <v>35232.614729599998</v>
      </c>
      <c r="J14" s="943">
        <v>1560</v>
      </c>
      <c r="K14" s="942">
        <v>1</v>
      </c>
      <c r="L14" s="601">
        <f t="shared" si="0"/>
        <v>1560</v>
      </c>
      <c r="M14" s="592">
        <f t="shared" si="7"/>
        <v>22.59</v>
      </c>
      <c r="N14" s="417">
        <v>0.35</v>
      </c>
      <c r="O14" s="561">
        <v>0.69</v>
      </c>
      <c r="Q14" s="579">
        <v>24937</v>
      </c>
      <c r="R14" s="260">
        <v>30546</v>
      </c>
      <c r="S14" s="260">
        <v>29651</v>
      </c>
      <c r="T14" s="260">
        <v>26240</v>
      </c>
      <c r="U14" t="s">
        <v>2121</v>
      </c>
      <c r="X14" s="450" t="s">
        <v>2149</v>
      </c>
      <c r="Y14" s="938">
        <v>260</v>
      </c>
      <c r="Z14" s="146"/>
    </row>
    <row r="15" spans="1:26" x14ac:dyDescent="0.3">
      <c r="A15" s="425">
        <v>3</v>
      </c>
      <c r="B15" s="419" t="s">
        <v>2150</v>
      </c>
      <c r="C15" s="863">
        <f>HLOOKUP($C$4,$Q$11:$T$41,5,FALSE)</f>
        <v>26598</v>
      </c>
      <c r="D15" s="863">
        <f t="shared" si="1"/>
        <v>957.52799999999991</v>
      </c>
      <c r="E15" s="863">
        <f t="shared" si="2"/>
        <v>27555.528000000002</v>
      </c>
      <c r="F15" s="863">
        <f t="shared" si="3"/>
        <v>3383.3292000000001</v>
      </c>
      <c r="G15" s="864">
        <f t="shared" si="4"/>
        <v>137.77764000000002</v>
      </c>
      <c r="H15" s="863">
        <f t="shared" si="5"/>
        <v>6552.7045584000007</v>
      </c>
      <c r="I15" s="862">
        <f t="shared" si="6"/>
        <v>37629.339398399999</v>
      </c>
      <c r="J15" s="943">
        <v>1560</v>
      </c>
      <c r="K15" s="942">
        <v>1</v>
      </c>
      <c r="L15" s="601">
        <f t="shared" si="0"/>
        <v>1560</v>
      </c>
      <c r="M15" s="592">
        <f t="shared" si="7"/>
        <v>24.12</v>
      </c>
      <c r="N15" s="417">
        <v>0.35</v>
      </c>
      <c r="O15" s="561">
        <v>0.69</v>
      </c>
      <c r="Q15" s="579">
        <v>26598</v>
      </c>
      <c r="R15" s="260">
        <v>32207</v>
      </c>
      <c r="S15" s="260">
        <v>31312</v>
      </c>
      <c r="T15" s="260">
        <v>27928</v>
      </c>
      <c r="U15" t="s">
        <v>2151</v>
      </c>
      <c r="X15" s="450" t="s">
        <v>2152</v>
      </c>
      <c r="Y15" s="938">
        <v>-40</v>
      </c>
      <c r="Z15" s="146"/>
    </row>
    <row r="16" spans="1:26" x14ac:dyDescent="0.3">
      <c r="A16" s="425">
        <v>4</v>
      </c>
      <c r="B16" s="419" t="s">
        <v>2153</v>
      </c>
      <c r="C16" s="863">
        <f>HLOOKUP($C$4,$Q$11:$T$41,6,FALSE)</f>
        <v>27485</v>
      </c>
      <c r="D16" s="863">
        <f t="shared" si="1"/>
        <v>989.45999999999992</v>
      </c>
      <c r="E16" s="863">
        <f t="shared" si="2"/>
        <v>28474.46</v>
      </c>
      <c r="F16" s="863">
        <f t="shared" si="3"/>
        <v>3521.1689999999999</v>
      </c>
      <c r="G16" s="864">
        <f t="shared" si="4"/>
        <v>142.3723</v>
      </c>
      <c r="H16" s="863">
        <f t="shared" si="5"/>
        <v>6771.2265880000004</v>
      </c>
      <c r="I16" s="862">
        <f t="shared" si="6"/>
        <v>38909.227888000001</v>
      </c>
      <c r="J16" s="943">
        <v>1560</v>
      </c>
      <c r="K16" s="942">
        <v>1</v>
      </c>
      <c r="L16" s="601">
        <f t="shared" si="0"/>
        <v>1560</v>
      </c>
      <c r="M16" s="592">
        <f t="shared" si="7"/>
        <v>24.94</v>
      </c>
      <c r="N16" s="417">
        <v>0.3</v>
      </c>
      <c r="O16" s="561">
        <v>0.6</v>
      </c>
      <c r="Q16" s="579">
        <v>27485</v>
      </c>
      <c r="R16" s="260">
        <v>33094</v>
      </c>
      <c r="S16" s="260">
        <v>32199</v>
      </c>
      <c r="T16" s="260">
        <v>28860</v>
      </c>
      <c r="U16" t="s">
        <v>2154</v>
      </c>
      <c r="X16" s="450" t="s">
        <v>2155</v>
      </c>
      <c r="Y16" s="938">
        <v>-2</v>
      </c>
      <c r="Z16" s="146"/>
    </row>
    <row r="17" spans="1:26" x14ac:dyDescent="0.3">
      <c r="A17" s="425">
        <v>4</v>
      </c>
      <c r="B17" s="419" t="s">
        <v>2156</v>
      </c>
      <c r="C17" s="863">
        <f>HLOOKUP($C$4,$Q$11:$T$41,7,FALSE)</f>
        <v>30162</v>
      </c>
      <c r="D17" s="863">
        <f t="shared" si="1"/>
        <v>1085.8319999999999</v>
      </c>
      <c r="E17" s="863">
        <f t="shared" si="2"/>
        <v>31247.832000000002</v>
      </c>
      <c r="F17" s="863">
        <f t="shared" si="3"/>
        <v>3937.1748000000002</v>
      </c>
      <c r="G17" s="864">
        <f t="shared" si="4"/>
        <v>156.23916000000003</v>
      </c>
      <c r="H17" s="863">
        <f t="shared" si="5"/>
        <v>7430.7344496000005</v>
      </c>
      <c r="I17" s="862">
        <f t="shared" si="6"/>
        <v>42771.980409600001</v>
      </c>
      <c r="J17" s="943">
        <v>1560</v>
      </c>
      <c r="K17" s="942">
        <v>1</v>
      </c>
      <c r="L17" s="601">
        <f t="shared" si="0"/>
        <v>1560</v>
      </c>
      <c r="M17" s="592">
        <f t="shared" si="7"/>
        <v>27.42</v>
      </c>
      <c r="N17" s="417">
        <v>0.3</v>
      </c>
      <c r="O17" s="561">
        <v>0.6</v>
      </c>
      <c r="Q17" s="579">
        <v>30162</v>
      </c>
      <c r="R17" s="260">
        <v>36195</v>
      </c>
      <c r="S17" s="260">
        <v>34876</v>
      </c>
      <c r="T17" s="260">
        <v>31671</v>
      </c>
      <c r="U17" t="s">
        <v>2157</v>
      </c>
      <c r="X17" s="450" t="s">
        <v>2158</v>
      </c>
      <c r="Y17" s="938">
        <v>-10</v>
      </c>
      <c r="Z17" s="146"/>
    </row>
    <row r="18" spans="1:26" x14ac:dyDescent="0.3">
      <c r="A18" s="425">
        <v>5</v>
      </c>
      <c r="B18" s="419" t="s">
        <v>2159</v>
      </c>
      <c r="C18" s="863">
        <f>HLOOKUP($C$4,$Q$11:$T$41,8,FALSE)</f>
        <v>31049</v>
      </c>
      <c r="D18" s="863">
        <f t="shared" si="1"/>
        <v>1117.7639999999999</v>
      </c>
      <c r="E18" s="863">
        <f t="shared" si="2"/>
        <v>32166.763999999999</v>
      </c>
      <c r="F18" s="863">
        <f t="shared" si="3"/>
        <v>4075.0145999999995</v>
      </c>
      <c r="G18" s="864">
        <f t="shared" si="4"/>
        <v>160.83382</v>
      </c>
      <c r="H18" s="863">
        <f t="shared" si="5"/>
        <v>7649.2564792000003</v>
      </c>
      <c r="I18" s="862">
        <f t="shared" si="6"/>
        <v>44051.868899199995</v>
      </c>
      <c r="J18" s="943">
        <v>1560</v>
      </c>
      <c r="K18" s="942">
        <v>1</v>
      </c>
      <c r="L18" s="601">
        <f t="shared" si="0"/>
        <v>1560</v>
      </c>
      <c r="M18" s="592">
        <f t="shared" si="7"/>
        <v>28.24</v>
      </c>
      <c r="N18" s="417">
        <v>0.3</v>
      </c>
      <c r="O18" s="561">
        <v>0.6</v>
      </c>
      <c r="Q18" s="579">
        <v>31049</v>
      </c>
      <c r="R18" s="260">
        <v>37259</v>
      </c>
      <c r="S18" s="260">
        <v>35763</v>
      </c>
      <c r="T18" s="260">
        <v>32602</v>
      </c>
      <c r="X18" s="450"/>
      <c r="Y18" s="755">
        <v>208</v>
      </c>
      <c r="Z18" s="146"/>
    </row>
    <row r="19" spans="1:26" x14ac:dyDescent="0.3">
      <c r="A19" s="425">
        <v>5</v>
      </c>
      <c r="B19" s="419" t="s">
        <v>2160</v>
      </c>
      <c r="C19" s="863">
        <f>HLOOKUP($C$4,$Q$11:$T$41,9,FALSE)</f>
        <v>33487</v>
      </c>
      <c r="D19" s="863">
        <f t="shared" si="1"/>
        <v>1205.5319999999999</v>
      </c>
      <c r="E19" s="863">
        <f t="shared" si="2"/>
        <v>34692.531999999999</v>
      </c>
      <c r="F19" s="863">
        <f t="shared" si="3"/>
        <v>4453.8797999999997</v>
      </c>
      <c r="G19" s="864">
        <f t="shared" si="4"/>
        <v>173.46266</v>
      </c>
      <c r="H19" s="863">
        <f t="shared" si="5"/>
        <v>8249.8841095999996</v>
      </c>
      <c r="I19" s="862">
        <f t="shared" si="6"/>
        <v>47569.758569600002</v>
      </c>
      <c r="J19" s="943">
        <v>1560</v>
      </c>
      <c r="K19" s="942">
        <v>1</v>
      </c>
      <c r="L19" s="601">
        <f t="shared" si="0"/>
        <v>1560</v>
      </c>
      <c r="M19" s="592">
        <f t="shared" si="7"/>
        <v>30.49</v>
      </c>
      <c r="N19" s="417">
        <v>0.3</v>
      </c>
      <c r="O19" s="561">
        <v>0.6</v>
      </c>
      <c r="Q19" s="579">
        <v>33487</v>
      </c>
      <c r="R19" s="260">
        <v>40185</v>
      </c>
      <c r="S19" s="260">
        <v>38511</v>
      </c>
      <c r="T19" s="260">
        <v>35162</v>
      </c>
      <c r="X19" s="450" t="s">
        <v>2161</v>
      </c>
      <c r="Y19" s="321">
        <f>7.5*Y18</f>
        <v>1560</v>
      </c>
      <c r="Z19" s="146"/>
    </row>
    <row r="20" spans="1:26" x14ac:dyDescent="0.3">
      <c r="A20" s="425">
        <v>5</v>
      </c>
      <c r="B20" s="419" t="s">
        <v>2162</v>
      </c>
      <c r="C20" s="863">
        <f>HLOOKUP($C$4,$Q$11:$T$41,10,FALSE)</f>
        <v>37796</v>
      </c>
      <c r="D20" s="863">
        <f t="shared" si="1"/>
        <v>1360.6559999999999</v>
      </c>
      <c r="E20" s="863">
        <f t="shared" si="2"/>
        <v>39156.656000000003</v>
      </c>
      <c r="F20" s="863">
        <f t="shared" si="3"/>
        <v>5123.4984000000004</v>
      </c>
      <c r="G20" s="864">
        <f t="shared" si="4"/>
        <v>195.78328000000002</v>
      </c>
      <c r="H20" s="863">
        <f t="shared" si="5"/>
        <v>9311.4527968000002</v>
      </c>
      <c r="I20" s="862">
        <f t="shared" si="6"/>
        <v>53787.390476800007</v>
      </c>
      <c r="J20" s="943">
        <v>1560</v>
      </c>
      <c r="K20" s="942">
        <v>1</v>
      </c>
      <c r="L20" s="601">
        <f t="shared" si="0"/>
        <v>1560</v>
      </c>
      <c r="M20" s="592">
        <f t="shared" si="7"/>
        <v>34.479999999999997</v>
      </c>
      <c r="N20" s="417">
        <v>0.3</v>
      </c>
      <c r="O20" s="561">
        <v>0.6</v>
      </c>
      <c r="Q20" s="579">
        <v>37796</v>
      </c>
      <c r="R20" s="260">
        <v>45356</v>
      </c>
      <c r="S20" s="260">
        <v>43466</v>
      </c>
      <c r="T20" s="260">
        <v>39686</v>
      </c>
      <c r="X20" s="147"/>
      <c r="Z20" s="146"/>
    </row>
    <row r="21" spans="1:26" x14ac:dyDescent="0.3">
      <c r="A21" s="425">
        <v>6</v>
      </c>
      <c r="B21" s="419" t="s">
        <v>2163</v>
      </c>
      <c r="C21" s="863">
        <f>HLOOKUP($C$4,$Q$11:$T$41,11,FALSE)</f>
        <v>38682</v>
      </c>
      <c r="D21" s="863">
        <f t="shared" si="1"/>
        <v>1392.5519999999999</v>
      </c>
      <c r="E21" s="863">
        <f t="shared" si="2"/>
        <v>40074.552000000003</v>
      </c>
      <c r="F21" s="863">
        <f t="shared" si="3"/>
        <v>5261.1828000000005</v>
      </c>
      <c r="G21" s="864">
        <f t="shared" si="4"/>
        <v>200.37276000000003</v>
      </c>
      <c r="H21" s="863">
        <f t="shared" si="5"/>
        <v>9529.7284656000011</v>
      </c>
      <c r="I21" s="862">
        <f t="shared" si="6"/>
        <v>55065.836025600001</v>
      </c>
      <c r="J21" s="943">
        <v>1560</v>
      </c>
      <c r="K21" s="942">
        <v>1</v>
      </c>
      <c r="L21" s="601">
        <f t="shared" si="0"/>
        <v>1560</v>
      </c>
      <c r="M21" s="592">
        <f t="shared" si="7"/>
        <v>35.299999999999997</v>
      </c>
      <c r="N21" s="417">
        <v>0.3</v>
      </c>
      <c r="O21" s="561">
        <v>0.6</v>
      </c>
      <c r="Q21" s="579">
        <v>38682</v>
      </c>
      <c r="R21" s="260">
        <v>46419</v>
      </c>
      <c r="S21" s="260">
        <v>44485</v>
      </c>
      <c r="T21" s="260">
        <v>40617</v>
      </c>
      <c r="X21" s="450"/>
      <c r="Z21" s="146"/>
    </row>
    <row r="22" spans="1:26" x14ac:dyDescent="0.3">
      <c r="A22" s="425">
        <v>6</v>
      </c>
      <c r="B22" s="419" t="s">
        <v>1975</v>
      </c>
      <c r="C22" s="863">
        <f>HLOOKUP($C$4,$Q$11:$T$41,12,FALSE)</f>
        <v>40823</v>
      </c>
      <c r="D22" s="863">
        <f t="shared" si="1"/>
        <v>1469.6279999999999</v>
      </c>
      <c r="E22" s="863">
        <f t="shared" si="2"/>
        <v>42292.628000000004</v>
      </c>
      <c r="F22" s="863">
        <f t="shared" si="3"/>
        <v>5593.8942000000006</v>
      </c>
      <c r="G22" s="864">
        <f t="shared" si="4"/>
        <v>211.46314000000004</v>
      </c>
      <c r="H22" s="863">
        <f t="shared" si="5"/>
        <v>10057.186938400002</v>
      </c>
      <c r="I22" s="862">
        <f t="shared" si="6"/>
        <v>58155.172278400009</v>
      </c>
      <c r="J22" s="943">
        <v>1560</v>
      </c>
      <c r="K22" s="942">
        <v>1</v>
      </c>
      <c r="L22" s="601">
        <f t="shared" si="0"/>
        <v>1560</v>
      </c>
      <c r="M22" s="592">
        <f t="shared" si="7"/>
        <v>37.28</v>
      </c>
      <c r="N22" s="417">
        <v>0.3</v>
      </c>
      <c r="O22" s="561">
        <v>0.6</v>
      </c>
      <c r="Q22" s="579">
        <v>40823</v>
      </c>
      <c r="R22" s="260">
        <v>48988</v>
      </c>
      <c r="S22" s="260">
        <v>46764</v>
      </c>
      <c r="T22" s="260">
        <v>42865</v>
      </c>
      <c r="X22" s="449" t="s">
        <v>2164</v>
      </c>
      <c r="Z22" s="146"/>
    </row>
    <row r="23" spans="1:26" x14ac:dyDescent="0.3">
      <c r="A23" s="425">
        <v>6</v>
      </c>
      <c r="B23" s="419" t="s">
        <v>2165</v>
      </c>
      <c r="C23" s="863">
        <f>HLOOKUP($C$4,$Q$11:$T$41,13,FALSE)</f>
        <v>46580</v>
      </c>
      <c r="D23" s="863">
        <f t="shared" si="1"/>
        <v>1676.8799999999999</v>
      </c>
      <c r="E23" s="863">
        <f t="shared" si="2"/>
        <v>48256.880000000005</v>
      </c>
      <c r="F23" s="863">
        <f t="shared" si="3"/>
        <v>6488.5320000000002</v>
      </c>
      <c r="G23" s="864">
        <f t="shared" si="4"/>
        <v>241.28440000000003</v>
      </c>
      <c r="H23" s="863">
        <f t="shared" si="5"/>
        <v>11475.486064000002</v>
      </c>
      <c r="I23" s="862">
        <f t="shared" si="6"/>
        <v>66462.182463999998</v>
      </c>
      <c r="J23" s="943">
        <v>1560</v>
      </c>
      <c r="K23" s="942">
        <v>1</v>
      </c>
      <c r="L23" s="601">
        <f t="shared" si="0"/>
        <v>1560</v>
      </c>
      <c r="M23" s="592">
        <f t="shared" si="7"/>
        <v>42.6</v>
      </c>
      <c r="N23" s="417">
        <v>0.3</v>
      </c>
      <c r="O23" s="561">
        <v>0.6</v>
      </c>
      <c r="Q23" s="579">
        <v>46580</v>
      </c>
      <c r="R23" s="260">
        <v>55046</v>
      </c>
      <c r="S23" s="260">
        <v>52521</v>
      </c>
      <c r="T23" s="260">
        <v>48778</v>
      </c>
      <c r="X23" s="450" t="s">
        <v>2166</v>
      </c>
      <c r="Y23" s="938">
        <v>43</v>
      </c>
      <c r="Z23" s="146"/>
    </row>
    <row r="24" spans="1:26" x14ac:dyDescent="0.3">
      <c r="A24" s="425">
        <v>7</v>
      </c>
      <c r="B24" s="419" t="s">
        <v>2167</v>
      </c>
      <c r="C24" s="863">
        <f>HLOOKUP($C$4,$Q$11:$T$41,14,FALSE)</f>
        <v>47810</v>
      </c>
      <c r="D24" s="863">
        <f t="shared" si="1"/>
        <v>1721.1599999999999</v>
      </c>
      <c r="E24" s="863">
        <f t="shared" si="2"/>
        <v>49531.16</v>
      </c>
      <c r="F24" s="863">
        <f t="shared" si="3"/>
        <v>6679.674</v>
      </c>
      <c r="G24" s="864">
        <f t="shared" si="4"/>
        <v>247.65580000000003</v>
      </c>
      <c r="H24" s="863">
        <f t="shared" si="5"/>
        <v>11778.509848000002</v>
      </c>
      <c r="I24" s="862">
        <f t="shared" si="6"/>
        <v>68236.999647999997</v>
      </c>
      <c r="J24" s="943">
        <v>1560</v>
      </c>
      <c r="K24" s="942">
        <v>1</v>
      </c>
      <c r="L24" s="601">
        <f t="shared" si="0"/>
        <v>1560</v>
      </c>
      <c r="M24" s="592">
        <f t="shared" si="7"/>
        <v>43.74</v>
      </c>
      <c r="N24" s="417">
        <v>0.3</v>
      </c>
      <c r="O24" s="561">
        <v>0.6</v>
      </c>
      <c r="Q24" s="579">
        <v>47810</v>
      </c>
      <c r="R24" s="260">
        <v>56276</v>
      </c>
      <c r="S24" s="260">
        <v>53751</v>
      </c>
      <c r="T24" s="260">
        <v>50008</v>
      </c>
      <c r="X24" s="450"/>
      <c r="Y24" s="938"/>
      <c r="Z24" s="146"/>
    </row>
    <row r="25" spans="1:26" x14ac:dyDescent="0.3">
      <c r="A25" s="425">
        <v>7</v>
      </c>
      <c r="B25" s="419" t="s">
        <v>1963</v>
      </c>
      <c r="C25" s="863">
        <f>HLOOKUP($C$4,$Q$11:$T$41,15,FALSE)</f>
        <v>50273</v>
      </c>
      <c r="D25" s="863">
        <f t="shared" si="1"/>
        <v>1809.828</v>
      </c>
      <c r="E25" s="863">
        <f t="shared" si="2"/>
        <v>52082.828000000001</v>
      </c>
      <c r="F25" s="863">
        <f t="shared" si="3"/>
        <v>7062.4242000000004</v>
      </c>
      <c r="G25" s="864">
        <f t="shared" si="4"/>
        <v>260.41414000000003</v>
      </c>
      <c r="H25" s="863">
        <f t="shared" si="5"/>
        <v>12385.296498400001</v>
      </c>
      <c r="I25" s="862">
        <f t="shared" si="6"/>
        <v>71790.96283840001</v>
      </c>
      <c r="J25" s="943">
        <v>1560</v>
      </c>
      <c r="K25" s="942">
        <v>1</v>
      </c>
      <c r="L25" s="601">
        <f t="shared" si="0"/>
        <v>1560</v>
      </c>
      <c r="M25" s="592">
        <f t="shared" si="7"/>
        <v>46.02</v>
      </c>
      <c r="N25" s="417">
        <v>0.3</v>
      </c>
      <c r="O25" s="561">
        <v>0.6</v>
      </c>
      <c r="Q25" s="579">
        <v>50273</v>
      </c>
      <c r="R25" s="260">
        <v>58739</v>
      </c>
      <c r="S25" s="260">
        <v>56214</v>
      </c>
      <c r="T25" s="260">
        <v>52471</v>
      </c>
      <c r="X25" s="450" t="s">
        <v>2168</v>
      </c>
      <c r="Y25" s="938">
        <v>10</v>
      </c>
      <c r="Z25" s="146"/>
    </row>
    <row r="26" spans="1:26" x14ac:dyDescent="0.3">
      <c r="A26" s="425">
        <v>7</v>
      </c>
      <c r="B26" s="419" t="s">
        <v>2169</v>
      </c>
      <c r="C26" s="863">
        <f>HLOOKUP($C$4,$Q$11:$T$41,16,FALSE)</f>
        <v>54710</v>
      </c>
      <c r="D26" s="863">
        <f t="shared" si="1"/>
        <v>1969.56</v>
      </c>
      <c r="E26" s="863">
        <f t="shared" si="2"/>
        <v>56679.560000000005</v>
      </c>
      <c r="F26" s="863">
        <f t="shared" si="3"/>
        <v>7751.9340000000002</v>
      </c>
      <c r="G26" s="864">
        <f t="shared" si="4"/>
        <v>283.39780000000002</v>
      </c>
      <c r="H26" s="863">
        <f t="shared" si="5"/>
        <v>13478.399368000002</v>
      </c>
      <c r="I26" s="862">
        <f t="shared" si="6"/>
        <v>78193.291168000011</v>
      </c>
      <c r="J26" s="943">
        <v>1560</v>
      </c>
      <c r="K26" s="942">
        <v>1</v>
      </c>
      <c r="L26" s="601">
        <f t="shared" si="0"/>
        <v>1560</v>
      </c>
      <c r="M26" s="592">
        <f t="shared" si="7"/>
        <v>50.12</v>
      </c>
      <c r="N26" s="417">
        <v>0.3</v>
      </c>
      <c r="O26" s="561">
        <v>0.6</v>
      </c>
      <c r="Q26" s="579">
        <v>54710</v>
      </c>
      <c r="R26" s="260">
        <v>63176</v>
      </c>
      <c r="S26" s="260">
        <v>60651</v>
      </c>
      <c r="T26" s="260">
        <v>56908</v>
      </c>
      <c r="X26" s="450" t="s">
        <v>2170</v>
      </c>
      <c r="Y26" s="938">
        <v>-2</v>
      </c>
      <c r="Z26" s="146"/>
    </row>
    <row r="27" spans="1:26" x14ac:dyDescent="0.3">
      <c r="A27" s="425" t="s">
        <v>2171</v>
      </c>
      <c r="B27" s="419" t="s">
        <v>1969</v>
      </c>
      <c r="C27" s="863">
        <f>HLOOKUP($C$4,$Q$11:$T$41,17,FALSE)</f>
        <v>55690</v>
      </c>
      <c r="D27" s="863">
        <f t="shared" si="1"/>
        <v>2004.84</v>
      </c>
      <c r="E27" s="863">
        <f t="shared" si="2"/>
        <v>57694.840000000004</v>
      </c>
      <c r="F27" s="863">
        <f t="shared" si="3"/>
        <v>7904.2260000000006</v>
      </c>
      <c r="G27" s="864">
        <f t="shared" si="4"/>
        <v>288.47420000000005</v>
      </c>
      <c r="H27" s="863">
        <f t="shared" si="5"/>
        <v>13719.832952000001</v>
      </c>
      <c r="I27" s="862">
        <f t="shared" si="6"/>
        <v>79607.373152</v>
      </c>
      <c r="J27" s="943">
        <v>1560</v>
      </c>
      <c r="K27" s="942">
        <v>1</v>
      </c>
      <c r="L27" s="601">
        <f t="shared" si="0"/>
        <v>1560</v>
      </c>
      <c r="M27" s="592">
        <f t="shared" si="7"/>
        <v>51.03</v>
      </c>
      <c r="N27" s="417">
        <v>0.3</v>
      </c>
      <c r="O27" s="561">
        <v>0.6</v>
      </c>
      <c r="Q27" s="579">
        <v>55690</v>
      </c>
      <c r="R27" s="260">
        <v>64156</v>
      </c>
      <c r="S27" s="260">
        <v>61631</v>
      </c>
      <c r="T27" s="260">
        <v>57888</v>
      </c>
      <c r="X27" s="450"/>
      <c r="Y27" s="755">
        <v>8</v>
      </c>
      <c r="Z27" s="146"/>
    </row>
    <row r="28" spans="1:26" x14ac:dyDescent="0.3">
      <c r="A28" s="425" t="s">
        <v>2171</v>
      </c>
      <c r="B28" s="419" t="s">
        <v>1977</v>
      </c>
      <c r="C28" s="863">
        <f>HLOOKUP($C$4,$Q$11:$T$41,18,FALSE)</f>
        <v>58487</v>
      </c>
      <c r="D28" s="863">
        <f t="shared" si="1"/>
        <v>2105.5319999999997</v>
      </c>
      <c r="E28" s="863">
        <f t="shared" si="2"/>
        <v>60592.531999999999</v>
      </c>
      <c r="F28" s="863">
        <f t="shared" si="3"/>
        <v>8338.8797999999988</v>
      </c>
      <c r="G28" s="864">
        <f t="shared" si="4"/>
        <v>302.96266000000003</v>
      </c>
      <c r="H28" s="863">
        <f t="shared" si="5"/>
        <v>14408.9041096</v>
      </c>
      <c r="I28" s="862">
        <f t="shared" si="6"/>
        <v>83643.278569600006</v>
      </c>
      <c r="J28" s="943">
        <v>1560</v>
      </c>
      <c r="K28" s="942">
        <v>1</v>
      </c>
      <c r="L28" s="601">
        <f t="shared" si="0"/>
        <v>1560</v>
      </c>
      <c r="M28" s="592">
        <f t="shared" si="7"/>
        <v>53.62</v>
      </c>
      <c r="N28" s="417">
        <v>0.3</v>
      </c>
      <c r="O28" s="561">
        <v>0.6</v>
      </c>
      <c r="Q28" s="579">
        <v>58487</v>
      </c>
      <c r="R28" s="260">
        <v>66953</v>
      </c>
      <c r="S28" s="260">
        <v>64428</v>
      </c>
      <c r="T28" s="260">
        <v>60685</v>
      </c>
      <c r="X28" s="450" t="s">
        <v>2172</v>
      </c>
      <c r="Y28" s="321">
        <f>Y27*4*Y23</f>
        <v>1376</v>
      </c>
      <c r="Z28" s="146"/>
    </row>
    <row r="29" spans="1:26" x14ac:dyDescent="0.3">
      <c r="A29" s="425" t="s">
        <v>2171</v>
      </c>
      <c r="B29" s="419" t="s">
        <v>2173</v>
      </c>
      <c r="C29" s="863">
        <f>HLOOKUP($C$4,$Q$11:$T$41,19,FALSE)</f>
        <v>62682</v>
      </c>
      <c r="D29" s="863">
        <f t="shared" si="1"/>
        <v>2256.5519999999997</v>
      </c>
      <c r="E29" s="863">
        <f t="shared" si="2"/>
        <v>64938.552000000003</v>
      </c>
      <c r="F29" s="863">
        <f t="shared" si="3"/>
        <v>8990.7828000000009</v>
      </c>
      <c r="G29" s="864">
        <f t="shared" si="4"/>
        <v>324.69276000000002</v>
      </c>
      <c r="H29" s="863">
        <f t="shared" si="5"/>
        <v>15442.387665600001</v>
      </c>
      <c r="I29" s="862">
        <f t="shared" si="6"/>
        <v>89696.415225600023</v>
      </c>
      <c r="J29" s="943">
        <v>1560</v>
      </c>
      <c r="K29" s="942">
        <v>1</v>
      </c>
      <c r="L29" s="601">
        <f t="shared" si="0"/>
        <v>1560</v>
      </c>
      <c r="M29" s="592">
        <f t="shared" si="7"/>
        <v>57.5</v>
      </c>
      <c r="N29" s="417">
        <v>0.3</v>
      </c>
      <c r="O29" s="561">
        <v>0.6</v>
      </c>
      <c r="Q29" s="579">
        <v>62682</v>
      </c>
      <c r="R29" s="260">
        <v>71148</v>
      </c>
      <c r="S29" s="260">
        <v>68623</v>
      </c>
      <c r="T29" s="260">
        <v>64880</v>
      </c>
      <c r="X29" s="147"/>
      <c r="Z29" s="146"/>
    </row>
    <row r="30" spans="1:26" x14ac:dyDescent="0.3">
      <c r="A30" s="425" t="s">
        <v>2174</v>
      </c>
      <c r="B30" s="419" t="s">
        <v>2175</v>
      </c>
      <c r="C30" s="863">
        <f>HLOOKUP($C$4,$Q$11:$T$41,20,FALSE)</f>
        <v>64455</v>
      </c>
      <c r="D30" s="863">
        <f t="shared" si="1"/>
        <v>2320.3799999999997</v>
      </c>
      <c r="E30" s="863">
        <f t="shared" si="2"/>
        <v>66775.38</v>
      </c>
      <c r="F30" s="863">
        <f t="shared" si="3"/>
        <v>9266.3070000000007</v>
      </c>
      <c r="G30" s="864">
        <f t="shared" si="4"/>
        <v>333.87690000000003</v>
      </c>
      <c r="H30" s="863">
        <f t="shared" si="5"/>
        <v>15879.185364000003</v>
      </c>
      <c r="I30" s="862">
        <f t="shared" si="6"/>
        <v>92254.749264000013</v>
      </c>
      <c r="J30" s="943">
        <v>1560</v>
      </c>
      <c r="K30" s="942">
        <v>1</v>
      </c>
      <c r="L30" s="601">
        <f t="shared" si="0"/>
        <v>1560</v>
      </c>
      <c r="M30" s="592">
        <f t="shared" si="7"/>
        <v>59.14</v>
      </c>
      <c r="N30" s="417">
        <v>0.3</v>
      </c>
      <c r="O30" s="561">
        <v>0.6</v>
      </c>
      <c r="Q30" s="579">
        <v>64455</v>
      </c>
      <c r="R30" s="260">
        <v>72921</v>
      </c>
      <c r="S30" s="260">
        <v>70396</v>
      </c>
      <c r="T30" s="260">
        <v>66653</v>
      </c>
      <c r="X30" s="450"/>
      <c r="Z30" s="146"/>
    </row>
    <row r="31" spans="1:26" x14ac:dyDescent="0.3">
      <c r="A31" s="425" t="s">
        <v>2174</v>
      </c>
      <c r="B31" s="419" t="s">
        <v>2176</v>
      </c>
      <c r="C31" s="863">
        <f>HLOOKUP($C$4,$Q$11:$T$41,21,FALSE)</f>
        <v>68631</v>
      </c>
      <c r="D31" s="863">
        <f t="shared" si="1"/>
        <v>2470.7159999999999</v>
      </c>
      <c r="E31" s="863">
        <f t="shared" si="2"/>
        <v>71101.716</v>
      </c>
      <c r="F31" s="863">
        <f t="shared" si="3"/>
        <v>9915.2574000000004</v>
      </c>
      <c r="G31" s="864">
        <f t="shared" si="4"/>
        <v>355.50857999999999</v>
      </c>
      <c r="H31" s="863">
        <f t="shared" si="5"/>
        <v>16907.9880648</v>
      </c>
      <c r="I31" s="862">
        <f t="shared" si="6"/>
        <v>98280.470044799993</v>
      </c>
      <c r="J31" s="943">
        <v>1560</v>
      </c>
      <c r="K31" s="942">
        <v>1</v>
      </c>
      <c r="L31" s="601">
        <f t="shared" si="0"/>
        <v>1560</v>
      </c>
      <c r="M31" s="592">
        <f t="shared" si="7"/>
        <v>63</v>
      </c>
      <c r="N31" s="417">
        <v>0.3</v>
      </c>
      <c r="O31" s="561">
        <v>0.6</v>
      </c>
      <c r="Q31" s="579">
        <v>68631</v>
      </c>
      <c r="R31" s="260">
        <v>77097</v>
      </c>
      <c r="S31" s="260">
        <v>74572</v>
      </c>
      <c r="T31" s="260">
        <v>70829</v>
      </c>
      <c r="X31" s="449" t="s">
        <v>2177</v>
      </c>
      <c r="Z31" s="146"/>
    </row>
    <row r="32" spans="1:26" x14ac:dyDescent="0.3">
      <c r="A32" s="425" t="s">
        <v>2174</v>
      </c>
      <c r="B32" s="419" t="s">
        <v>2178</v>
      </c>
      <c r="C32" s="863">
        <f>HLOOKUP($C$4,$Q$11:$T$41,22,FALSE)</f>
        <v>74896</v>
      </c>
      <c r="D32" s="863">
        <f t="shared" si="1"/>
        <v>2696.2559999999999</v>
      </c>
      <c r="E32" s="863">
        <f t="shared" si="2"/>
        <v>77592.256000000008</v>
      </c>
      <c r="F32" s="863">
        <f t="shared" si="3"/>
        <v>10888.838400000001</v>
      </c>
      <c r="G32" s="864">
        <f t="shared" si="4"/>
        <v>387.96128000000004</v>
      </c>
      <c r="H32" s="863">
        <f t="shared" si="5"/>
        <v>18451.438476800002</v>
      </c>
      <c r="I32" s="862">
        <f t="shared" si="6"/>
        <v>107320.49415680001</v>
      </c>
      <c r="J32" s="943">
        <v>1560</v>
      </c>
      <c r="K32" s="942">
        <v>1</v>
      </c>
      <c r="L32" s="601">
        <f t="shared" si="0"/>
        <v>1560</v>
      </c>
      <c r="M32" s="592">
        <f t="shared" si="7"/>
        <v>68.8</v>
      </c>
      <c r="N32" s="417">
        <v>0.3</v>
      </c>
      <c r="O32" s="561">
        <v>0.6</v>
      </c>
      <c r="Q32" s="579">
        <v>74896</v>
      </c>
      <c r="R32" s="260">
        <v>83362</v>
      </c>
      <c r="S32" s="260">
        <v>80837</v>
      </c>
      <c r="T32" s="260">
        <v>77094</v>
      </c>
      <c r="X32" s="450" t="s">
        <v>2179</v>
      </c>
      <c r="Y32" s="938">
        <v>44.7</v>
      </c>
      <c r="Z32" s="146"/>
    </row>
    <row r="33" spans="1:26" x14ac:dyDescent="0.3">
      <c r="A33" s="425" t="s">
        <v>2180</v>
      </c>
      <c r="B33" s="419" t="s">
        <v>2181</v>
      </c>
      <c r="C33" s="863">
        <f>HLOOKUP($C$4,$Q$11:$T$41,23,FALSE)</f>
        <v>76965</v>
      </c>
      <c r="D33" s="863">
        <f t="shared" si="1"/>
        <v>2770.74</v>
      </c>
      <c r="E33" s="863">
        <f t="shared" si="2"/>
        <v>79735.740000000005</v>
      </c>
      <c r="F33" s="863">
        <f t="shared" si="3"/>
        <v>11210.361000000001</v>
      </c>
      <c r="G33" s="864">
        <f t="shared" si="4"/>
        <v>398.67870000000005</v>
      </c>
      <c r="H33" s="863">
        <f t="shared" si="5"/>
        <v>18961.158972000001</v>
      </c>
      <c r="I33" s="862">
        <f t="shared" si="6"/>
        <v>110305.93867200002</v>
      </c>
      <c r="J33" s="943">
        <v>1560</v>
      </c>
      <c r="K33" s="942">
        <v>1</v>
      </c>
      <c r="L33" s="601">
        <f t="shared" si="0"/>
        <v>1560</v>
      </c>
      <c r="M33" s="592">
        <f t="shared" si="7"/>
        <v>70.709999999999994</v>
      </c>
      <c r="N33" s="417">
        <v>0.3</v>
      </c>
      <c r="O33" s="561">
        <v>0.6</v>
      </c>
      <c r="Q33" s="579">
        <v>76965</v>
      </c>
      <c r="R33" s="260">
        <v>85431</v>
      </c>
      <c r="S33" s="260">
        <v>82906</v>
      </c>
      <c r="T33" s="260">
        <v>79163</v>
      </c>
      <c r="X33" s="450" t="s">
        <v>2182</v>
      </c>
      <c r="Y33" s="938">
        <v>48</v>
      </c>
      <c r="Z33" s="146"/>
    </row>
    <row r="34" spans="1:26" x14ac:dyDescent="0.3">
      <c r="A34" s="425" t="s">
        <v>2180</v>
      </c>
      <c r="B34" s="419" t="s">
        <v>2183</v>
      </c>
      <c r="C34" s="863">
        <f>HLOOKUP($C$4,$Q$11:$T$41,24,FALSE)</f>
        <v>81652</v>
      </c>
      <c r="D34" s="863">
        <f t="shared" si="1"/>
        <v>2939.4719999999998</v>
      </c>
      <c r="E34" s="863">
        <f t="shared" si="2"/>
        <v>84591.472000000009</v>
      </c>
      <c r="F34" s="863">
        <f t="shared" si="3"/>
        <v>11938.720800000001</v>
      </c>
      <c r="G34" s="864">
        <f t="shared" si="4"/>
        <v>422.95736000000005</v>
      </c>
      <c r="H34" s="863">
        <f t="shared" si="5"/>
        <v>20115.852041600003</v>
      </c>
      <c r="I34" s="862">
        <f t="shared" si="6"/>
        <v>117069.0022016</v>
      </c>
      <c r="J34" s="943">
        <v>1560</v>
      </c>
      <c r="K34" s="942">
        <v>1</v>
      </c>
      <c r="L34" s="601">
        <f t="shared" si="0"/>
        <v>1560</v>
      </c>
      <c r="M34" s="592">
        <f t="shared" si="7"/>
        <v>75.040000000000006</v>
      </c>
      <c r="N34" s="417">
        <v>0.3</v>
      </c>
      <c r="O34" s="561">
        <v>0.6</v>
      </c>
      <c r="Q34" s="579">
        <v>81652</v>
      </c>
      <c r="R34" s="260">
        <v>90118</v>
      </c>
      <c r="S34" s="260">
        <v>87593</v>
      </c>
      <c r="T34" s="260">
        <v>83850</v>
      </c>
      <c r="X34" s="450" t="s">
        <v>2184</v>
      </c>
      <c r="Y34" s="938">
        <v>2145.6</v>
      </c>
      <c r="Z34" s="146"/>
    </row>
    <row r="35" spans="1:26" x14ac:dyDescent="0.3">
      <c r="A35" s="425" t="s">
        <v>2180</v>
      </c>
      <c r="B35" s="419" t="s">
        <v>2185</v>
      </c>
      <c r="C35" s="863">
        <f>HLOOKUP($C$4,$Q$11:$T$41,25,FALSE)</f>
        <v>88682</v>
      </c>
      <c r="D35" s="863">
        <f t="shared" si="1"/>
        <v>3192.5519999999997</v>
      </c>
      <c r="E35" s="863">
        <f t="shared" si="2"/>
        <v>91874.551999999996</v>
      </c>
      <c r="F35" s="863">
        <f t="shared" si="3"/>
        <v>13031.182799999999</v>
      </c>
      <c r="G35" s="864">
        <f t="shared" si="4"/>
        <v>459.37275999999997</v>
      </c>
      <c r="H35" s="863">
        <f t="shared" si="5"/>
        <v>21847.768465599998</v>
      </c>
      <c r="I35" s="862">
        <f t="shared" si="6"/>
        <v>127212.87602559998</v>
      </c>
      <c r="J35" s="943">
        <v>1560</v>
      </c>
      <c r="K35" s="942">
        <v>1</v>
      </c>
      <c r="L35" s="601">
        <f t="shared" si="0"/>
        <v>1560</v>
      </c>
      <c r="M35" s="592">
        <f t="shared" si="7"/>
        <v>81.55</v>
      </c>
      <c r="N35" s="417">
        <v>0.3</v>
      </c>
      <c r="O35" s="561">
        <v>0.6</v>
      </c>
      <c r="Q35" s="579">
        <v>88682</v>
      </c>
      <c r="R35" s="260">
        <v>97148</v>
      </c>
      <c r="S35" s="260">
        <v>94623</v>
      </c>
      <c r="T35" s="260">
        <v>90880</v>
      </c>
      <c r="X35" s="450" t="s">
        <v>2186</v>
      </c>
      <c r="Y35" s="940">
        <v>0.6</v>
      </c>
      <c r="Z35" s="146"/>
    </row>
    <row r="36" spans="1:26" x14ac:dyDescent="0.3">
      <c r="A36" s="425" t="s">
        <v>2187</v>
      </c>
      <c r="B36" s="419" t="s">
        <v>2188</v>
      </c>
      <c r="C36" s="863">
        <f>HLOOKUP($C$4,$Q$11:$T$41,26,FALSE)</f>
        <v>91342</v>
      </c>
      <c r="D36" s="863">
        <f t="shared" si="1"/>
        <v>3288.3119999999999</v>
      </c>
      <c r="E36" s="863">
        <f t="shared" si="2"/>
        <v>94630.312000000005</v>
      </c>
      <c r="F36" s="863">
        <f t="shared" si="3"/>
        <v>13444.5468</v>
      </c>
      <c r="G36" s="864">
        <f t="shared" si="4"/>
        <v>473.15156000000002</v>
      </c>
      <c r="H36" s="863">
        <f t="shared" si="5"/>
        <v>22503.088193600004</v>
      </c>
      <c r="I36" s="862">
        <f t="shared" si="6"/>
        <v>131051.09855360001</v>
      </c>
      <c r="J36" s="943">
        <v>1560</v>
      </c>
      <c r="K36" s="942">
        <v>1</v>
      </c>
      <c r="L36" s="601">
        <f t="shared" si="0"/>
        <v>1560</v>
      </c>
      <c r="M36" s="592">
        <f t="shared" si="7"/>
        <v>84.01</v>
      </c>
      <c r="N36" s="417">
        <v>0.3</v>
      </c>
      <c r="O36" s="561">
        <v>0.6</v>
      </c>
      <c r="Q36" s="579">
        <v>91342</v>
      </c>
      <c r="R36" s="260">
        <v>99808</v>
      </c>
      <c r="S36" s="260">
        <v>97283</v>
      </c>
      <c r="T36" s="260">
        <v>93540</v>
      </c>
      <c r="X36" s="450" t="s">
        <v>2189</v>
      </c>
      <c r="Y36" s="848">
        <f>ROUND(Y35*Y34,0)</f>
        <v>1287</v>
      </c>
      <c r="Z36" s="146"/>
    </row>
    <row r="37" spans="1:26" x14ac:dyDescent="0.3">
      <c r="A37" s="425" t="s">
        <v>2187</v>
      </c>
      <c r="B37" s="419" t="s">
        <v>2190</v>
      </c>
      <c r="C37" s="863">
        <f>HLOOKUP($C$4,$Q$11:$T$41,27,FALSE)</f>
        <v>96941</v>
      </c>
      <c r="D37" s="863">
        <f t="shared" si="1"/>
        <v>3489.8759999999997</v>
      </c>
      <c r="E37" s="863">
        <f t="shared" si="2"/>
        <v>100430.876</v>
      </c>
      <c r="F37" s="863">
        <f t="shared" si="3"/>
        <v>14314.6314</v>
      </c>
      <c r="G37" s="864">
        <f t="shared" si="4"/>
        <v>502.15438</v>
      </c>
      <c r="H37" s="863">
        <f t="shared" si="5"/>
        <v>23882.462312800002</v>
      </c>
      <c r="I37" s="862">
        <f t="shared" si="6"/>
        <v>139130.12409280002</v>
      </c>
      <c r="J37" s="943">
        <v>1560</v>
      </c>
      <c r="K37" s="942">
        <v>1</v>
      </c>
      <c r="L37" s="601">
        <f t="shared" si="0"/>
        <v>1560</v>
      </c>
      <c r="M37" s="592">
        <f t="shared" si="7"/>
        <v>89.19</v>
      </c>
      <c r="N37" s="417">
        <v>0.3</v>
      </c>
      <c r="O37" s="561">
        <v>0.6</v>
      </c>
      <c r="Q37" s="579">
        <v>96941</v>
      </c>
      <c r="R37" s="260">
        <v>105407</v>
      </c>
      <c r="S37" s="260">
        <v>102882</v>
      </c>
      <c r="T37" s="260">
        <v>99139</v>
      </c>
      <c r="X37" s="148"/>
      <c r="Y37" s="149"/>
      <c r="Z37" s="150"/>
    </row>
    <row r="38" spans="1:26" x14ac:dyDescent="0.3">
      <c r="A38" s="425" t="s">
        <v>2187</v>
      </c>
      <c r="B38" s="419" t="s">
        <v>2191</v>
      </c>
      <c r="C38" s="863">
        <f>HLOOKUP($C$4,$Q$11:$T$41,28,FALSE)</f>
        <v>105337</v>
      </c>
      <c r="D38" s="863">
        <f t="shared" si="1"/>
        <v>3792.1319999999996</v>
      </c>
      <c r="E38" s="863">
        <f t="shared" si="2"/>
        <v>109129.132</v>
      </c>
      <c r="F38" s="863">
        <f t="shared" si="3"/>
        <v>15619.369799999999</v>
      </c>
      <c r="G38" s="864">
        <f t="shared" si="4"/>
        <v>545.64566000000002</v>
      </c>
      <c r="H38" s="863">
        <f t="shared" si="5"/>
        <v>25950.907589599999</v>
      </c>
      <c r="I38" s="862">
        <f t="shared" si="6"/>
        <v>151245.05504959999</v>
      </c>
      <c r="J38" s="943">
        <v>1560</v>
      </c>
      <c r="K38" s="942">
        <v>1</v>
      </c>
      <c r="L38" s="601">
        <f t="shared" si="0"/>
        <v>1560</v>
      </c>
      <c r="M38" s="592">
        <f t="shared" si="7"/>
        <v>96.95</v>
      </c>
      <c r="N38" s="417">
        <v>0.3</v>
      </c>
      <c r="O38" s="561">
        <v>0.6</v>
      </c>
      <c r="Q38" s="579">
        <v>105337</v>
      </c>
      <c r="R38" s="260">
        <v>113803</v>
      </c>
      <c r="S38" s="260">
        <v>111278</v>
      </c>
      <c r="T38" s="260">
        <v>107535</v>
      </c>
    </row>
    <row r="39" spans="1:26" x14ac:dyDescent="0.3">
      <c r="A39" s="425">
        <v>9</v>
      </c>
      <c r="B39" s="419" t="s">
        <v>2192</v>
      </c>
      <c r="C39" s="863">
        <f>HLOOKUP($C$4,$Q$11:$T$41,29,FALSE)</f>
        <v>109179</v>
      </c>
      <c r="D39" s="863">
        <f t="shared" si="1"/>
        <v>3930.4439999999995</v>
      </c>
      <c r="E39" s="863">
        <f t="shared" si="2"/>
        <v>113109.444</v>
      </c>
      <c r="F39" s="863">
        <f t="shared" si="3"/>
        <v>16216.4166</v>
      </c>
      <c r="G39" s="864">
        <f t="shared" si="4"/>
        <v>565.54722000000004</v>
      </c>
      <c r="H39" s="863">
        <f t="shared" si="5"/>
        <v>26897.4257832</v>
      </c>
      <c r="I39" s="862">
        <f t="shared" si="6"/>
        <v>156788.83360319998</v>
      </c>
      <c r="J39" s="943">
        <v>1560</v>
      </c>
      <c r="K39" s="942">
        <v>1</v>
      </c>
      <c r="L39" s="601">
        <f t="shared" si="0"/>
        <v>1560</v>
      </c>
      <c r="M39" s="592">
        <f t="shared" si="7"/>
        <v>100.51</v>
      </c>
      <c r="N39" s="417">
        <v>0.3</v>
      </c>
      <c r="O39" s="561">
        <v>0.6</v>
      </c>
      <c r="Q39" s="579">
        <v>109179</v>
      </c>
      <c r="R39" s="260">
        <v>117645</v>
      </c>
      <c r="S39" s="260">
        <v>115120</v>
      </c>
      <c r="T39" s="260">
        <v>111377</v>
      </c>
    </row>
    <row r="40" spans="1:26" x14ac:dyDescent="0.3">
      <c r="A40" s="425">
        <v>9</v>
      </c>
      <c r="B40" s="419" t="s">
        <v>2193</v>
      </c>
      <c r="C40" s="863">
        <f>HLOOKUP($C$4,$Q$11:$T$41,30,FALSE)</f>
        <v>115763</v>
      </c>
      <c r="D40" s="863">
        <f t="shared" si="1"/>
        <v>4167.4679999999998</v>
      </c>
      <c r="E40" s="863">
        <f t="shared" si="2"/>
        <v>119930.46800000001</v>
      </c>
      <c r="F40" s="863">
        <f t="shared" si="3"/>
        <v>17239.570200000002</v>
      </c>
      <c r="G40" s="864">
        <f t="shared" si="4"/>
        <v>599.65234000000009</v>
      </c>
      <c r="H40" s="863">
        <f t="shared" si="5"/>
        <v>28519.465290400003</v>
      </c>
      <c r="I40" s="862">
        <f t="shared" si="6"/>
        <v>166289.15583040001</v>
      </c>
      <c r="J40" s="943">
        <v>1560</v>
      </c>
      <c r="K40" s="942">
        <v>1</v>
      </c>
      <c r="L40" s="601">
        <f t="shared" si="0"/>
        <v>1560</v>
      </c>
      <c r="M40" s="592">
        <f t="shared" si="7"/>
        <v>106.6</v>
      </c>
      <c r="N40" s="417">
        <v>0.3</v>
      </c>
      <c r="O40" s="561">
        <v>0.6</v>
      </c>
      <c r="Q40" s="579">
        <v>115763</v>
      </c>
      <c r="R40" s="260">
        <v>124229</v>
      </c>
      <c r="S40" s="260">
        <v>121704</v>
      </c>
      <c r="T40" s="260">
        <v>117961</v>
      </c>
    </row>
    <row r="41" spans="1:26" x14ac:dyDescent="0.3">
      <c r="A41" s="425">
        <v>9</v>
      </c>
      <c r="B41" s="419" t="s">
        <v>2194</v>
      </c>
      <c r="C41" s="863">
        <f>HLOOKUP($C$4,$Q$11:$T$41,31,FALSE)</f>
        <v>125637</v>
      </c>
      <c r="D41" s="863">
        <f t="shared" si="1"/>
        <v>4522.9319999999998</v>
      </c>
      <c r="E41" s="863">
        <f t="shared" si="2"/>
        <v>130159.932</v>
      </c>
      <c r="F41" s="863">
        <f t="shared" si="3"/>
        <v>18773.989799999999</v>
      </c>
      <c r="G41" s="864">
        <f t="shared" si="4"/>
        <v>650.79966000000002</v>
      </c>
      <c r="H41" s="863">
        <f t="shared" si="5"/>
        <v>30952.0318296</v>
      </c>
      <c r="I41" s="862">
        <f t="shared" si="6"/>
        <v>180536.75328959999</v>
      </c>
      <c r="J41" s="943">
        <v>1560</v>
      </c>
      <c r="K41" s="942">
        <v>1</v>
      </c>
      <c r="L41" s="601">
        <f t="shared" si="0"/>
        <v>1560</v>
      </c>
      <c r="M41" s="592">
        <f t="shared" si="7"/>
        <v>115.73</v>
      </c>
      <c r="N41" s="417">
        <v>0.3</v>
      </c>
      <c r="O41" s="561">
        <v>0.6</v>
      </c>
      <c r="Q41" s="579">
        <v>125637</v>
      </c>
      <c r="R41" s="260">
        <v>134103</v>
      </c>
      <c r="S41" s="260">
        <v>131578</v>
      </c>
      <c r="T41" s="260">
        <v>127835</v>
      </c>
    </row>
    <row r="42" spans="1:26" x14ac:dyDescent="0.3">
      <c r="A42" s="425" t="s">
        <v>2177</v>
      </c>
      <c r="B42" s="137" t="s">
        <v>2195</v>
      </c>
      <c r="C42" s="863">
        <v>76037.52</v>
      </c>
      <c r="D42" s="863">
        <f t="shared" si="1"/>
        <v>2737.3507199999999</v>
      </c>
      <c r="E42" s="863">
        <f t="shared" si="2"/>
        <v>78774.870720000006</v>
      </c>
      <c r="F42" s="863">
        <f t="shared" si="3"/>
        <v>11066.230608</v>
      </c>
      <c r="G42" s="864">
        <f t="shared" si="4"/>
        <v>393.87435360000006</v>
      </c>
      <c r="H42" s="863">
        <f>C42*0.2068</f>
        <v>15724.559136000002</v>
      </c>
      <c r="I42" s="862">
        <f t="shared" si="6"/>
        <v>105959.5348176</v>
      </c>
      <c r="J42" s="943">
        <f>Y34</f>
        <v>2145.6</v>
      </c>
      <c r="K42" s="942">
        <v>0.6</v>
      </c>
      <c r="L42" s="601">
        <f t="shared" si="0"/>
        <v>1287.3599999999999</v>
      </c>
      <c r="M42" s="592">
        <f t="shared" si="7"/>
        <v>49.38</v>
      </c>
      <c r="N42" s="418">
        <v>0</v>
      </c>
      <c r="O42" s="562">
        <v>0</v>
      </c>
    </row>
    <row r="43" spans="1:26" x14ac:dyDescent="0.3">
      <c r="A43" s="425" t="s">
        <v>2177</v>
      </c>
      <c r="B43" s="137" t="s">
        <v>2196</v>
      </c>
      <c r="C43" s="863">
        <v>95390.36</v>
      </c>
      <c r="D43" s="863">
        <f t="shared" si="1"/>
        <v>3434.05296</v>
      </c>
      <c r="E43" s="863">
        <f t="shared" si="2"/>
        <v>98824.412960000001</v>
      </c>
      <c r="F43" s="863">
        <f t="shared" si="3"/>
        <v>14073.661943999999</v>
      </c>
      <c r="G43" s="864">
        <f t="shared" si="4"/>
        <v>494.12206480000003</v>
      </c>
      <c r="H43" s="863">
        <f>C43*0.2068</f>
        <v>19726.726448000001</v>
      </c>
      <c r="I43" s="862">
        <f t="shared" si="6"/>
        <v>133118.92341680001</v>
      </c>
      <c r="J43" s="943">
        <f>Y34</f>
        <v>2145.6</v>
      </c>
      <c r="K43" s="942">
        <v>0.6</v>
      </c>
      <c r="L43" s="601">
        <f t="shared" si="0"/>
        <v>1287.3599999999999</v>
      </c>
      <c r="M43" s="592">
        <f t="shared" si="7"/>
        <v>62.04</v>
      </c>
      <c r="N43" s="418">
        <v>0</v>
      </c>
      <c r="O43" s="562">
        <v>0</v>
      </c>
    </row>
    <row r="44" spans="1:26" x14ac:dyDescent="0.3">
      <c r="A44" s="595" t="s">
        <v>2177</v>
      </c>
      <c r="B44" s="596" t="s">
        <v>2196</v>
      </c>
      <c r="C44" s="865">
        <v>114743.2</v>
      </c>
      <c r="D44" s="865">
        <f t="shared" si="1"/>
        <v>4130.7551999999996</v>
      </c>
      <c r="E44" s="863">
        <f t="shared" si="2"/>
        <v>118873.9552</v>
      </c>
      <c r="F44" s="863">
        <f t="shared" si="3"/>
        <v>17081.093279999997</v>
      </c>
      <c r="G44" s="864">
        <f t="shared" si="4"/>
        <v>594.369776</v>
      </c>
      <c r="H44" s="865">
        <f>C44*0.2068</f>
        <v>23728.893759999999</v>
      </c>
      <c r="I44" s="862">
        <f t="shared" si="6"/>
        <v>160278.31201600001</v>
      </c>
      <c r="J44" s="943">
        <f>Y34</f>
        <v>2145.6</v>
      </c>
      <c r="K44" s="942">
        <v>0.6</v>
      </c>
      <c r="L44" s="601">
        <f t="shared" si="0"/>
        <v>1287.3599999999999</v>
      </c>
      <c r="M44" s="592">
        <f t="shared" si="7"/>
        <v>74.7</v>
      </c>
      <c r="N44" s="418">
        <v>0</v>
      </c>
      <c r="O44" s="562">
        <v>0</v>
      </c>
    </row>
    <row r="45" spans="1:26" x14ac:dyDescent="0.3">
      <c r="A45" s="425" t="s">
        <v>2164</v>
      </c>
      <c r="B45" s="137" t="s">
        <v>2197</v>
      </c>
      <c r="C45" s="863">
        <v>109724.16</v>
      </c>
      <c r="D45" s="863">
        <f t="shared" si="1"/>
        <v>3950.0697599999999</v>
      </c>
      <c r="E45" s="863">
        <f t="shared" si="2"/>
        <v>113674.22976</v>
      </c>
      <c r="F45" s="863">
        <f t="shared" si="3"/>
        <v>16301.134463999999</v>
      </c>
      <c r="G45" s="864">
        <f t="shared" si="4"/>
        <v>568.37114880000001</v>
      </c>
      <c r="H45" s="863">
        <f t="shared" si="5"/>
        <v>27031.731836928</v>
      </c>
      <c r="I45" s="862">
        <f t="shared" si="6"/>
        <v>157575.467209728</v>
      </c>
      <c r="J45" s="943">
        <v>1376</v>
      </c>
      <c r="K45" s="942">
        <v>1</v>
      </c>
      <c r="L45" s="601">
        <f t="shared" si="0"/>
        <v>1376</v>
      </c>
      <c r="M45" s="592">
        <f t="shared" si="7"/>
        <v>114.52</v>
      </c>
      <c r="N45" s="418">
        <v>0</v>
      </c>
      <c r="O45" s="562">
        <v>0</v>
      </c>
    </row>
    <row r="46" spans="1:26" x14ac:dyDescent="0.3">
      <c r="A46" s="425" t="s">
        <v>2164</v>
      </c>
      <c r="B46" s="137" t="s">
        <v>1960</v>
      </c>
      <c r="C46" s="863">
        <v>126431.136</v>
      </c>
      <c r="D46" s="863">
        <f t="shared" si="1"/>
        <v>4551.520896</v>
      </c>
      <c r="E46" s="863">
        <f t="shared" si="2"/>
        <v>130982.656896</v>
      </c>
      <c r="F46" s="863">
        <f t="shared" si="3"/>
        <v>18897.398534399999</v>
      </c>
      <c r="G46" s="864">
        <f t="shared" si="4"/>
        <v>654.91328448000002</v>
      </c>
      <c r="H46" s="863">
        <f t="shared" si="5"/>
        <v>31147.675809868801</v>
      </c>
      <c r="I46" s="862">
        <f t="shared" si="6"/>
        <v>181682.64452474879</v>
      </c>
      <c r="J46" s="943">
        <v>1376</v>
      </c>
      <c r="K46" s="942">
        <v>1</v>
      </c>
      <c r="L46" s="601">
        <f t="shared" si="0"/>
        <v>1376</v>
      </c>
      <c r="M46" s="592">
        <f t="shared" si="7"/>
        <v>132.04</v>
      </c>
      <c r="N46" s="418">
        <v>0</v>
      </c>
      <c r="O46" s="562">
        <v>0</v>
      </c>
    </row>
    <row r="47" spans="1:26" ht="15" thickBot="1" x14ac:dyDescent="0.35">
      <c r="A47" s="426" t="s">
        <v>2164</v>
      </c>
      <c r="B47" s="420" t="s">
        <v>2198</v>
      </c>
      <c r="C47" s="866">
        <v>145477.28</v>
      </c>
      <c r="D47" s="866">
        <f t="shared" si="1"/>
        <v>5237.1820799999996</v>
      </c>
      <c r="E47" s="866">
        <f t="shared" si="2"/>
        <v>150714.46208</v>
      </c>
      <c r="F47" s="866">
        <f t="shared" si="3"/>
        <v>21857.169311999998</v>
      </c>
      <c r="G47" s="867">
        <f t="shared" si="4"/>
        <v>753.57231039999999</v>
      </c>
      <c r="H47" s="866">
        <f t="shared" si="5"/>
        <v>35839.899082624004</v>
      </c>
      <c r="I47" s="868">
        <f t="shared" si="6"/>
        <v>209165.10278502401</v>
      </c>
      <c r="J47" s="944">
        <v>1376</v>
      </c>
      <c r="K47" s="945">
        <v>1</v>
      </c>
      <c r="L47" s="602">
        <f t="shared" si="0"/>
        <v>1376</v>
      </c>
      <c r="M47" s="563">
        <f t="shared" si="7"/>
        <v>152.01</v>
      </c>
      <c r="N47" s="564">
        <v>0</v>
      </c>
      <c r="O47" s="565">
        <v>0</v>
      </c>
    </row>
    <row r="96" ht="23.4" customHeight="1" x14ac:dyDescent="0.3"/>
    <row r="97" ht="55.5" customHeight="1" x14ac:dyDescent="0.3"/>
    <row r="98" ht="23.4" customHeight="1" x14ac:dyDescent="0.3"/>
    <row r="99" ht="23.4" customHeight="1" x14ac:dyDescent="0.3"/>
    <row r="100" ht="23.4" customHeight="1" x14ac:dyDescent="0.3"/>
    <row r="101" ht="23.4" customHeight="1" x14ac:dyDescent="0.3"/>
    <row r="102" ht="23.4" customHeight="1" x14ac:dyDescent="0.3"/>
  </sheetData>
  <sheetProtection algorithmName="SHA-512" hashValue="Rwi8A2qgI4IrmG5kCwSffpM7itmynpT4gkXvQCMAgTGUgi+SYUsCahhiu6RyhsKN2t3ANWjeLasJ78hFGsVGKw==" saltValue="nriJCTDowIaXb9qsWxF/eA==" spinCount="100000" sheet="1" objects="1" scenarios="1"/>
  <dataValidations count="1">
    <dataValidation type="list" allowBlank="1" showInputMessage="1" showErrorMessage="1" sqref="C4" xr:uid="{4E4BE1D1-B6A6-4DDF-B51D-0F9E7BFED3E4}">
      <formula1>$U$14:$U$17</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1" zoomScale="75" zoomScaleNormal="75" workbookViewId="0">
      <selection activeCell="O7" sqref="O7"/>
    </sheetView>
  </sheetViews>
  <sheetFormatPr defaultColWidth="9.10937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6640625" style="10" customWidth="1"/>
    <col min="15" max="15" width="14.109375" style="10" customWidth="1"/>
    <col min="16" max="16" width="10.88671875" style="10" customWidth="1"/>
    <col min="17" max="17" width="15.109375" style="11" customWidth="1"/>
    <col min="18" max="18" width="20.109375" style="11" customWidth="1"/>
    <col min="19" max="42" width="10.88671875" style="11" customWidth="1"/>
    <col min="43" max="50" width="10.88671875" style="12" customWidth="1"/>
    <col min="51" max="105" width="10.88671875" style="1" customWidth="1"/>
    <col min="106" max="106" width="11.33203125" style="1" customWidth="1"/>
    <col min="107" max="193" width="10.88671875" style="10" customWidth="1"/>
    <col min="194" max="194" width="10.44140625" style="10" customWidth="1"/>
    <col min="195" max="16384" width="9.109375" style="10"/>
  </cols>
  <sheetData>
    <row r="1" spans="2:106" x14ac:dyDescent="0.25">
      <c r="C1" s="679" t="s">
        <v>0</v>
      </c>
    </row>
    <row r="2" spans="2:106" x14ac:dyDescent="0.25">
      <c r="B2" s="9" t="s">
        <v>1</v>
      </c>
    </row>
    <row r="3" spans="2:106" x14ac:dyDescent="0.25">
      <c r="B3" s="84" t="s">
        <v>2</v>
      </c>
      <c r="C3" s="817"/>
      <c r="D3" s="818"/>
      <c r="E3" s="818"/>
      <c r="F3" s="818"/>
      <c r="G3" s="819"/>
    </row>
    <row r="4" spans="2:106" x14ac:dyDescent="0.25">
      <c r="B4" s="85"/>
      <c r="C4" s="86"/>
      <c r="D4" s="7"/>
      <c r="E4" s="7"/>
      <c r="F4" s="7"/>
      <c r="G4" s="87"/>
      <c r="L4" s="9" t="s">
        <v>3</v>
      </c>
      <c r="M4" s="9" t="s">
        <v>3</v>
      </c>
      <c r="N4" s="9" t="s">
        <v>4</v>
      </c>
      <c r="O4" s="9" t="s">
        <v>4</v>
      </c>
      <c r="P4" s="9" t="s">
        <v>5</v>
      </c>
      <c r="R4" s="156" t="s">
        <v>6</v>
      </c>
      <c r="S4" s="156" t="s">
        <v>7</v>
      </c>
      <c r="T4" s="156" t="s">
        <v>8</v>
      </c>
      <c r="V4" s="156" t="s">
        <v>9</v>
      </c>
    </row>
    <row r="5" spans="2:106" ht="27.6" x14ac:dyDescent="0.25">
      <c r="B5" s="88" t="s">
        <v>10</v>
      </c>
      <c r="C5" s="86"/>
      <c r="D5" s="7"/>
      <c r="E5" s="7"/>
      <c r="F5" s="7"/>
      <c r="G5" s="87"/>
      <c r="L5" s="15" t="s">
        <v>11</v>
      </c>
      <c r="M5" s="15" t="s">
        <v>12</v>
      </c>
      <c r="N5" s="15" t="s">
        <v>13</v>
      </c>
      <c r="O5" s="15" t="s">
        <v>14</v>
      </c>
      <c r="P5" s="18"/>
      <c r="Q5" s="16"/>
      <c r="R5" s="15" t="s">
        <v>14</v>
      </c>
      <c r="S5" s="126" t="s">
        <v>15</v>
      </c>
      <c r="V5" s="127">
        <v>4</v>
      </c>
    </row>
    <row r="6" spans="2:106" x14ac:dyDescent="0.25">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2" t="s">
        <v>19</v>
      </c>
      <c r="S6" s="126" t="s">
        <v>20</v>
      </c>
      <c r="V6" s="127">
        <v>5</v>
      </c>
    </row>
    <row r="7" spans="2:106" x14ac:dyDescent="0.25">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2" t="s">
        <v>23</v>
      </c>
      <c r="S7" s="358"/>
      <c r="V7" s="127">
        <v>6</v>
      </c>
    </row>
    <row r="8" spans="2:106" ht="19.5" customHeight="1" x14ac:dyDescent="0.25">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5" customHeight="1" x14ac:dyDescent="0.3">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4" x14ac:dyDescent="0.3">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x14ac:dyDescent="0.25">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25">
      <c r="B12" s="14"/>
      <c r="D12" s="182" t="s">
        <v>37</v>
      </c>
      <c r="E12" s="182"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5.9" customHeight="1" x14ac:dyDescent="0.25">
      <c r="B13" s="183" t="s">
        <v>41</v>
      </c>
      <c r="C13" s="183" t="s">
        <v>42</v>
      </c>
      <c r="D13" s="25" t="s">
        <v>43</v>
      </c>
      <c r="E13" s="25" t="s">
        <v>44</v>
      </c>
      <c r="F13" s="183"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6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84"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'Inputs and population'!$D$11</f>
        <v>National</v>
      </c>
      <c r="O14" s="20" t="str">
        <f>IFERROR(VLOOKUP('Inputs and population'!$D$11, $L$5:$M$14, 2, FALSE), "-")</f>
        <v>NATIONAL</v>
      </c>
      <c r="P14" s="15" t="b">
        <f>ISTEXT('Inputs and population'!$D$12)</f>
        <v>1</v>
      </c>
      <c r="V14" s="127" t="s">
        <v>50</v>
      </c>
    </row>
    <row r="15" spans="2:106" x14ac:dyDescent="0.25">
      <c r="B15" s="184"/>
      <c r="C15" s="19"/>
      <c r="D15" s="83"/>
      <c r="E15" s="83"/>
      <c r="F15" s="19"/>
      <c r="L15" s="20"/>
      <c r="M15" s="20"/>
      <c r="N15" s="20"/>
      <c r="O15" s="20"/>
      <c r="P15" s="20"/>
      <c r="V15" s="127" t="s">
        <v>51</v>
      </c>
    </row>
    <row r="16" spans="2:106" x14ac:dyDescent="0.25">
      <c r="B16" s="185" t="s">
        <v>52</v>
      </c>
      <c r="C16" s="186">
        <f>IF(C15&gt;0,C14,C15)</f>
        <v>0</v>
      </c>
      <c r="D16" s="186">
        <f>IF(D15&gt;0,D14,D15)</f>
        <v>0</v>
      </c>
      <c r="E16" s="186">
        <f>IF(E15&gt;0,E14,E15)</f>
        <v>0</v>
      </c>
      <c r="F16" s="186">
        <f>SUM(F15)</f>
        <v>0</v>
      </c>
      <c r="L16" s="21"/>
      <c r="M16" s="21"/>
      <c r="P16" s="356">
        <f>COUNTIF(P6:P14, TRUE)</f>
        <v>9</v>
      </c>
    </row>
    <row r="17" spans="1:194" x14ac:dyDescent="0.25">
      <c r="Q17" s="22"/>
      <c r="R17" s="22"/>
    </row>
    <row r="18" spans="1:194" ht="45.6" customHeight="1" x14ac:dyDescent="0.25">
      <c r="B18" s="82"/>
      <c r="C18" s="131"/>
      <c r="D18" s="25" t="s">
        <v>37</v>
      </c>
      <c r="E18" s="25" t="s">
        <v>37</v>
      </c>
      <c r="F18" s="82"/>
      <c r="I18" s="82"/>
      <c r="J18" s="82"/>
      <c r="K18" s="23"/>
      <c r="N18" s="23"/>
    </row>
    <row r="19" spans="1:194" ht="23.1" customHeight="1" x14ac:dyDescent="0.25">
      <c r="D19" s="187">
        <v>2</v>
      </c>
      <c r="E19" s="187">
        <v>3</v>
      </c>
      <c r="F19" s="187">
        <v>4</v>
      </c>
      <c r="G19" s="187">
        <v>5</v>
      </c>
      <c r="H19" s="187">
        <v>6</v>
      </c>
      <c r="K19" s="23"/>
    </row>
    <row r="20" spans="1:194" s="1" customFormat="1" ht="48" customHeight="1" x14ac:dyDescent="0.25">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820"/>
      <c r="O20" s="820"/>
      <c r="P20" s="820"/>
      <c r="Q20" s="820"/>
      <c r="R20" s="820"/>
      <c r="S20" s="820"/>
      <c r="T20" s="820"/>
      <c r="U20" s="820"/>
      <c r="V20" s="820"/>
      <c r="W20" s="820"/>
      <c r="X20" s="820"/>
      <c r="Y20" s="820"/>
      <c r="Z20" s="820"/>
      <c r="AA20" s="820"/>
      <c r="AB20" s="820"/>
      <c r="AC20" s="820"/>
      <c r="AD20" s="820"/>
      <c r="AE20" s="820"/>
      <c r="AF20" s="820"/>
      <c r="AG20" s="820"/>
      <c r="AH20" s="820"/>
      <c r="AI20" s="820"/>
      <c r="AJ20" s="820"/>
      <c r="AK20" s="820"/>
      <c r="AL20" s="820"/>
      <c r="AM20" s="820"/>
      <c r="AN20" s="820"/>
      <c r="AO20" s="820"/>
      <c r="AP20" s="820"/>
      <c r="AQ20" s="820"/>
      <c r="AR20" s="820"/>
      <c r="AS20" s="820"/>
      <c r="AT20" s="820"/>
      <c r="AU20" s="820"/>
      <c r="AV20" s="820"/>
      <c r="AW20" s="820"/>
      <c r="AX20" s="820"/>
      <c r="AY20" s="820"/>
      <c r="AZ20" s="820"/>
      <c r="BA20" s="820"/>
      <c r="BB20" s="820"/>
      <c r="BC20" s="820"/>
      <c r="BD20" s="820"/>
      <c r="BE20" s="820"/>
      <c r="BF20" s="820"/>
      <c r="BG20" s="820"/>
      <c r="BH20" s="820"/>
      <c r="BI20" s="820"/>
      <c r="BJ20" s="820"/>
      <c r="BK20" s="820"/>
      <c r="BL20" s="820"/>
      <c r="BM20" s="820"/>
      <c r="BN20" s="820"/>
      <c r="BO20" s="820"/>
      <c r="BP20" s="820"/>
      <c r="BQ20" s="820"/>
      <c r="BR20" s="820"/>
      <c r="BS20" s="820"/>
      <c r="BT20" s="820"/>
      <c r="BU20" s="820"/>
      <c r="BV20" s="820"/>
      <c r="BW20" s="820"/>
      <c r="BX20" s="820"/>
      <c r="BY20" s="820"/>
      <c r="BZ20" s="820"/>
      <c r="CA20" s="820"/>
      <c r="CB20" s="820"/>
      <c r="CC20" s="820"/>
      <c r="CD20" s="820"/>
      <c r="CE20" s="820"/>
      <c r="CF20" s="820"/>
      <c r="CG20" s="820"/>
      <c r="CH20" s="820"/>
      <c r="CI20" s="820"/>
      <c r="CJ20" s="820"/>
      <c r="CK20" s="820"/>
      <c r="CL20" s="820"/>
      <c r="CM20" s="820"/>
      <c r="CN20" s="820"/>
      <c r="CO20" s="820"/>
      <c r="CP20" s="820"/>
      <c r="CQ20" s="820"/>
      <c r="CR20" s="820"/>
      <c r="CS20" s="820"/>
      <c r="CT20" s="820"/>
      <c r="CU20" s="820"/>
      <c r="CV20" s="820"/>
      <c r="CW20" s="820"/>
      <c r="CX20" s="820"/>
      <c r="CY20" s="821"/>
      <c r="CZ20" s="822" t="s">
        <v>59</v>
      </c>
      <c r="DA20" s="822"/>
      <c r="DB20" s="822"/>
      <c r="DC20" s="822"/>
      <c r="DD20" s="822"/>
      <c r="DE20" s="822"/>
      <c r="DF20" s="822"/>
      <c r="DG20" s="822"/>
      <c r="DH20" s="822"/>
      <c r="DI20" s="822"/>
      <c r="DJ20" s="822"/>
      <c r="DK20" s="822"/>
      <c r="DL20" s="822"/>
      <c r="DM20" s="822"/>
      <c r="DN20" s="822"/>
      <c r="DO20" s="822"/>
      <c r="DP20" s="822"/>
      <c r="DQ20" s="822"/>
      <c r="DR20" s="822"/>
      <c r="DS20" s="822"/>
      <c r="DT20" s="822"/>
      <c r="DU20" s="822"/>
      <c r="DV20" s="822"/>
      <c r="DW20" s="822"/>
      <c r="DX20" s="822"/>
      <c r="DY20" s="822"/>
      <c r="DZ20" s="822"/>
      <c r="EA20" s="822"/>
      <c r="EB20" s="822"/>
      <c r="EC20" s="822"/>
      <c r="ED20" s="822"/>
      <c r="EE20" s="822"/>
      <c r="EF20" s="822"/>
      <c r="EG20" s="822"/>
      <c r="EH20" s="822"/>
      <c r="EI20" s="822"/>
      <c r="EJ20" s="822"/>
      <c r="EK20" s="822"/>
      <c r="EL20" s="822"/>
      <c r="EM20" s="822"/>
      <c r="EN20" s="822"/>
      <c r="EO20" s="822"/>
      <c r="EP20" s="822"/>
      <c r="EQ20" s="822"/>
      <c r="ER20" s="822"/>
      <c r="ES20" s="822"/>
      <c r="ET20" s="822"/>
      <c r="EU20" s="822"/>
      <c r="EV20" s="822"/>
      <c r="EW20" s="822"/>
      <c r="EX20" s="822"/>
      <c r="EY20" s="822"/>
      <c r="EZ20" s="822"/>
      <c r="FA20" s="822"/>
      <c r="FB20" s="822"/>
      <c r="FC20" s="822"/>
      <c r="FD20" s="822"/>
      <c r="FE20" s="822"/>
      <c r="FF20" s="822"/>
      <c r="FG20" s="822"/>
      <c r="FH20" s="822"/>
      <c r="FI20" s="822"/>
      <c r="FJ20" s="822"/>
      <c r="FK20" s="822"/>
      <c r="FL20" s="822"/>
      <c r="FM20" s="822"/>
      <c r="FN20" s="822"/>
      <c r="FO20" s="822"/>
      <c r="FP20" s="822"/>
      <c r="FQ20" s="822"/>
      <c r="FR20" s="822"/>
      <c r="FS20" s="822"/>
      <c r="FT20" s="822"/>
      <c r="FU20" s="822"/>
      <c r="FV20" s="822"/>
      <c r="FW20" s="822"/>
      <c r="FX20" s="822"/>
      <c r="FY20" s="822"/>
      <c r="FZ20" s="822"/>
      <c r="GA20" s="822"/>
      <c r="GB20" s="822"/>
      <c r="GC20" s="822"/>
      <c r="GD20" s="822"/>
      <c r="GE20" s="822"/>
      <c r="GF20" s="822"/>
      <c r="GG20" s="822"/>
      <c r="GH20" s="822"/>
      <c r="GI20" s="822"/>
      <c r="GJ20" s="822"/>
      <c r="GK20" s="822"/>
      <c r="GL20" s="823"/>
    </row>
    <row r="21" spans="1:194" s="8" customFormat="1" ht="27.6" x14ac:dyDescent="0.25">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5">
      <c r="A22" s="29"/>
      <c r="B22" s="68"/>
      <c r="C22" s="824"/>
      <c r="D22" s="825"/>
      <c r="E22" s="825"/>
      <c r="F22" s="826"/>
      <c r="G22" s="826"/>
      <c r="H22" s="825"/>
      <c r="I22" s="825"/>
      <c r="J22" s="825"/>
      <c r="K22" s="826"/>
      <c r="L22" s="825"/>
      <c r="M22" s="826"/>
      <c r="N22" s="826"/>
      <c r="O22" s="826"/>
      <c r="P22" s="826"/>
      <c r="Q22" s="826"/>
      <c r="R22" s="826"/>
      <c r="S22" s="826"/>
      <c r="T22" s="826"/>
      <c r="U22" s="826"/>
      <c r="V22" s="826"/>
      <c r="W22" s="826"/>
      <c r="X22" s="826"/>
      <c r="Y22" s="826"/>
      <c r="Z22" s="826"/>
      <c r="AA22" s="826"/>
      <c r="AB22" s="826"/>
      <c r="AC22" s="826"/>
      <c r="AD22" s="826"/>
      <c r="AE22" s="826"/>
      <c r="AF22" s="826"/>
      <c r="AG22" s="826"/>
      <c r="AH22" s="826"/>
      <c r="AI22" s="826"/>
      <c r="AJ22" s="826"/>
      <c r="AK22" s="826"/>
      <c r="AL22" s="826"/>
      <c r="AM22" s="826"/>
      <c r="AN22" s="826"/>
      <c r="AO22" s="826"/>
      <c r="AP22" s="826"/>
      <c r="AQ22" s="826"/>
      <c r="AR22" s="826"/>
      <c r="AS22" s="826"/>
      <c r="AT22" s="826"/>
      <c r="AU22" s="826"/>
      <c r="AV22" s="826"/>
      <c r="AW22" s="826"/>
      <c r="AX22" s="826"/>
      <c r="AY22" s="826"/>
      <c r="AZ22" s="826"/>
      <c r="BA22" s="826"/>
      <c r="BB22" s="826"/>
      <c r="BC22" s="826"/>
      <c r="BD22" s="826"/>
      <c r="BE22" s="826"/>
      <c r="BF22" s="826"/>
      <c r="BG22" s="826"/>
      <c r="BH22" s="826"/>
      <c r="BI22" s="826"/>
      <c r="BJ22" s="826"/>
      <c r="BK22" s="826"/>
      <c r="BL22" s="826"/>
      <c r="BM22" s="826"/>
      <c r="BN22" s="826"/>
      <c r="BO22" s="826"/>
      <c r="BP22" s="826"/>
      <c r="BQ22" s="826"/>
      <c r="BR22" s="826"/>
      <c r="BS22" s="826"/>
      <c r="BT22" s="826"/>
      <c r="BU22" s="826"/>
      <c r="BV22" s="826"/>
      <c r="BW22" s="826"/>
      <c r="BX22" s="826"/>
      <c r="BY22" s="826"/>
      <c r="BZ22" s="826"/>
      <c r="CA22" s="826"/>
      <c r="CB22" s="826"/>
      <c r="CC22" s="826"/>
      <c r="CD22" s="826"/>
      <c r="CE22" s="826"/>
      <c r="CF22" s="826"/>
      <c r="CG22" s="826"/>
      <c r="CH22" s="826"/>
      <c r="CI22" s="826"/>
      <c r="CJ22" s="826"/>
      <c r="CK22" s="826"/>
      <c r="CL22" s="826"/>
      <c r="CM22" s="826"/>
      <c r="CN22" s="826"/>
      <c r="CO22" s="826"/>
      <c r="CP22" s="826"/>
      <c r="CQ22" s="826"/>
      <c r="CR22" s="826"/>
      <c r="CS22" s="826"/>
      <c r="CT22" s="826"/>
      <c r="CU22" s="826"/>
      <c r="CV22" s="826"/>
      <c r="CW22" s="826"/>
      <c r="CX22" s="826"/>
      <c r="CY22" s="825"/>
      <c r="CZ22" s="826"/>
      <c r="DA22" s="826"/>
      <c r="DB22" s="826"/>
      <c r="DC22" s="826"/>
      <c r="DD22" s="826"/>
      <c r="DE22" s="826"/>
      <c r="DF22" s="826"/>
      <c r="DG22" s="826"/>
      <c r="DH22" s="826"/>
      <c r="DI22" s="826"/>
      <c r="DJ22" s="826"/>
      <c r="DK22" s="826"/>
      <c r="DL22" s="826"/>
      <c r="DM22" s="826"/>
      <c r="DN22" s="826"/>
      <c r="DO22" s="826"/>
      <c r="DP22" s="826"/>
      <c r="DQ22" s="826"/>
      <c r="DR22" s="826"/>
      <c r="DS22" s="826"/>
      <c r="DT22" s="826"/>
      <c r="DU22" s="826"/>
      <c r="DV22" s="826"/>
      <c r="DW22" s="826"/>
      <c r="DX22" s="826"/>
      <c r="DY22" s="826"/>
      <c r="DZ22" s="826"/>
      <c r="EA22" s="826"/>
      <c r="EB22" s="826"/>
      <c r="EC22" s="826"/>
      <c r="ED22" s="826"/>
      <c r="EE22" s="826"/>
      <c r="EF22" s="826"/>
      <c r="EG22" s="826"/>
      <c r="EH22" s="826"/>
      <c r="EI22" s="826"/>
      <c r="EJ22" s="826"/>
      <c r="EK22" s="826"/>
      <c r="EL22" s="826"/>
      <c r="EM22" s="826"/>
      <c r="EN22" s="826"/>
      <c r="EO22" s="826"/>
      <c r="EP22" s="826"/>
      <c r="EQ22" s="826"/>
      <c r="ER22" s="826"/>
      <c r="ES22" s="826"/>
      <c r="ET22" s="826"/>
      <c r="EU22" s="826"/>
      <c r="EV22" s="826"/>
      <c r="EW22" s="826"/>
      <c r="EX22" s="826"/>
      <c r="EY22" s="826"/>
      <c r="EZ22" s="826"/>
      <c r="FA22" s="826"/>
      <c r="FB22" s="826"/>
      <c r="FC22" s="826"/>
      <c r="FD22" s="826"/>
      <c r="FE22" s="826"/>
      <c r="FF22" s="826"/>
      <c r="FG22" s="826"/>
      <c r="FH22" s="826"/>
      <c r="FI22" s="826"/>
      <c r="FJ22" s="826"/>
      <c r="FK22" s="826"/>
      <c r="FL22" s="826"/>
      <c r="FM22" s="826"/>
      <c r="FN22" s="826"/>
      <c r="FO22" s="826"/>
      <c r="FP22" s="826"/>
      <c r="FQ22" s="826"/>
      <c r="FR22" s="826"/>
      <c r="FS22" s="826"/>
      <c r="FT22" s="826"/>
      <c r="FU22" s="826"/>
      <c r="FV22" s="826"/>
      <c r="FW22" s="826"/>
      <c r="FX22" s="826"/>
      <c r="FY22" s="826"/>
      <c r="FZ22" s="826"/>
      <c r="GA22" s="826"/>
      <c r="GB22" s="826"/>
      <c r="GC22" s="826"/>
      <c r="GD22" s="826"/>
      <c r="GE22" s="826"/>
      <c r="GF22" s="826"/>
      <c r="GG22" s="826"/>
      <c r="GH22" s="826"/>
      <c r="GI22" s="826"/>
      <c r="GJ22" s="826"/>
      <c r="GK22" s="826"/>
      <c r="GL22" s="825"/>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475" t="s">
        <v>62</v>
      </c>
      <c r="C25" s="827" t="s">
        <v>63</v>
      </c>
      <c r="D25" s="828">
        <f t="shared" ref="D25:E27" si="3">I25</f>
        <v>22137472</v>
      </c>
      <c r="E25" s="828">
        <f t="shared" si="3"/>
        <v>23554205</v>
      </c>
      <c r="F25" s="829">
        <f>G25+H25</f>
        <v>57690323</v>
      </c>
      <c r="G25" s="829">
        <f>SUM(M25:CY25)</f>
        <v>28283074</v>
      </c>
      <c r="H25" s="830">
        <f>SUM(CZ25:GL25)</f>
        <v>29407249</v>
      </c>
      <c r="I25" s="830">
        <f>SUM(AE25:CY25)</f>
        <v>22137472</v>
      </c>
      <c r="J25" s="830">
        <f>SUM(DR25:GL25)</f>
        <v>23554205</v>
      </c>
      <c r="K25" s="831">
        <f>SUM(M25:AD25)</f>
        <v>6145602</v>
      </c>
      <c r="L25" s="828">
        <f>SUM(CZ25:DQ25)</f>
        <v>5853044</v>
      </c>
      <c r="M25" s="829">
        <v>293933</v>
      </c>
      <c r="N25" s="829">
        <v>312995</v>
      </c>
      <c r="O25" s="829">
        <v>311501</v>
      </c>
      <c r="P25" s="829">
        <v>322067</v>
      </c>
      <c r="Q25" s="829">
        <v>328129</v>
      </c>
      <c r="R25" s="829">
        <v>331735</v>
      </c>
      <c r="S25" s="829">
        <v>339328</v>
      </c>
      <c r="T25" s="829">
        <v>348942</v>
      </c>
      <c r="U25" s="829">
        <v>345591</v>
      </c>
      <c r="V25" s="829">
        <v>347329</v>
      </c>
      <c r="W25" s="829">
        <v>356650</v>
      </c>
      <c r="X25" s="829">
        <v>365469</v>
      </c>
      <c r="Y25" s="829">
        <v>366063</v>
      </c>
      <c r="Z25" s="829">
        <v>360895</v>
      </c>
      <c r="AA25" s="829">
        <v>358117</v>
      </c>
      <c r="AB25" s="829">
        <v>361691</v>
      </c>
      <c r="AC25" s="829">
        <v>349931</v>
      </c>
      <c r="AD25" s="829">
        <v>345236</v>
      </c>
      <c r="AE25" s="829">
        <v>346661</v>
      </c>
      <c r="AF25" s="829">
        <v>349313</v>
      </c>
      <c r="AG25" s="829">
        <v>347749</v>
      </c>
      <c r="AH25" s="829">
        <v>345536</v>
      </c>
      <c r="AI25" s="829">
        <v>345643</v>
      </c>
      <c r="AJ25" s="829">
        <v>355934</v>
      </c>
      <c r="AK25" s="829">
        <v>368759</v>
      </c>
      <c r="AL25" s="829">
        <v>370911</v>
      </c>
      <c r="AM25" s="829">
        <v>376733</v>
      </c>
      <c r="AN25" s="829">
        <v>370426</v>
      </c>
      <c r="AO25" s="829">
        <v>373327</v>
      </c>
      <c r="AP25" s="829">
        <v>380776</v>
      </c>
      <c r="AQ25" s="829">
        <v>380078</v>
      </c>
      <c r="AR25" s="829">
        <v>390686</v>
      </c>
      <c r="AS25" s="829">
        <v>395074</v>
      </c>
      <c r="AT25" s="829">
        <v>392740</v>
      </c>
      <c r="AU25" s="829">
        <v>389629</v>
      </c>
      <c r="AV25" s="829">
        <v>392507</v>
      </c>
      <c r="AW25" s="829">
        <v>383002</v>
      </c>
      <c r="AX25" s="829">
        <v>382093</v>
      </c>
      <c r="AY25" s="829">
        <v>380825</v>
      </c>
      <c r="AZ25" s="829">
        <v>368755</v>
      </c>
      <c r="BA25" s="829">
        <v>368886</v>
      </c>
      <c r="BB25" s="829">
        <v>368552</v>
      </c>
      <c r="BC25" s="829">
        <v>371001</v>
      </c>
      <c r="BD25" s="829">
        <v>373542</v>
      </c>
      <c r="BE25" s="829">
        <v>358913</v>
      </c>
      <c r="BF25" s="829">
        <v>335009</v>
      </c>
      <c r="BG25" s="829">
        <v>329186</v>
      </c>
      <c r="BH25" s="829">
        <v>336077</v>
      </c>
      <c r="BI25" s="829">
        <v>342724</v>
      </c>
      <c r="BJ25" s="829">
        <v>346555</v>
      </c>
      <c r="BK25" s="829">
        <v>359694</v>
      </c>
      <c r="BL25" s="829">
        <v>372431</v>
      </c>
      <c r="BM25" s="829">
        <v>383893</v>
      </c>
      <c r="BN25" s="829">
        <v>374199</v>
      </c>
      <c r="BO25" s="829">
        <v>382036</v>
      </c>
      <c r="BP25" s="829">
        <v>380548</v>
      </c>
      <c r="BQ25" s="829">
        <v>383158</v>
      </c>
      <c r="BR25" s="829">
        <v>379113</v>
      </c>
      <c r="BS25" s="829">
        <v>379303</v>
      </c>
      <c r="BT25" s="829">
        <v>373318</v>
      </c>
      <c r="BU25" s="829">
        <v>363989</v>
      </c>
      <c r="BV25" s="829">
        <v>354500</v>
      </c>
      <c r="BW25" s="829">
        <v>341604</v>
      </c>
      <c r="BX25" s="829">
        <v>326378</v>
      </c>
      <c r="BY25" s="829">
        <v>315915</v>
      </c>
      <c r="BZ25" s="829">
        <v>305908</v>
      </c>
      <c r="CA25" s="829">
        <v>290478</v>
      </c>
      <c r="CB25" s="829">
        <v>278154</v>
      </c>
      <c r="CC25" s="829">
        <v>264200</v>
      </c>
      <c r="CD25" s="829">
        <v>261871</v>
      </c>
      <c r="CE25" s="829">
        <v>255543</v>
      </c>
      <c r="CF25" s="829">
        <v>244170</v>
      </c>
      <c r="CG25" s="829">
        <v>243498</v>
      </c>
      <c r="CH25" s="829">
        <v>242922</v>
      </c>
      <c r="CI25" s="829">
        <v>246267</v>
      </c>
      <c r="CJ25" s="829">
        <v>255937</v>
      </c>
      <c r="CK25" s="829">
        <v>273876</v>
      </c>
      <c r="CL25" s="829">
        <v>203760</v>
      </c>
      <c r="CM25" s="829">
        <v>192397</v>
      </c>
      <c r="CN25" s="829">
        <v>186010</v>
      </c>
      <c r="CO25" s="829">
        <v>165062</v>
      </c>
      <c r="CP25" s="829">
        <v>140882</v>
      </c>
      <c r="CQ25" s="829">
        <v>119224</v>
      </c>
      <c r="CR25" s="829">
        <v>117844</v>
      </c>
      <c r="CS25" s="829">
        <v>110353</v>
      </c>
      <c r="CT25" s="829">
        <v>99978</v>
      </c>
      <c r="CU25" s="829">
        <v>87281</v>
      </c>
      <c r="CV25" s="829">
        <v>74936</v>
      </c>
      <c r="CW25" s="829">
        <v>63762</v>
      </c>
      <c r="CX25" s="829">
        <v>52022</v>
      </c>
      <c r="CY25" s="829">
        <v>173456</v>
      </c>
      <c r="CZ25" s="829">
        <v>279167</v>
      </c>
      <c r="DA25" s="829">
        <v>298988</v>
      </c>
      <c r="DB25" s="829">
        <v>297423</v>
      </c>
      <c r="DC25" s="829">
        <v>307905</v>
      </c>
      <c r="DD25" s="829">
        <v>312529</v>
      </c>
      <c r="DE25" s="829">
        <v>316813</v>
      </c>
      <c r="DF25" s="829">
        <v>324426</v>
      </c>
      <c r="DG25" s="829">
        <v>332617</v>
      </c>
      <c r="DH25" s="829">
        <v>330045</v>
      </c>
      <c r="DI25" s="829">
        <v>331941</v>
      </c>
      <c r="DJ25" s="829">
        <v>339519</v>
      </c>
      <c r="DK25" s="829">
        <v>348893</v>
      </c>
      <c r="DL25" s="829">
        <v>348165</v>
      </c>
      <c r="DM25" s="829">
        <v>343885</v>
      </c>
      <c r="DN25" s="829">
        <v>341284</v>
      </c>
      <c r="DO25" s="829">
        <v>344315</v>
      </c>
      <c r="DP25" s="829">
        <v>330622</v>
      </c>
      <c r="DQ25" s="829">
        <v>324507</v>
      </c>
      <c r="DR25" s="829">
        <v>324547</v>
      </c>
      <c r="DS25" s="829">
        <v>328240</v>
      </c>
      <c r="DT25" s="829">
        <v>325534</v>
      </c>
      <c r="DU25" s="829">
        <v>329081</v>
      </c>
      <c r="DV25" s="829">
        <v>331235</v>
      </c>
      <c r="DW25" s="829">
        <v>345013</v>
      </c>
      <c r="DX25" s="829">
        <v>361888</v>
      </c>
      <c r="DY25" s="829">
        <v>369890</v>
      </c>
      <c r="DZ25" s="829">
        <v>379188</v>
      </c>
      <c r="EA25" s="829">
        <v>375004</v>
      </c>
      <c r="EB25" s="829">
        <v>384557</v>
      </c>
      <c r="EC25" s="829">
        <v>397037</v>
      </c>
      <c r="ED25" s="829">
        <v>399178</v>
      </c>
      <c r="EE25" s="829">
        <v>412384</v>
      </c>
      <c r="EF25" s="829">
        <v>417512</v>
      </c>
      <c r="EG25" s="829">
        <v>419044</v>
      </c>
      <c r="EH25" s="829">
        <v>417098</v>
      </c>
      <c r="EI25" s="829">
        <v>422891</v>
      </c>
      <c r="EJ25" s="829">
        <v>413850</v>
      </c>
      <c r="EK25" s="829">
        <v>408208</v>
      </c>
      <c r="EL25" s="829">
        <v>405771</v>
      </c>
      <c r="EM25" s="829">
        <v>392998</v>
      </c>
      <c r="EN25" s="829">
        <v>392640</v>
      </c>
      <c r="EO25" s="829">
        <v>389013</v>
      </c>
      <c r="EP25" s="829">
        <v>392804</v>
      </c>
      <c r="EQ25" s="829">
        <v>392829</v>
      </c>
      <c r="ER25" s="829">
        <v>375222</v>
      </c>
      <c r="ES25" s="829">
        <v>347593</v>
      </c>
      <c r="ET25" s="829">
        <v>340244</v>
      </c>
      <c r="EU25" s="829">
        <v>346591</v>
      </c>
      <c r="EV25" s="829">
        <v>353283</v>
      </c>
      <c r="EW25" s="829">
        <v>357012</v>
      </c>
      <c r="EX25" s="829">
        <v>369968</v>
      </c>
      <c r="EY25" s="829">
        <v>383711</v>
      </c>
      <c r="EZ25" s="829">
        <v>398952</v>
      </c>
      <c r="FA25" s="829">
        <v>388155</v>
      </c>
      <c r="FB25" s="829">
        <v>395977</v>
      </c>
      <c r="FC25" s="829">
        <v>394307</v>
      </c>
      <c r="FD25" s="829">
        <v>395319</v>
      </c>
      <c r="FE25" s="829">
        <v>395085</v>
      </c>
      <c r="FF25" s="829">
        <v>394913</v>
      </c>
      <c r="FG25" s="829">
        <v>388786</v>
      </c>
      <c r="FH25" s="829">
        <v>378799</v>
      </c>
      <c r="FI25" s="829">
        <v>369231</v>
      </c>
      <c r="FJ25" s="829">
        <v>353273</v>
      </c>
      <c r="FK25" s="829">
        <v>338179</v>
      </c>
      <c r="FL25" s="829">
        <v>328875</v>
      </c>
      <c r="FM25" s="829">
        <v>318729</v>
      </c>
      <c r="FN25" s="829">
        <v>305975</v>
      </c>
      <c r="FO25" s="829">
        <v>293096</v>
      </c>
      <c r="FP25" s="829">
        <v>282116</v>
      </c>
      <c r="FQ25" s="829">
        <v>282344</v>
      </c>
      <c r="FR25" s="829">
        <v>275725</v>
      </c>
      <c r="FS25" s="829">
        <v>267981</v>
      </c>
      <c r="FT25" s="829">
        <v>267569</v>
      </c>
      <c r="FU25" s="829">
        <v>271143</v>
      </c>
      <c r="FV25" s="829">
        <v>275176</v>
      </c>
      <c r="FW25" s="829">
        <v>289150</v>
      </c>
      <c r="FX25" s="829">
        <v>309463</v>
      </c>
      <c r="FY25" s="829">
        <v>234189</v>
      </c>
      <c r="FZ25" s="829">
        <v>223653</v>
      </c>
      <c r="GA25" s="829">
        <v>218690</v>
      </c>
      <c r="GB25" s="829">
        <v>198932</v>
      </c>
      <c r="GC25" s="829">
        <v>173919</v>
      </c>
      <c r="GD25" s="829">
        <v>151373</v>
      </c>
      <c r="GE25" s="829">
        <v>152822</v>
      </c>
      <c r="GF25" s="829">
        <v>146074</v>
      </c>
      <c r="GG25" s="829">
        <v>135895</v>
      </c>
      <c r="GH25" s="829">
        <v>122383</v>
      </c>
      <c r="GI25" s="829">
        <v>109600</v>
      </c>
      <c r="GJ25" s="829">
        <v>96854</v>
      </c>
      <c r="GK25" s="829">
        <v>82610</v>
      </c>
      <c r="GL25" s="829">
        <v>347835</v>
      </c>
    </row>
    <row r="26" spans="1:194" s="8" customFormat="1" x14ac:dyDescent="0.25">
      <c r="A26" s="31" t="s">
        <v>21</v>
      </c>
      <c r="B26" s="476"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477"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478"/>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5" t="s">
        <v>48</v>
      </c>
      <c r="B29" s="479" t="s">
        <v>68</v>
      </c>
      <c r="C29" s="68" t="str">
        <f t="shared" ref="C29:C43" si="4">CONCATENATE(A29," - ",B29)</f>
        <v>England – PCNs - 3 CENTRES PCN</v>
      </c>
      <c r="D29" s="832">
        <f>I29</f>
        <v>14772</v>
      </c>
      <c r="E29" s="832">
        <f>J29</f>
        <v>15689</v>
      </c>
      <c r="F29" s="833">
        <f>G29+H29</f>
        <v>39727</v>
      </c>
      <c r="G29" s="833">
        <f>SUM(M29:CY29)</f>
        <v>19549</v>
      </c>
      <c r="H29" s="834">
        <f>SUM(CZ29:GL29)</f>
        <v>20178</v>
      </c>
      <c r="I29" s="834">
        <f>SUM(AE29:CY29)</f>
        <v>14772</v>
      </c>
      <c r="J29" s="834">
        <f>SUM(DR29:GL29)</f>
        <v>15689</v>
      </c>
      <c r="K29" s="835">
        <f>SUM(M29:AD29)</f>
        <v>4777</v>
      </c>
      <c r="L29" s="832">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5">
      <c r="A30" s="79" t="s">
        <v>48</v>
      </c>
      <c r="B30" s="479"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5">
      <c r="A31" s="79" t="s">
        <v>48</v>
      </c>
      <c r="B31" s="479"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5">
      <c r="A32" s="79" t="s">
        <v>48</v>
      </c>
      <c r="B32" s="479"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5">
      <c r="A33" s="79" t="s">
        <v>48</v>
      </c>
      <c r="B33" s="479"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5">
      <c r="A34" s="79" t="s">
        <v>48</v>
      </c>
      <c r="B34" s="479"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5">
      <c r="A35" s="79" t="s">
        <v>48</v>
      </c>
      <c r="B35" s="479"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5">
      <c r="A36" s="79" t="s">
        <v>48</v>
      </c>
      <c r="B36" s="479"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5">
      <c r="A37" s="79" t="s">
        <v>48</v>
      </c>
      <c r="B37" s="479"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5">
      <c r="A38" s="79" t="s">
        <v>48</v>
      </c>
      <c r="B38" s="479"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5">
      <c r="A39" s="79" t="s">
        <v>48</v>
      </c>
      <c r="B39" s="479"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5">
      <c r="A40" s="79" t="s">
        <v>48</v>
      </c>
      <c r="B40" s="479"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5">
      <c r="A41" s="79" t="s">
        <v>48</v>
      </c>
      <c r="B41" s="479"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5">
      <c r="A42" s="79" t="s">
        <v>48</v>
      </c>
      <c r="B42" s="479"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5">
      <c r="A43" s="79" t="s">
        <v>48</v>
      </c>
      <c r="B43" s="479"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5">
      <c r="A44" s="79" t="s">
        <v>48</v>
      </c>
      <c r="B44" s="479"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5">
      <c r="A45" s="79" t="s">
        <v>48</v>
      </c>
      <c r="B45" s="479"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5">
      <c r="A46" s="79" t="s">
        <v>48</v>
      </c>
      <c r="B46" s="479"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5">
      <c r="A47" s="79" t="s">
        <v>48</v>
      </c>
      <c r="B47" s="479"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5">
      <c r="A48" s="79" t="s">
        <v>48</v>
      </c>
      <c r="B48" s="479"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5">
      <c r="A49" s="79" t="s">
        <v>48</v>
      </c>
      <c r="B49" s="479"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5">
      <c r="A50" s="79" t="s">
        <v>48</v>
      </c>
      <c r="B50" s="479"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5">
      <c r="A51" s="79" t="s">
        <v>48</v>
      </c>
      <c r="B51" s="479"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5">
      <c r="A52" s="79" t="s">
        <v>48</v>
      </c>
      <c r="B52" s="479"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5">
      <c r="A53" s="79" t="s">
        <v>48</v>
      </c>
      <c r="B53" s="479"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5">
      <c r="A54" s="79" t="s">
        <v>48</v>
      </c>
      <c r="B54" s="479"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5">
      <c r="A55" s="79" t="s">
        <v>48</v>
      </c>
      <c r="B55" s="479"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5">
      <c r="A56" s="79" t="s">
        <v>48</v>
      </c>
      <c r="B56" s="479"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5">
      <c r="A57" s="79" t="s">
        <v>48</v>
      </c>
      <c r="B57" s="479"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5">
      <c r="A58" s="79" t="s">
        <v>48</v>
      </c>
      <c r="B58" s="479"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5">
      <c r="A59" s="79" t="s">
        <v>48</v>
      </c>
      <c r="B59" s="479"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5">
      <c r="A60" s="79" t="s">
        <v>48</v>
      </c>
      <c r="B60" s="479"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5">
      <c r="A61" s="79" t="s">
        <v>48</v>
      </c>
      <c r="B61" s="479"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5">
      <c r="A62" s="79" t="s">
        <v>48</v>
      </c>
      <c r="B62" s="479"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5">
      <c r="A63" s="79" t="s">
        <v>48</v>
      </c>
      <c r="B63" s="479"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5">
      <c r="A64" s="79" t="s">
        <v>48</v>
      </c>
      <c r="B64" s="479"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5">
      <c r="A65" s="79" t="s">
        <v>48</v>
      </c>
      <c r="B65" s="479"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5">
      <c r="A66" s="79" t="s">
        <v>48</v>
      </c>
      <c r="B66" s="479"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5">
      <c r="A67" s="79" t="s">
        <v>48</v>
      </c>
      <c r="B67" s="479"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5">
      <c r="A68" s="79" t="s">
        <v>48</v>
      </c>
      <c r="B68" s="479"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5">
      <c r="A69" s="79" t="s">
        <v>48</v>
      </c>
      <c r="B69" s="479"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5">
      <c r="A70" s="79" t="s">
        <v>48</v>
      </c>
      <c r="B70" s="479"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5">
      <c r="A71" s="79" t="s">
        <v>48</v>
      </c>
      <c r="B71" s="479"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5">
      <c r="A72" s="79" t="s">
        <v>48</v>
      </c>
      <c r="B72" s="479"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5">
      <c r="A73" s="79" t="s">
        <v>48</v>
      </c>
      <c r="B73" s="479"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5">
      <c r="A74" s="79" t="s">
        <v>48</v>
      </c>
      <c r="B74" s="479"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5">
      <c r="A75" s="79" t="s">
        <v>48</v>
      </c>
      <c r="B75" s="479"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5">
      <c r="A76" s="79" t="s">
        <v>48</v>
      </c>
      <c r="B76" s="479"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5">
      <c r="A77" s="79" t="s">
        <v>48</v>
      </c>
      <c r="B77" s="479"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5">
      <c r="A78" s="79" t="s">
        <v>48</v>
      </c>
      <c r="B78" s="479"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5">
      <c r="A79" s="79" t="s">
        <v>48</v>
      </c>
      <c r="B79" s="479"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5">
      <c r="A80" s="79" t="s">
        <v>48</v>
      </c>
      <c r="B80" s="479"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5">
      <c r="A81" s="79" t="s">
        <v>48</v>
      </c>
      <c r="B81" s="479"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5">
      <c r="A82" s="79" t="s">
        <v>48</v>
      </c>
      <c r="B82" s="479"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5">
      <c r="A83" s="79" t="s">
        <v>48</v>
      </c>
      <c r="B83" s="479"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5">
      <c r="A84" s="79" t="s">
        <v>48</v>
      </c>
      <c r="B84" s="479"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5">
      <c r="A85" s="79" t="s">
        <v>48</v>
      </c>
      <c r="B85" s="479"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5">
      <c r="A86" s="79" t="s">
        <v>48</v>
      </c>
      <c r="B86" s="479"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5">
      <c r="A87" s="79" t="s">
        <v>48</v>
      </c>
      <c r="B87" s="479"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5">
      <c r="A88" s="79" t="s">
        <v>48</v>
      </c>
      <c r="B88" s="479"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5">
      <c r="A89" s="79" t="s">
        <v>48</v>
      </c>
      <c r="B89" s="479"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5">
      <c r="A90" s="79" t="s">
        <v>48</v>
      </c>
      <c r="B90" s="479"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5">
      <c r="A91" s="79" t="s">
        <v>48</v>
      </c>
      <c r="B91" s="479"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5">
      <c r="A92" s="79" t="s">
        <v>48</v>
      </c>
      <c r="B92" s="479"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5">
      <c r="A93" s="79" t="s">
        <v>48</v>
      </c>
      <c r="B93" s="479"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5">
      <c r="A94" s="79" t="s">
        <v>48</v>
      </c>
      <c r="B94" s="479"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5">
      <c r="A95" s="79" t="s">
        <v>48</v>
      </c>
      <c r="B95" s="479"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5">
      <c r="A96" s="79" t="s">
        <v>48</v>
      </c>
      <c r="B96" s="479"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5">
      <c r="A97" s="79" t="s">
        <v>48</v>
      </c>
      <c r="B97" s="479"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5">
      <c r="A98" s="79" t="s">
        <v>48</v>
      </c>
      <c r="B98" s="479"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5">
      <c r="A99" s="79" t="s">
        <v>48</v>
      </c>
      <c r="B99" s="479"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5">
      <c r="A100" s="79" t="s">
        <v>48</v>
      </c>
      <c r="B100" s="479"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5">
      <c r="A101" s="79" t="s">
        <v>48</v>
      </c>
      <c r="B101" s="479"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5">
      <c r="A102" s="79" t="s">
        <v>48</v>
      </c>
      <c r="B102" s="479"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5">
      <c r="A103" s="79" t="s">
        <v>48</v>
      </c>
      <c r="B103" s="479"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5">
      <c r="A104" s="79" t="s">
        <v>48</v>
      </c>
      <c r="B104" s="479"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5">
      <c r="A105" s="79" t="s">
        <v>48</v>
      </c>
      <c r="B105" s="479"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5">
      <c r="A106" s="79" t="s">
        <v>48</v>
      </c>
      <c r="B106" s="479"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5">
      <c r="A107" s="79" t="s">
        <v>48</v>
      </c>
      <c r="B107" s="479"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5">
      <c r="A108" s="79" t="s">
        <v>48</v>
      </c>
      <c r="B108" s="479"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5">
      <c r="A109" s="79" t="s">
        <v>48</v>
      </c>
      <c r="B109" s="479"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5">
      <c r="A110" s="79" t="s">
        <v>48</v>
      </c>
      <c r="B110" s="479"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5">
      <c r="A111" s="79" t="s">
        <v>48</v>
      </c>
      <c r="B111" s="479"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5">
      <c r="A112" s="79" t="s">
        <v>48</v>
      </c>
      <c r="B112" s="479"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5">
      <c r="A113" s="79" t="s">
        <v>48</v>
      </c>
      <c r="B113" s="479"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5">
      <c r="A114" s="79" t="s">
        <v>48</v>
      </c>
      <c r="B114" s="479"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5">
      <c r="A115" s="79" t="s">
        <v>48</v>
      </c>
      <c r="B115" s="479"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5">
      <c r="A116" s="79" t="s">
        <v>48</v>
      </c>
      <c r="B116" s="479"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5">
      <c r="A117" s="79" t="s">
        <v>48</v>
      </c>
      <c r="B117" s="479"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5">
      <c r="A118" s="79" t="s">
        <v>48</v>
      </c>
      <c r="B118" s="479"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5">
      <c r="A119" s="79" t="s">
        <v>48</v>
      </c>
      <c r="B119" s="479"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5">
      <c r="A120" s="79" t="s">
        <v>48</v>
      </c>
      <c r="B120" s="479"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5">
      <c r="A121" s="79" t="s">
        <v>48</v>
      </c>
      <c r="B121" s="479"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5">
      <c r="A122" s="79" t="s">
        <v>48</v>
      </c>
      <c r="B122" s="479"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5">
      <c r="A123" s="79" t="s">
        <v>48</v>
      </c>
      <c r="B123" s="479"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5">
      <c r="A124" s="79" t="s">
        <v>48</v>
      </c>
      <c r="B124" s="479"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5">
      <c r="A125" s="79" t="s">
        <v>48</v>
      </c>
      <c r="B125" s="479"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5">
      <c r="A126" s="79" t="s">
        <v>48</v>
      </c>
      <c r="B126" s="479"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5">
      <c r="A127" s="79" t="s">
        <v>48</v>
      </c>
      <c r="B127" s="479"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5">
      <c r="A128" s="79" t="s">
        <v>48</v>
      </c>
      <c r="B128" s="479"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5">
      <c r="A129" s="79" t="s">
        <v>48</v>
      </c>
      <c r="B129" s="479"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5">
      <c r="A130" s="79" t="s">
        <v>48</v>
      </c>
      <c r="B130" s="479"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5">
      <c r="A131" s="79" t="s">
        <v>48</v>
      </c>
      <c r="B131" s="479"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5">
      <c r="A132" s="79" t="s">
        <v>48</v>
      </c>
      <c r="B132" s="479"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5">
      <c r="A133" s="79" t="s">
        <v>48</v>
      </c>
      <c r="B133" s="479"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5">
      <c r="A134" s="79" t="s">
        <v>48</v>
      </c>
      <c r="B134" s="479"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5">
      <c r="A135" s="79" t="s">
        <v>48</v>
      </c>
      <c r="B135" s="479"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5">
      <c r="A136" s="79" t="s">
        <v>48</v>
      </c>
      <c r="B136" s="479"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5">
      <c r="A137" s="79" t="s">
        <v>48</v>
      </c>
      <c r="B137" s="479"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5">
      <c r="A138" s="79" t="s">
        <v>48</v>
      </c>
      <c r="B138" s="479"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5">
      <c r="A139" s="79" t="s">
        <v>48</v>
      </c>
      <c r="B139" s="479"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5">
      <c r="A140" s="79" t="s">
        <v>48</v>
      </c>
      <c r="B140" s="479"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5">
      <c r="A141" s="79" t="s">
        <v>48</v>
      </c>
      <c r="B141" s="479"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5">
      <c r="A142" s="79" t="s">
        <v>48</v>
      </c>
      <c r="B142" s="479"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5">
      <c r="A143" s="79" t="s">
        <v>48</v>
      </c>
      <c r="B143" s="479"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5">
      <c r="A144" s="79" t="s">
        <v>48</v>
      </c>
      <c r="B144" s="479"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5">
      <c r="A145" s="79" t="s">
        <v>48</v>
      </c>
      <c r="B145" s="479"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5">
      <c r="A146" s="79" t="s">
        <v>48</v>
      </c>
      <c r="B146" s="479"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5">
      <c r="A147" s="79" t="s">
        <v>48</v>
      </c>
      <c r="B147" s="479"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5">
      <c r="A148" s="79" t="s">
        <v>48</v>
      </c>
      <c r="B148" s="479"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5">
      <c r="A149" s="79" t="s">
        <v>48</v>
      </c>
      <c r="B149" s="479"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5">
      <c r="A150" s="79" t="s">
        <v>48</v>
      </c>
      <c r="B150" s="479"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5">
      <c r="A151" s="79" t="s">
        <v>48</v>
      </c>
      <c r="B151" s="479"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5">
      <c r="A152" s="79" t="s">
        <v>48</v>
      </c>
      <c r="B152" s="479"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5">
      <c r="A153" s="79" t="s">
        <v>48</v>
      </c>
      <c r="B153" s="479"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5">
      <c r="A154" s="79" t="s">
        <v>48</v>
      </c>
      <c r="B154" s="479"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5">
      <c r="A155" s="79" t="s">
        <v>48</v>
      </c>
      <c r="B155" s="479"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5">
      <c r="A156" s="79" t="s">
        <v>48</v>
      </c>
      <c r="B156" s="479"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5">
      <c r="A157" s="79" t="s">
        <v>48</v>
      </c>
      <c r="B157" s="479"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5">
      <c r="A158" s="79" t="s">
        <v>48</v>
      </c>
      <c r="B158" s="479"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5">
      <c r="A159" s="79" t="s">
        <v>48</v>
      </c>
      <c r="B159" s="479"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5">
      <c r="A160" s="79" t="s">
        <v>48</v>
      </c>
      <c r="B160" s="479"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5">
      <c r="A161" s="79" t="s">
        <v>48</v>
      </c>
      <c r="B161" s="479"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5">
      <c r="A162" s="79" t="s">
        <v>48</v>
      </c>
      <c r="B162" s="479"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5">
      <c r="A163" s="79" t="s">
        <v>48</v>
      </c>
      <c r="B163" s="479"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5">
      <c r="A164" s="79" t="s">
        <v>48</v>
      </c>
      <c r="B164" s="479"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5">
      <c r="A165" s="79" t="s">
        <v>48</v>
      </c>
      <c r="B165" s="479"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5">
      <c r="A166" s="79" t="s">
        <v>48</v>
      </c>
      <c r="B166" s="479"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5">
      <c r="A167" s="79" t="s">
        <v>48</v>
      </c>
      <c r="B167" s="479"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5">
      <c r="A168" s="79" t="s">
        <v>48</v>
      </c>
      <c r="B168" s="479"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5">
      <c r="A169" s="79" t="s">
        <v>48</v>
      </c>
      <c r="B169" s="479"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5">
      <c r="A170" s="79" t="s">
        <v>48</v>
      </c>
      <c r="B170" s="479"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5">
      <c r="A171" s="79" t="s">
        <v>48</v>
      </c>
      <c r="B171" s="479"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5">
      <c r="A172" s="79" t="s">
        <v>48</v>
      </c>
      <c r="B172" s="479"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5">
      <c r="A173" s="79" t="s">
        <v>48</v>
      </c>
      <c r="B173" s="479"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5">
      <c r="A174" s="79" t="s">
        <v>48</v>
      </c>
      <c r="B174" s="479"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5">
      <c r="A175" s="79" t="s">
        <v>48</v>
      </c>
      <c r="B175" s="479"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5">
      <c r="A176" s="79" t="s">
        <v>48</v>
      </c>
      <c r="B176" s="479"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5">
      <c r="A177" s="79" t="s">
        <v>48</v>
      </c>
      <c r="B177" s="479"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5">
      <c r="A178" s="79" t="s">
        <v>48</v>
      </c>
      <c r="B178" s="479"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5">
      <c r="A179" s="79" t="s">
        <v>48</v>
      </c>
      <c r="B179" s="479"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5">
      <c r="A180" s="79" t="s">
        <v>48</v>
      </c>
      <c r="B180" s="479"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5">
      <c r="A181" s="79" t="s">
        <v>48</v>
      </c>
      <c r="B181" s="479"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5">
      <c r="A182" s="79" t="s">
        <v>48</v>
      </c>
      <c r="B182" s="479"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5">
      <c r="A183" s="79" t="s">
        <v>48</v>
      </c>
      <c r="B183" s="479"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5">
      <c r="A184" s="79" t="s">
        <v>48</v>
      </c>
      <c r="B184" s="479"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5">
      <c r="A185" s="79" t="s">
        <v>48</v>
      </c>
      <c r="B185" s="479"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5">
      <c r="A186" s="79" t="s">
        <v>48</v>
      </c>
      <c r="B186" s="479"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5">
      <c r="A187" s="79" t="s">
        <v>48</v>
      </c>
      <c r="B187" s="479"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5">
      <c r="A188" s="79" t="s">
        <v>48</v>
      </c>
      <c r="B188" s="479"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5">
      <c r="A189" s="79" t="s">
        <v>48</v>
      </c>
      <c r="B189" s="479"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5">
      <c r="A190" s="79" t="s">
        <v>48</v>
      </c>
      <c r="B190" s="479"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5">
      <c r="A191" s="79" t="s">
        <v>48</v>
      </c>
      <c r="B191" s="479"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5">
      <c r="A192" s="79" t="s">
        <v>48</v>
      </c>
      <c r="B192" s="479"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5">
      <c r="A193" s="79" t="s">
        <v>48</v>
      </c>
      <c r="B193" s="479"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5">
      <c r="A194" s="79" t="s">
        <v>48</v>
      </c>
      <c r="B194" s="479"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5">
      <c r="A195" s="79" t="s">
        <v>48</v>
      </c>
      <c r="B195" s="479"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5">
      <c r="A196" s="79" t="s">
        <v>48</v>
      </c>
      <c r="B196" s="479"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5">
      <c r="A197" s="79" t="s">
        <v>48</v>
      </c>
      <c r="B197" s="479"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5">
      <c r="A198" s="79" t="s">
        <v>48</v>
      </c>
      <c r="B198" s="479"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5">
      <c r="A199" s="79" t="s">
        <v>48</v>
      </c>
      <c r="B199" s="479"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5">
      <c r="A200" s="79" t="s">
        <v>48</v>
      </c>
      <c r="B200" s="479"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5">
      <c r="A201" s="79" t="s">
        <v>48</v>
      </c>
      <c r="B201" s="479"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5">
      <c r="A202" s="79" t="s">
        <v>48</v>
      </c>
      <c r="B202" s="479"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5">
      <c r="A203" s="79" t="s">
        <v>48</v>
      </c>
      <c r="B203" s="479"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5">
      <c r="A204" s="79" t="s">
        <v>48</v>
      </c>
      <c r="B204" s="479"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5">
      <c r="A205" s="79" t="s">
        <v>48</v>
      </c>
      <c r="B205" s="479"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5">
      <c r="A206" s="79" t="s">
        <v>48</v>
      </c>
      <c r="B206" s="479"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5">
      <c r="A207" s="79" t="s">
        <v>48</v>
      </c>
      <c r="B207" s="479"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5">
      <c r="A208" s="79" t="s">
        <v>48</v>
      </c>
      <c r="B208" s="479"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5">
      <c r="A209" s="79" t="s">
        <v>48</v>
      </c>
      <c r="B209" s="479"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5">
      <c r="A210" s="79" t="s">
        <v>48</v>
      </c>
      <c r="B210" s="479"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5">
      <c r="A211" s="79" t="s">
        <v>48</v>
      </c>
      <c r="B211" s="479"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5">
      <c r="A212" s="79" t="s">
        <v>48</v>
      </c>
      <c r="B212" s="479"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5">
      <c r="A213" s="79" t="s">
        <v>48</v>
      </c>
      <c r="B213" s="479"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5">
      <c r="A214" s="79" t="s">
        <v>48</v>
      </c>
      <c r="B214" s="479"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5">
      <c r="A215" s="79" t="s">
        <v>48</v>
      </c>
      <c r="B215" s="479"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5">
      <c r="A216" s="79" t="s">
        <v>48</v>
      </c>
      <c r="B216" s="479"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5">
      <c r="A217" s="79" t="s">
        <v>48</v>
      </c>
      <c r="B217" s="479"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5">
      <c r="A218" s="79" t="s">
        <v>48</v>
      </c>
      <c r="B218" s="479"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5">
      <c r="A219" s="79" t="s">
        <v>48</v>
      </c>
      <c r="B219" s="479"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5">
      <c r="A220" s="79" t="s">
        <v>48</v>
      </c>
      <c r="B220" s="479"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5">
      <c r="A221" s="79" t="s">
        <v>48</v>
      </c>
      <c r="B221" s="479"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5">
      <c r="A222" s="79" t="s">
        <v>48</v>
      </c>
      <c r="B222" s="479"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5">
      <c r="A223" s="79" t="s">
        <v>48</v>
      </c>
      <c r="B223" s="479"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5">
      <c r="A224" s="79" t="s">
        <v>48</v>
      </c>
      <c r="B224" s="479"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5">
      <c r="A225" s="79" t="s">
        <v>48</v>
      </c>
      <c r="B225" s="479"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5">
      <c r="A226" s="79" t="s">
        <v>48</v>
      </c>
      <c r="B226" s="479"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5">
      <c r="A227" s="79" t="s">
        <v>48</v>
      </c>
      <c r="B227" s="479"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5">
      <c r="A228" s="79" t="s">
        <v>48</v>
      </c>
      <c r="B228" s="479"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5">
      <c r="A229" s="79" t="s">
        <v>48</v>
      </c>
      <c r="B229" s="479"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5">
      <c r="A230" s="79" t="s">
        <v>48</v>
      </c>
      <c r="B230" s="479"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5">
      <c r="A231" s="79" t="s">
        <v>48</v>
      </c>
      <c r="B231" s="479"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5">
      <c r="A232" s="79" t="s">
        <v>48</v>
      </c>
      <c r="B232" s="479"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5">
      <c r="A233" s="79" t="s">
        <v>48</v>
      </c>
      <c r="B233" s="479"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5">
      <c r="A234" s="79" t="s">
        <v>48</v>
      </c>
      <c r="B234" s="479"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5">
      <c r="A235" s="79" t="s">
        <v>48</v>
      </c>
      <c r="B235" s="479"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5">
      <c r="A236" s="79" t="s">
        <v>48</v>
      </c>
      <c r="B236" s="479"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5">
      <c r="A237" s="79" t="s">
        <v>48</v>
      </c>
      <c r="B237" s="479"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5">
      <c r="A238" s="79" t="s">
        <v>48</v>
      </c>
      <c r="B238" s="479"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5">
      <c r="A239" s="79" t="s">
        <v>48</v>
      </c>
      <c r="B239" s="479"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5">
      <c r="A240" s="79" t="s">
        <v>48</v>
      </c>
      <c r="B240" s="479"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5">
      <c r="A241" s="79" t="s">
        <v>48</v>
      </c>
      <c r="B241" s="479"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5">
      <c r="A242" s="79" t="s">
        <v>48</v>
      </c>
      <c r="B242" s="479"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5">
      <c r="A243" s="79" t="s">
        <v>48</v>
      </c>
      <c r="B243" s="479"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5">
      <c r="A244" s="79" t="s">
        <v>48</v>
      </c>
      <c r="B244" s="479"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5">
      <c r="A245" s="79" t="s">
        <v>48</v>
      </c>
      <c r="B245" s="479"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5">
      <c r="A246" s="79" t="s">
        <v>48</v>
      </c>
      <c r="B246" s="479"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5">
      <c r="A247" s="79" t="s">
        <v>48</v>
      </c>
      <c r="B247" s="479"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5">
      <c r="A248" s="79" t="s">
        <v>48</v>
      </c>
      <c r="B248" s="479"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5">
      <c r="A249" s="79" t="s">
        <v>48</v>
      </c>
      <c r="B249" s="479"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5">
      <c r="A250" s="79" t="s">
        <v>48</v>
      </c>
      <c r="B250" s="479"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5">
      <c r="A251" s="79" t="s">
        <v>48</v>
      </c>
      <c r="B251" s="479"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5">
      <c r="A252" s="79" t="s">
        <v>48</v>
      </c>
      <c r="B252" s="479"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5">
      <c r="A253" s="79" t="s">
        <v>48</v>
      </c>
      <c r="B253" s="479"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5">
      <c r="A254" s="79" t="s">
        <v>48</v>
      </c>
      <c r="B254" s="479"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5">
      <c r="A255" s="79" t="s">
        <v>48</v>
      </c>
      <c r="B255" s="479"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5">
      <c r="A256" s="79" t="s">
        <v>48</v>
      </c>
      <c r="B256" s="479"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5">
      <c r="A257" s="79" t="s">
        <v>48</v>
      </c>
      <c r="B257" s="479"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5">
      <c r="A258" s="79" t="s">
        <v>48</v>
      </c>
      <c r="B258" s="479"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5">
      <c r="A259" s="79" t="s">
        <v>48</v>
      </c>
      <c r="B259" s="479"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5">
      <c r="A260" s="79" t="s">
        <v>48</v>
      </c>
      <c r="B260" s="479"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5">
      <c r="A261" s="79" t="s">
        <v>48</v>
      </c>
      <c r="B261" s="479"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5">
      <c r="A262" s="79" t="s">
        <v>48</v>
      </c>
      <c r="B262" s="479"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5">
      <c r="A263" s="79" t="s">
        <v>48</v>
      </c>
      <c r="B263" s="479"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5">
      <c r="A264" s="79" t="s">
        <v>48</v>
      </c>
      <c r="B264" s="479"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5">
      <c r="A265" s="79" t="s">
        <v>48</v>
      </c>
      <c r="B265" s="479"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5">
      <c r="A266" s="79" t="s">
        <v>48</v>
      </c>
      <c r="B266" s="479"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5">
      <c r="A267" s="79" t="s">
        <v>48</v>
      </c>
      <c r="B267" s="479"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5">
      <c r="A268" s="79" t="s">
        <v>48</v>
      </c>
      <c r="B268" s="479"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5">
      <c r="A269" s="79" t="s">
        <v>48</v>
      </c>
      <c r="B269" s="479"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5">
      <c r="A270" s="79" t="s">
        <v>48</v>
      </c>
      <c r="B270" s="479"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5">
      <c r="A271" s="79" t="s">
        <v>48</v>
      </c>
      <c r="B271" s="479"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5">
      <c r="A272" s="79" t="s">
        <v>48</v>
      </c>
      <c r="B272" s="479"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5">
      <c r="A273" s="79" t="s">
        <v>48</v>
      </c>
      <c r="B273" s="479"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5">
      <c r="A274" s="79" t="s">
        <v>48</v>
      </c>
      <c r="B274" s="479"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5">
      <c r="A275" s="79" t="s">
        <v>48</v>
      </c>
      <c r="B275" s="479"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5">
      <c r="A276" s="79" t="s">
        <v>48</v>
      </c>
      <c r="B276" s="479"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5">
      <c r="A277" s="79" t="s">
        <v>48</v>
      </c>
      <c r="B277" s="479"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5">
      <c r="A278" s="79" t="s">
        <v>48</v>
      </c>
      <c r="B278" s="479"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5">
      <c r="A279" s="79" t="s">
        <v>48</v>
      </c>
      <c r="B279" s="479"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5">
      <c r="A280" s="79" t="s">
        <v>48</v>
      </c>
      <c r="B280" s="479"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5">
      <c r="A281" s="79" t="s">
        <v>48</v>
      </c>
      <c r="B281" s="479"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5">
      <c r="A282" s="79" t="s">
        <v>48</v>
      </c>
      <c r="B282" s="479"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5">
      <c r="A283" s="79" t="s">
        <v>48</v>
      </c>
      <c r="B283" s="479"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5">
      <c r="A284" s="79" t="s">
        <v>48</v>
      </c>
      <c r="B284" s="479"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5">
      <c r="A285" s="79" t="s">
        <v>48</v>
      </c>
      <c r="B285" s="479"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5">
      <c r="A286" s="79" t="s">
        <v>48</v>
      </c>
      <c r="B286" s="479"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5">
      <c r="A287" s="79" t="s">
        <v>48</v>
      </c>
      <c r="B287" s="479"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5">
      <c r="A288" s="79" t="s">
        <v>48</v>
      </c>
      <c r="B288" s="479"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5">
      <c r="A289" s="79" t="s">
        <v>48</v>
      </c>
      <c r="B289" s="479"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5">
      <c r="A290" s="79" t="s">
        <v>48</v>
      </c>
      <c r="B290" s="479"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5">
      <c r="A291" s="79" t="s">
        <v>48</v>
      </c>
      <c r="B291" s="479"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5">
      <c r="A292" s="79" t="s">
        <v>48</v>
      </c>
      <c r="B292" s="479"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5">
      <c r="A293" s="79" t="s">
        <v>48</v>
      </c>
      <c r="B293" s="479"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5">
      <c r="A294" s="79" t="s">
        <v>48</v>
      </c>
      <c r="B294" s="479"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5">
      <c r="A295" s="79" t="s">
        <v>48</v>
      </c>
      <c r="B295" s="479"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5">
      <c r="A296" s="79" t="s">
        <v>48</v>
      </c>
      <c r="B296" s="479"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5">
      <c r="A297" s="79" t="s">
        <v>48</v>
      </c>
      <c r="B297" s="479"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5">
      <c r="A298" s="79" t="s">
        <v>48</v>
      </c>
      <c r="B298" s="479"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5">
      <c r="A299" s="79" t="s">
        <v>48</v>
      </c>
      <c r="B299" s="479"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5">
      <c r="A300" s="79" t="s">
        <v>48</v>
      </c>
      <c r="B300" s="479"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5">
      <c r="A301" s="79" t="s">
        <v>48</v>
      </c>
      <c r="B301" s="479"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5">
      <c r="A302" s="79" t="s">
        <v>48</v>
      </c>
      <c r="B302" s="479"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5">
      <c r="A303" s="79" t="s">
        <v>48</v>
      </c>
      <c r="B303" s="479"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5">
      <c r="A304" s="79" t="s">
        <v>48</v>
      </c>
      <c r="B304" s="479"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5">
      <c r="A305" s="79" t="s">
        <v>48</v>
      </c>
      <c r="B305" s="479"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5">
      <c r="A306" s="79" t="s">
        <v>48</v>
      </c>
      <c r="B306" s="479"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5">
      <c r="A307" s="79" t="s">
        <v>48</v>
      </c>
      <c r="B307" s="479"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5">
      <c r="A308" s="79" t="s">
        <v>48</v>
      </c>
      <c r="B308" s="479"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5">
      <c r="A309" s="79" t="s">
        <v>48</v>
      </c>
      <c r="B309" s="479"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5">
      <c r="A310" s="79" t="s">
        <v>48</v>
      </c>
      <c r="B310" s="479"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5">
      <c r="A311" s="79" t="s">
        <v>48</v>
      </c>
      <c r="B311" s="479"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5">
      <c r="A312" s="79" t="s">
        <v>48</v>
      </c>
      <c r="B312" s="479"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5">
      <c r="A313" s="79" t="s">
        <v>48</v>
      </c>
      <c r="B313" s="479"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5">
      <c r="A314" s="79" t="s">
        <v>48</v>
      </c>
      <c r="B314" s="479"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5">
      <c r="A315" s="79" t="s">
        <v>48</v>
      </c>
      <c r="B315" s="479"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5">
      <c r="A316" s="79" t="s">
        <v>48</v>
      </c>
      <c r="B316" s="479"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5">
      <c r="A317" s="79" t="s">
        <v>48</v>
      </c>
      <c r="B317" s="479"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5">
      <c r="A318" s="79" t="s">
        <v>48</v>
      </c>
      <c r="B318" s="479"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5">
      <c r="A319" s="79" t="s">
        <v>48</v>
      </c>
      <c r="B319" s="479"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5">
      <c r="A320" s="79" t="s">
        <v>48</v>
      </c>
      <c r="B320" s="479"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5">
      <c r="A321" s="79" t="s">
        <v>48</v>
      </c>
      <c r="B321" s="479"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5">
      <c r="A322" s="79" t="s">
        <v>48</v>
      </c>
      <c r="B322" s="479"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5">
      <c r="A323" s="79" t="s">
        <v>48</v>
      </c>
      <c r="B323" s="479"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5">
      <c r="A324" s="79" t="s">
        <v>48</v>
      </c>
      <c r="B324" s="479"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5">
      <c r="A325" s="79" t="s">
        <v>48</v>
      </c>
      <c r="B325" s="479"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5">
      <c r="A326" s="79" t="s">
        <v>48</v>
      </c>
      <c r="B326" s="479"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5">
      <c r="A327" s="79" t="s">
        <v>48</v>
      </c>
      <c r="B327" s="479"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5">
      <c r="A328" s="79" t="s">
        <v>48</v>
      </c>
      <c r="B328" s="479"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5">
      <c r="A329" s="79" t="s">
        <v>48</v>
      </c>
      <c r="B329" s="479"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5">
      <c r="A330" s="79" t="s">
        <v>48</v>
      </c>
      <c r="B330" s="479"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5">
      <c r="A331" s="79" t="s">
        <v>48</v>
      </c>
      <c r="B331" s="479"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5">
      <c r="A332" s="79" t="s">
        <v>48</v>
      </c>
      <c r="B332" s="479"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5">
      <c r="A333" s="79" t="s">
        <v>48</v>
      </c>
      <c r="B333" s="479"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5">
      <c r="A334" s="79" t="s">
        <v>48</v>
      </c>
      <c r="B334" s="479"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5">
      <c r="A335" s="79" t="s">
        <v>48</v>
      </c>
      <c r="B335" s="479"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5">
      <c r="A336" s="79" t="s">
        <v>48</v>
      </c>
      <c r="B336" s="479"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5">
      <c r="A337" s="79" t="s">
        <v>48</v>
      </c>
      <c r="B337" s="479"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5">
      <c r="A338" s="79" t="s">
        <v>48</v>
      </c>
      <c r="B338" s="479"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5">
      <c r="A339" s="79" t="s">
        <v>48</v>
      </c>
      <c r="B339" s="479"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5">
      <c r="A340" s="79" t="s">
        <v>48</v>
      </c>
      <c r="B340" s="479"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5">
      <c r="A341" s="79" t="s">
        <v>48</v>
      </c>
      <c r="B341" s="479"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5">
      <c r="A342" s="79" t="s">
        <v>48</v>
      </c>
      <c r="B342" s="479"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5">
      <c r="A343" s="79" t="s">
        <v>48</v>
      </c>
      <c r="B343" s="479"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5">
      <c r="A344" s="79" t="s">
        <v>48</v>
      </c>
      <c r="B344" s="479"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5">
      <c r="A345" s="79" t="s">
        <v>48</v>
      </c>
      <c r="B345" s="479"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5">
      <c r="A346" s="79" t="s">
        <v>48</v>
      </c>
      <c r="B346" s="479"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5">
      <c r="A347" s="79" t="s">
        <v>48</v>
      </c>
      <c r="B347" s="479"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5">
      <c r="A348" s="79" t="s">
        <v>48</v>
      </c>
      <c r="B348" s="479"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5">
      <c r="A349" s="79" t="s">
        <v>48</v>
      </c>
      <c r="B349" s="479"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5">
      <c r="A350" s="79" t="s">
        <v>48</v>
      </c>
      <c r="B350" s="479"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5">
      <c r="A351" s="79" t="s">
        <v>48</v>
      </c>
      <c r="B351" s="479"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5">
      <c r="A352" s="79" t="s">
        <v>48</v>
      </c>
      <c r="B352" s="479"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5">
      <c r="A353" s="79" t="s">
        <v>48</v>
      </c>
      <c r="B353" s="479"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5">
      <c r="A354" s="79" t="s">
        <v>48</v>
      </c>
      <c r="B354" s="479"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5">
      <c r="A355" s="79" t="s">
        <v>48</v>
      </c>
      <c r="B355" s="479"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5">
      <c r="A356" s="79" t="s">
        <v>48</v>
      </c>
      <c r="B356" s="479"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5">
      <c r="A357" s="79" t="s">
        <v>48</v>
      </c>
      <c r="B357" s="479"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5">
      <c r="A358" s="79" t="s">
        <v>48</v>
      </c>
      <c r="B358" s="479"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5">
      <c r="A359" s="79" t="s">
        <v>48</v>
      </c>
      <c r="B359" s="479"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5">
      <c r="A360" s="79" t="s">
        <v>48</v>
      </c>
      <c r="B360" s="479"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5">
      <c r="A361" s="79" t="s">
        <v>48</v>
      </c>
      <c r="B361" s="479"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5">
      <c r="A362" s="79" t="s">
        <v>48</v>
      </c>
      <c r="B362" s="479"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5">
      <c r="A363" s="79" t="s">
        <v>48</v>
      </c>
      <c r="B363" s="479"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5">
      <c r="A364" s="79" t="s">
        <v>48</v>
      </c>
      <c r="B364" s="479"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5">
      <c r="A365" s="79" t="s">
        <v>48</v>
      </c>
      <c r="B365" s="479"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5">
      <c r="A366" s="79" t="s">
        <v>48</v>
      </c>
      <c r="B366" s="479"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5">
      <c r="A367" s="79" t="s">
        <v>48</v>
      </c>
      <c r="B367" s="479"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5">
      <c r="A368" s="79" t="s">
        <v>48</v>
      </c>
      <c r="B368" s="479"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5">
      <c r="A369" s="79" t="s">
        <v>48</v>
      </c>
      <c r="B369" s="479"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5">
      <c r="A370" s="79" t="s">
        <v>48</v>
      </c>
      <c r="B370" s="479"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5">
      <c r="A371" s="79" t="s">
        <v>48</v>
      </c>
      <c r="B371" s="479"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5">
      <c r="A372" s="79" t="s">
        <v>48</v>
      </c>
      <c r="B372" s="479"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5">
      <c r="A373" s="79" t="s">
        <v>48</v>
      </c>
      <c r="B373" s="479"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5">
      <c r="A374" s="79" t="s">
        <v>48</v>
      </c>
      <c r="B374" s="479"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5">
      <c r="A375" s="79" t="s">
        <v>48</v>
      </c>
      <c r="B375" s="479"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5">
      <c r="A376" s="79" t="s">
        <v>48</v>
      </c>
      <c r="B376" s="479"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5">
      <c r="A377" s="79" t="s">
        <v>48</v>
      </c>
      <c r="B377" s="479"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5">
      <c r="A378" s="79" t="s">
        <v>48</v>
      </c>
      <c r="B378" s="479"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5">
      <c r="A379" s="79" t="s">
        <v>48</v>
      </c>
      <c r="B379" s="479"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5">
      <c r="A380" s="79" t="s">
        <v>48</v>
      </c>
      <c r="B380" s="479"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5">
      <c r="A381" s="79" t="s">
        <v>48</v>
      </c>
      <c r="B381" s="479"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5">
      <c r="A382" s="79" t="s">
        <v>48</v>
      </c>
      <c r="B382" s="479"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5">
      <c r="A383" s="79" t="s">
        <v>48</v>
      </c>
      <c r="B383" s="479"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5">
      <c r="A384" s="79" t="s">
        <v>48</v>
      </c>
      <c r="B384" s="479"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5">
      <c r="A385" s="79" t="s">
        <v>48</v>
      </c>
      <c r="B385" s="479"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5">
      <c r="A386" s="79" t="s">
        <v>48</v>
      </c>
      <c r="B386" s="479"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5">
      <c r="A387" s="79" t="s">
        <v>48</v>
      </c>
      <c r="B387" s="479"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5">
      <c r="A388" s="79" t="s">
        <v>48</v>
      </c>
      <c r="B388" s="479"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5">
      <c r="A389" s="79" t="s">
        <v>48</v>
      </c>
      <c r="B389" s="479"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5">
      <c r="A390" s="79" t="s">
        <v>48</v>
      </c>
      <c r="B390" s="479"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5">
      <c r="A391" s="79" t="s">
        <v>48</v>
      </c>
      <c r="B391" s="479"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5">
      <c r="A392" s="79" t="s">
        <v>48</v>
      </c>
      <c r="B392" s="479"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5">
      <c r="A393" s="79" t="s">
        <v>48</v>
      </c>
      <c r="B393" s="479"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5">
      <c r="A394" s="79" t="s">
        <v>48</v>
      </c>
      <c r="B394" s="479"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5">
      <c r="A395" s="79" t="s">
        <v>48</v>
      </c>
      <c r="B395" s="479"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5">
      <c r="A396" s="79" t="s">
        <v>48</v>
      </c>
      <c r="B396" s="479"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5">
      <c r="A397" s="79" t="s">
        <v>48</v>
      </c>
      <c r="B397" s="479"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5">
      <c r="A398" s="79" t="s">
        <v>48</v>
      </c>
      <c r="B398" s="479"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5">
      <c r="A399" s="79" t="s">
        <v>48</v>
      </c>
      <c r="B399" s="479"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5">
      <c r="A400" s="79" t="s">
        <v>48</v>
      </c>
      <c r="B400" s="479"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5">
      <c r="A401" s="79" t="s">
        <v>48</v>
      </c>
      <c r="B401" s="479"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5">
      <c r="A402" s="79" t="s">
        <v>48</v>
      </c>
      <c r="B402" s="479"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5">
      <c r="A403" s="79" t="s">
        <v>48</v>
      </c>
      <c r="B403" s="479"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5">
      <c r="A404" s="79" t="s">
        <v>48</v>
      </c>
      <c r="B404" s="479"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5">
      <c r="A405" s="79" t="s">
        <v>48</v>
      </c>
      <c r="B405" s="479"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5">
      <c r="A406" s="79" t="s">
        <v>48</v>
      </c>
      <c r="B406" s="479"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5">
      <c r="A407" s="79" t="s">
        <v>48</v>
      </c>
      <c r="B407" s="479"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5">
      <c r="A408" s="79" t="s">
        <v>48</v>
      </c>
      <c r="B408" s="479"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5">
      <c r="A409" s="79" t="s">
        <v>48</v>
      </c>
      <c r="B409" s="479"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5">
      <c r="A410" s="79" t="s">
        <v>48</v>
      </c>
      <c r="B410" s="479"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5">
      <c r="A411" s="79" t="s">
        <v>48</v>
      </c>
      <c r="B411" s="479"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5">
      <c r="A412" s="79" t="s">
        <v>48</v>
      </c>
      <c r="B412" s="479"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5">
      <c r="A413" s="79" t="s">
        <v>48</v>
      </c>
      <c r="B413" s="479"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5">
      <c r="A414" s="79" t="s">
        <v>48</v>
      </c>
      <c r="B414" s="479"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5">
      <c r="A415" s="79" t="s">
        <v>48</v>
      </c>
      <c r="B415" s="479"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5">
      <c r="A416" s="79" t="s">
        <v>48</v>
      </c>
      <c r="B416" s="479"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5">
      <c r="A417" s="79" t="s">
        <v>48</v>
      </c>
      <c r="B417" s="479"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5">
      <c r="A418" s="79" t="s">
        <v>48</v>
      </c>
      <c r="B418" s="479"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5">
      <c r="A419" s="79" t="s">
        <v>48</v>
      </c>
      <c r="B419" s="479"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5">
      <c r="A420" s="79" t="s">
        <v>48</v>
      </c>
      <c r="B420" s="479"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5">
      <c r="A421" s="79" t="s">
        <v>48</v>
      </c>
      <c r="B421" s="479"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5">
      <c r="A422" s="79" t="s">
        <v>48</v>
      </c>
      <c r="B422" s="479"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5">
      <c r="A423" s="79" t="s">
        <v>48</v>
      </c>
      <c r="B423" s="479"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5">
      <c r="A424" s="79" t="s">
        <v>48</v>
      </c>
      <c r="B424" s="479"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5">
      <c r="A425" s="79" t="s">
        <v>48</v>
      </c>
      <c r="B425" s="479"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5">
      <c r="A426" s="79" t="s">
        <v>48</v>
      </c>
      <c r="B426" s="479"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5">
      <c r="A427" s="79" t="s">
        <v>48</v>
      </c>
      <c r="B427" s="479"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5">
      <c r="A428" s="79" t="s">
        <v>48</v>
      </c>
      <c r="B428" s="479"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5">
      <c r="A429" s="79" t="s">
        <v>48</v>
      </c>
      <c r="B429" s="479"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5">
      <c r="A430" s="79" t="s">
        <v>48</v>
      </c>
      <c r="B430" s="479"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5">
      <c r="A431" s="79" t="s">
        <v>48</v>
      </c>
      <c r="B431" s="479"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5">
      <c r="A432" s="79" t="s">
        <v>48</v>
      </c>
      <c r="B432" s="479"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5">
      <c r="A433" s="79" t="s">
        <v>48</v>
      </c>
      <c r="B433" s="479"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5">
      <c r="A434" s="79" t="s">
        <v>48</v>
      </c>
      <c r="B434" s="479"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5">
      <c r="A435" s="79" t="s">
        <v>48</v>
      </c>
      <c r="B435" s="479"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5">
      <c r="A436" s="79" t="s">
        <v>48</v>
      </c>
      <c r="B436" s="479"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5">
      <c r="A437" s="79" t="s">
        <v>48</v>
      </c>
      <c r="B437" s="479"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5">
      <c r="A438" s="79" t="s">
        <v>48</v>
      </c>
      <c r="B438" s="479"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5">
      <c r="A439" s="79" t="s">
        <v>48</v>
      </c>
      <c r="B439" s="479"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5">
      <c r="A440" s="79" t="s">
        <v>48</v>
      </c>
      <c r="B440" s="479"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5">
      <c r="A441" s="79" t="s">
        <v>48</v>
      </c>
      <c r="B441" s="479"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5">
      <c r="A442" s="79" t="s">
        <v>48</v>
      </c>
      <c r="B442" s="479"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5">
      <c r="A443" s="79" t="s">
        <v>48</v>
      </c>
      <c r="B443" s="479"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5">
      <c r="A444" s="79" t="s">
        <v>48</v>
      </c>
      <c r="B444" s="479"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5">
      <c r="A445" s="79" t="s">
        <v>48</v>
      </c>
      <c r="B445" s="479"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5">
      <c r="A446" s="79" t="s">
        <v>48</v>
      </c>
      <c r="B446" s="479"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5">
      <c r="A447" s="79" t="s">
        <v>48</v>
      </c>
      <c r="B447" s="479"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5">
      <c r="A448" s="79" t="s">
        <v>48</v>
      </c>
      <c r="B448" s="479"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5">
      <c r="A449" s="79" t="s">
        <v>48</v>
      </c>
      <c r="B449" s="479"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5">
      <c r="A450" s="79" t="s">
        <v>48</v>
      </c>
      <c r="B450" s="479"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5">
      <c r="A451" s="79" t="s">
        <v>48</v>
      </c>
      <c r="B451" s="479"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5">
      <c r="A452" s="79" t="s">
        <v>48</v>
      </c>
      <c r="B452" s="479"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5">
      <c r="A453" s="79" t="s">
        <v>48</v>
      </c>
      <c r="B453" s="479"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5">
      <c r="A454" s="79" t="s">
        <v>48</v>
      </c>
      <c r="B454" s="479"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5">
      <c r="A455" s="79" t="s">
        <v>48</v>
      </c>
      <c r="B455" s="479"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5">
      <c r="A456" s="79" t="s">
        <v>48</v>
      </c>
      <c r="B456" s="479"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5">
      <c r="A457" s="79" t="s">
        <v>48</v>
      </c>
      <c r="B457" s="479"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5">
      <c r="A458" s="79" t="s">
        <v>48</v>
      </c>
      <c r="B458" s="479"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5">
      <c r="A459" s="79" t="s">
        <v>48</v>
      </c>
      <c r="B459" s="479"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5">
      <c r="A460" s="79" t="s">
        <v>48</v>
      </c>
      <c r="B460" s="479"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5">
      <c r="A461" s="79" t="s">
        <v>48</v>
      </c>
      <c r="B461" s="479"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5">
      <c r="A462" s="79" t="s">
        <v>48</v>
      </c>
      <c r="B462" s="479"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5">
      <c r="A463" s="79" t="s">
        <v>48</v>
      </c>
      <c r="B463" s="479"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5">
      <c r="A464" s="79" t="s">
        <v>48</v>
      </c>
      <c r="B464" s="479"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5">
      <c r="A465" s="79" t="s">
        <v>48</v>
      </c>
      <c r="B465" s="479"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5">
      <c r="A466" s="79" t="s">
        <v>48</v>
      </c>
      <c r="B466" s="479"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5">
      <c r="A467" s="79" t="s">
        <v>48</v>
      </c>
      <c r="B467" s="479"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5">
      <c r="A468" s="79" t="s">
        <v>48</v>
      </c>
      <c r="B468" s="479"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5">
      <c r="A469" s="79" t="s">
        <v>48</v>
      </c>
      <c r="B469" s="479"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5">
      <c r="A470" s="79" t="s">
        <v>48</v>
      </c>
      <c r="B470" s="479"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5">
      <c r="A471" s="79" t="s">
        <v>48</v>
      </c>
      <c r="B471" s="479"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5">
      <c r="A472" s="79" t="s">
        <v>48</v>
      </c>
      <c r="B472" s="479"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5">
      <c r="A473" s="79" t="s">
        <v>48</v>
      </c>
      <c r="B473" s="479"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5">
      <c r="A474" s="79" t="s">
        <v>48</v>
      </c>
      <c r="B474" s="479"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5">
      <c r="A475" s="79" t="s">
        <v>48</v>
      </c>
      <c r="B475" s="479"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5">
      <c r="A476" s="79" t="s">
        <v>48</v>
      </c>
      <c r="B476" s="479"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5">
      <c r="A477" s="79" t="s">
        <v>48</v>
      </c>
      <c r="B477" s="479"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5">
      <c r="A478" s="79" t="s">
        <v>48</v>
      </c>
      <c r="B478" s="479"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5">
      <c r="A479" s="79" t="s">
        <v>48</v>
      </c>
      <c r="B479" s="479"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5">
      <c r="A480" s="79" t="s">
        <v>48</v>
      </c>
      <c r="B480" s="479"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5">
      <c r="A481" s="79" t="s">
        <v>48</v>
      </c>
      <c r="B481" s="479"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5">
      <c r="A482" s="79" t="s">
        <v>48</v>
      </c>
      <c r="B482" s="479"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5">
      <c r="A483" s="79" t="s">
        <v>48</v>
      </c>
      <c r="B483" s="479"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5">
      <c r="A484" s="79" t="s">
        <v>48</v>
      </c>
      <c r="B484" s="479"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5">
      <c r="A485" s="79" t="s">
        <v>48</v>
      </c>
      <c r="B485" s="479"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5">
      <c r="A486" s="79" t="s">
        <v>48</v>
      </c>
      <c r="B486" s="479"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5">
      <c r="A487" s="79" t="s">
        <v>48</v>
      </c>
      <c r="B487" s="479"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5">
      <c r="A488" s="79" t="s">
        <v>48</v>
      </c>
      <c r="B488" s="479"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5">
      <c r="A489" s="79" t="s">
        <v>48</v>
      </c>
      <c r="B489" s="479"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5">
      <c r="A490" s="79" t="s">
        <v>48</v>
      </c>
      <c r="B490" s="479"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5">
      <c r="A491" s="79" t="s">
        <v>48</v>
      </c>
      <c r="B491" s="479"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5">
      <c r="A492" s="79" t="s">
        <v>48</v>
      </c>
      <c r="B492" s="479"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5">
      <c r="A493" s="79" t="s">
        <v>48</v>
      </c>
      <c r="B493" s="479"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5">
      <c r="A494" s="79" t="s">
        <v>48</v>
      </c>
      <c r="B494" s="479"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5">
      <c r="A495" s="79" t="s">
        <v>48</v>
      </c>
      <c r="B495" s="479"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5">
      <c r="A496" s="79" t="s">
        <v>48</v>
      </c>
      <c r="B496" s="479"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5">
      <c r="A497" s="79" t="s">
        <v>48</v>
      </c>
      <c r="B497" s="479"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5">
      <c r="A498" s="79" t="s">
        <v>48</v>
      </c>
      <c r="B498" s="479"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5">
      <c r="A499" s="79" t="s">
        <v>48</v>
      </c>
      <c r="B499" s="479"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5">
      <c r="A500" s="79" t="s">
        <v>48</v>
      </c>
      <c r="B500" s="479"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5">
      <c r="A501" s="79" t="s">
        <v>48</v>
      </c>
      <c r="B501" s="479"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5">
      <c r="A502" s="79" t="s">
        <v>48</v>
      </c>
      <c r="B502" s="479"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5">
      <c r="A503" s="79" t="s">
        <v>48</v>
      </c>
      <c r="B503" s="479"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5">
      <c r="A504" s="79" t="s">
        <v>48</v>
      </c>
      <c r="B504" s="479"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5">
      <c r="A505" s="79" t="s">
        <v>48</v>
      </c>
      <c r="B505" s="479"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5">
      <c r="A506" s="79" t="s">
        <v>48</v>
      </c>
      <c r="B506" s="479"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5">
      <c r="A507" s="79" t="s">
        <v>48</v>
      </c>
      <c r="B507" s="479"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5">
      <c r="A508" s="79" t="s">
        <v>48</v>
      </c>
      <c r="B508" s="479"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5">
      <c r="A509" s="79" t="s">
        <v>48</v>
      </c>
      <c r="B509" s="479"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5">
      <c r="A510" s="79" t="s">
        <v>48</v>
      </c>
      <c r="B510" s="479"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5">
      <c r="A511" s="79" t="s">
        <v>48</v>
      </c>
      <c r="B511" s="479"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5">
      <c r="A512" s="79" t="s">
        <v>48</v>
      </c>
      <c r="B512" s="479"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5">
      <c r="A513" s="79" t="s">
        <v>48</v>
      </c>
      <c r="B513" s="479"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5">
      <c r="A514" s="79" t="s">
        <v>48</v>
      </c>
      <c r="B514" s="479"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5">
      <c r="A515" s="79" t="s">
        <v>48</v>
      </c>
      <c r="B515" s="479"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5">
      <c r="A516" s="79" t="s">
        <v>48</v>
      </c>
      <c r="B516" s="479"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5">
      <c r="A517" s="79" t="s">
        <v>48</v>
      </c>
      <c r="B517" s="479"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5">
      <c r="A518" s="79" t="s">
        <v>48</v>
      </c>
      <c r="B518" s="479"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5">
      <c r="A519" s="79" t="s">
        <v>48</v>
      </c>
      <c r="B519" s="479"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5">
      <c r="A520" s="79" t="s">
        <v>48</v>
      </c>
      <c r="B520" s="479"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5">
      <c r="A521" s="79" t="s">
        <v>48</v>
      </c>
      <c r="B521" s="479"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5">
      <c r="A522" s="79" t="s">
        <v>48</v>
      </c>
      <c r="B522" s="479"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5">
      <c r="A523" s="79" t="s">
        <v>48</v>
      </c>
      <c r="B523" s="479"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5">
      <c r="A524" s="79" t="s">
        <v>48</v>
      </c>
      <c r="B524" s="479"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5">
      <c r="A525" s="79" t="s">
        <v>48</v>
      </c>
      <c r="B525" s="479"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5">
      <c r="A526" s="79" t="s">
        <v>48</v>
      </c>
      <c r="B526" s="479"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5">
      <c r="A527" s="79" t="s">
        <v>48</v>
      </c>
      <c r="B527" s="479"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5">
      <c r="A528" s="79" t="s">
        <v>48</v>
      </c>
      <c r="B528" s="479"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5">
      <c r="A529" s="79" t="s">
        <v>48</v>
      </c>
      <c r="B529" s="479"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5">
      <c r="A530" s="79" t="s">
        <v>48</v>
      </c>
      <c r="B530" s="479"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5">
      <c r="A531" s="79" t="s">
        <v>48</v>
      </c>
      <c r="B531" s="479"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5">
      <c r="A532" s="79" t="s">
        <v>48</v>
      </c>
      <c r="B532" s="479"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5">
      <c r="A533" s="79" t="s">
        <v>48</v>
      </c>
      <c r="B533" s="479"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5">
      <c r="A534" s="79" t="s">
        <v>48</v>
      </c>
      <c r="B534" s="479"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5">
      <c r="A535" s="79" t="s">
        <v>48</v>
      </c>
      <c r="B535" s="479"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5">
      <c r="A536" s="79" t="s">
        <v>48</v>
      </c>
      <c r="B536" s="479"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5">
      <c r="A537" s="79" t="s">
        <v>48</v>
      </c>
      <c r="B537" s="479"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5">
      <c r="A538" s="79" t="s">
        <v>48</v>
      </c>
      <c r="B538" s="479"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5">
      <c r="A539" s="79" t="s">
        <v>48</v>
      </c>
      <c r="B539" s="479"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5">
      <c r="A540" s="79" t="s">
        <v>48</v>
      </c>
      <c r="B540" s="479"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5">
      <c r="A541" s="79" t="s">
        <v>48</v>
      </c>
      <c r="B541" s="479"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5">
      <c r="A542" s="79" t="s">
        <v>48</v>
      </c>
      <c r="B542" s="479"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5">
      <c r="A543" s="79" t="s">
        <v>48</v>
      </c>
      <c r="B543" s="479"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5">
      <c r="A544" s="79" t="s">
        <v>48</v>
      </c>
      <c r="B544" s="479"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5">
      <c r="A545" s="79" t="s">
        <v>48</v>
      </c>
      <c r="B545" s="479"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5">
      <c r="A546" s="79" t="s">
        <v>48</v>
      </c>
      <c r="B546" s="479"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5">
      <c r="A547" s="79" t="s">
        <v>48</v>
      </c>
      <c r="B547" s="479"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5">
      <c r="A548" s="79" t="s">
        <v>48</v>
      </c>
      <c r="B548" s="479"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5">
      <c r="A549" s="79" t="s">
        <v>48</v>
      </c>
      <c r="B549" s="479"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5">
      <c r="A550" s="79" t="s">
        <v>48</v>
      </c>
      <c r="B550" s="479"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5">
      <c r="A551" s="79" t="s">
        <v>48</v>
      </c>
      <c r="B551" s="479"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5">
      <c r="A552" s="79" t="s">
        <v>48</v>
      </c>
      <c r="B552" s="479"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5">
      <c r="A553" s="79" t="s">
        <v>48</v>
      </c>
      <c r="B553" s="479"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5">
      <c r="A554" s="79" t="s">
        <v>48</v>
      </c>
      <c r="B554" s="479"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5">
      <c r="A555" s="79" t="s">
        <v>48</v>
      </c>
      <c r="B555" s="479"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5">
      <c r="A556" s="79" t="s">
        <v>48</v>
      </c>
      <c r="B556" s="479"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5">
      <c r="A557" s="79" t="s">
        <v>48</v>
      </c>
      <c r="B557" s="479"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5">
      <c r="A558" s="79" t="s">
        <v>48</v>
      </c>
      <c r="B558" s="479"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5">
      <c r="A559" s="79" t="s">
        <v>48</v>
      </c>
      <c r="B559" s="479"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5">
      <c r="A560" s="79" t="s">
        <v>48</v>
      </c>
      <c r="B560" s="479"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5">
      <c r="A561" s="79" t="s">
        <v>48</v>
      </c>
      <c r="B561" s="479"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5">
      <c r="A562" s="79" t="s">
        <v>48</v>
      </c>
      <c r="B562" s="479"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5">
      <c r="A563" s="79" t="s">
        <v>48</v>
      </c>
      <c r="B563" s="479"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5">
      <c r="A564" s="79" t="s">
        <v>48</v>
      </c>
      <c r="B564" s="479"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5">
      <c r="A565" s="79" t="s">
        <v>48</v>
      </c>
      <c r="B565" s="479"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5">
      <c r="A566" s="79" t="s">
        <v>48</v>
      </c>
      <c r="B566" s="479"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5">
      <c r="A567" s="79" t="s">
        <v>48</v>
      </c>
      <c r="B567" s="479"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5">
      <c r="A568" s="79" t="s">
        <v>48</v>
      </c>
      <c r="B568" s="479"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5">
      <c r="A569" s="79" t="s">
        <v>48</v>
      </c>
      <c r="B569" s="479"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5">
      <c r="A570" s="79" t="s">
        <v>48</v>
      </c>
      <c r="B570" s="479"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5">
      <c r="A571" s="79" t="s">
        <v>48</v>
      </c>
      <c r="B571" s="479"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5">
      <c r="A572" s="79" t="s">
        <v>48</v>
      </c>
      <c r="B572" s="479"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5">
      <c r="A573" s="79" t="s">
        <v>48</v>
      </c>
      <c r="B573" s="479"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5">
      <c r="A574" s="79" t="s">
        <v>48</v>
      </c>
      <c r="B574" s="479"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5">
      <c r="A575" s="79" t="s">
        <v>48</v>
      </c>
      <c r="B575" s="479"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5">
      <c r="A576" s="79" t="s">
        <v>48</v>
      </c>
      <c r="B576" s="479"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5">
      <c r="A577" s="79" t="s">
        <v>48</v>
      </c>
      <c r="B577" s="479"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5">
      <c r="A578" s="79" t="s">
        <v>48</v>
      </c>
      <c r="B578" s="479"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5">
      <c r="A579" s="79" t="s">
        <v>48</v>
      </c>
      <c r="B579" s="479"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5">
      <c r="A580" s="79" t="s">
        <v>48</v>
      </c>
      <c r="B580" s="479"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5">
      <c r="A581" s="79" t="s">
        <v>48</v>
      </c>
      <c r="B581" s="479"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5">
      <c r="A582" s="79" t="s">
        <v>48</v>
      </c>
      <c r="B582" s="479"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5">
      <c r="A583" s="79" t="s">
        <v>48</v>
      </c>
      <c r="B583" s="479"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5">
      <c r="A584" s="79" t="s">
        <v>48</v>
      </c>
      <c r="B584" s="479"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5">
      <c r="A585" s="79" t="s">
        <v>48</v>
      </c>
      <c r="B585" s="479"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5">
      <c r="A586" s="79" t="s">
        <v>48</v>
      </c>
      <c r="B586" s="479"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5">
      <c r="A587" s="79" t="s">
        <v>48</v>
      </c>
      <c r="B587" s="479"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5">
      <c r="A588" s="79" t="s">
        <v>48</v>
      </c>
      <c r="B588" s="479"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5">
      <c r="A589" s="79" t="s">
        <v>48</v>
      </c>
      <c r="B589" s="479"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5">
      <c r="A590" s="79" t="s">
        <v>48</v>
      </c>
      <c r="B590" s="479"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5">
      <c r="A591" s="79" t="s">
        <v>48</v>
      </c>
      <c r="B591" s="479"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5">
      <c r="A592" s="79" t="s">
        <v>48</v>
      </c>
      <c r="B592" s="479"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5">
      <c r="A593" s="79" t="s">
        <v>48</v>
      </c>
      <c r="B593" s="479"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5">
      <c r="A594" s="79" t="s">
        <v>48</v>
      </c>
      <c r="B594" s="479"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5">
      <c r="A595" s="79" t="s">
        <v>48</v>
      </c>
      <c r="B595" s="479"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5">
      <c r="A596" s="79" t="s">
        <v>48</v>
      </c>
      <c r="B596" s="479"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5">
      <c r="A597" s="79" t="s">
        <v>48</v>
      </c>
      <c r="B597" s="479"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5">
      <c r="A598" s="79" t="s">
        <v>48</v>
      </c>
      <c r="B598" s="479"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5">
      <c r="A599" s="79" t="s">
        <v>48</v>
      </c>
      <c r="B599" s="479"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5">
      <c r="A600" s="79" t="s">
        <v>48</v>
      </c>
      <c r="B600" s="479"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5">
      <c r="A601" s="79" t="s">
        <v>48</v>
      </c>
      <c r="B601" s="479"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5">
      <c r="A602" s="79" t="s">
        <v>48</v>
      </c>
      <c r="B602" s="479"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5">
      <c r="A603" s="79" t="s">
        <v>48</v>
      </c>
      <c r="B603" s="479"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5">
      <c r="A604" s="79" t="s">
        <v>48</v>
      </c>
      <c r="B604" s="479"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5">
      <c r="A605" s="79" t="s">
        <v>48</v>
      </c>
      <c r="B605" s="479"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5">
      <c r="A606" s="79" t="s">
        <v>48</v>
      </c>
      <c r="B606" s="479"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5">
      <c r="A607" s="79" t="s">
        <v>48</v>
      </c>
      <c r="B607" s="479"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5">
      <c r="A608" s="79" t="s">
        <v>48</v>
      </c>
      <c r="B608" s="479"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5">
      <c r="A609" s="79" t="s">
        <v>48</v>
      </c>
      <c r="B609" s="479"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5">
      <c r="A610" s="79" t="s">
        <v>48</v>
      </c>
      <c r="B610" s="479"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5">
      <c r="A611" s="79" t="s">
        <v>48</v>
      </c>
      <c r="B611" s="479"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5">
      <c r="A612" s="79" t="s">
        <v>48</v>
      </c>
      <c r="B612" s="479"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5">
      <c r="A613" s="79" t="s">
        <v>48</v>
      </c>
      <c r="B613" s="479"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5">
      <c r="A614" s="79" t="s">
        <v>48</v>
      </c>
      <c r="B614" s="479"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5">
      <c r="A615" s="79" t="s">
        <v>48</v>
      </c>
      <c r="B615" s="479"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5">
      <c r="A616" s="79" t="s">
        <v>48</v>
      </c>
      <c r="B616" s="479"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5">
      <c r="A617" s="79" t="s">
        <v>48</v>
      </c>
      <c r="B617" s="479"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5">
      <c r="A618" s="79" t="s">
        <v>48</v>
      </c>
      <c r="B618" s="479"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5">
      <c r="A619" s="79" t="s">
        <v>48</v>
      </c>
      <c r="B619" s="479"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5">
      <c r="A620" s="79" t="s">
        <v>48</v>
      </c>
      <c r="B620" s="479"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5">
      <c r="A621" s="79" t="s">
        <v>48</v>
      </c>
      <c r="B621" s="479"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5">
      <c r="A622" s="79" t="s">
        <v>48</v>
      </c>
      <c r="B622" s="479"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5">
      <c r="A623" s="79" t="s">
        <v>48</v>
      </c>
      <c r="B623" s="479"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5">
      <c r="A624" s="79" t="s">
        <v>48</v>
      </c>
      <c r="B624" s="479"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5">
      <c r="A625" s="79" t="s">
        <v>48</v>
      </c>
      <c r="B625" s="479"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5">
      <c r="A626" s="79" t="s">
        <v>48</v>
      </c>
      <c r="B626" s="479"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5">
      <c r="A627" s="79" t="s">
        <v>48</v>
      </c>
      <c r="B627" s="479"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5">
      <c r="A628" s="79" t="s">
        <v>48</v>
      </c>
      <c r="B628" s="479"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5">
      <c r="A629" s="79" t="s">
        <v>48</v>
      </c>
      <c r="B629" s="479"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5">
      <c r="A630" s="79" t="s">
        <v>48</v>
      </c>
      <c r="B630" s="479"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5">
      <c r="A631" s="79" t="s">
        <v>48</v>
      </c>
      <c r="B631" s="479"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5">
      <c r="A632" s="79" t="s">
        <v>48</v>
      </c>
      <c r="B632" s="479"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5">
      <c r="A633" s="79" t="s">
        <v>48</v>
      </c>
      <c r="B633" s="479"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5">
      <c r="A634" s="79" t="s">
        <v>48</v>
      </c>
      <c r="B634" s="479"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5">
      <c r="A635" s="79" t="s">
        <v>48</v>
      </c>
      <c r="B635" s="479"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5">
      <c r="A636" s="79" t="s">
        <v>48</v>
      </c>
      <c r="B636" s="479"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5">
      <c r="A637" s="79" t="s">
        <v>48</v>
      </c>
      <c r="B637" s="479"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5">
      <c r="A638" s="79" t="s">
        <v>48</v>
      </c>
      <c r="B638" s="479"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5">
      <c r="A639" s="79" t="s">
        <v>48</v>
      </c>
      <c r="B639" s="479"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5">
      <c r="A640" s="79" t="s">
        <v>48</v>
      </c>
      <c r="B640" s="479"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5">
      <c r="A641" s="79" t="s">
        <v>48</v>
      </c>
      <c r="B641" s="479"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5">
      <c r="A642" s="79" t="s">
        <v>48</v>
      </c>
      <c r="B642" s="479"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5">
      <c r="A643" s="79" t="s">
        <v>48</v>
      </c>
      <c r="B643" s="479"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5">
      <c r="A644" s="79" t="s">
        <v>48</v>
      </c>
      <c r="B644" s="479"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5">
      <c r="A645" s="79" t="s">
        <v>48</v>
      </c>
      <c r="B645" s="479"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5">
      <c r="A646" s="79" t="s">
        <v>48</v>
      </c>
      <c r="B646" s="479"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5">
      <c r="A647" s="79" t="s">
        <v>48</v>
      </c>
      <c r="B647" s="479"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5">
      <c r="A648" s="79" t="s">
        <v>48</v>
      </c>
      <c r="B648" s="479"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5">
      <c r="A649" s="79" t="s">
        <v>48</v>
      </c>
      <c r="B649" s="479"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5">
      <c r="A650" s="79" t="s">
        <v>48</v>
      </c>
      <c r="B650" s="479"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5">
      <c r="A651" s="79" t="s">
        <v>48</v>
      </c>
      <c r="B651" s="479"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5">
      <c r="A652" s="79" t="s">
        <v>48</v>
      </c>
      <c r="B652" s="479"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5">
      <c r="A653" s="79" t="s">
        <v>48</v>
      </c>
      <c r="B653" s="479"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5">
      <c r="A654" s="79" t="s">
        <v>48</v>
      </c>
      <c r="B654" s="479"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5">
      <c r="A655" s="79" t="s">
        <v>48</v>
      </c>
      <c r="B655" s="479"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5">
      <c r="A656" s="79" t="s">
        <v>48</v>
      </c>
      <c r="B656" s="479"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5">
      <c r="A657" s="79" t="s">
        <v>48</v>
      </c>
      <c r="B657" s="479"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5">
      <c r="A658" s="79" t="s">
        <v>48</v>
      </c>
      <c r="B658" s="479"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5">
      <c r="A659" s="79" t="s">
        <v>48</v>
      </c>
      <c r="B659" s="479"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5">
      <c r="A660" s="79" t="s">
        <v>48</v>
      </c>
      <c r="B660" s="479"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5">
      <c r="A661" s="79" t="s">
        <v>48</v>
      </c>
      <c r="B661" s="479"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5">
      <c r="A662" s="79" t="s">
        <v>48</v>
      </c>
      <c r="B662" s="479"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5">
      <c r="A663" s="79" t="s">
        <v>48</v>
      </c>
      <c r="B663" s="479"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5">
      <c r="A664" s="79" t="s">
        <v>48</v>
      </c>
      <c r="B664" s="479"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5">
      <c r="A665" s="79" t="s">
        <v>48</v>
      </c>
      <c r="B665" s="479"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5">
      <c r="A666" s="79" t="s">
        <v>48</v>
      </c>
      <c r="B666" s="479"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5">
      <c r="A667" s="79" t="s">
        <v>48</v>
      </c>
      <c r="B667" s="479"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5">
      <c r="A668" s="79" t="s">
        <v>48</v>
      </c>
      <c r="B668" s="479"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5">
      <c r="A669" s="79" t="s">
        <v>48</v>
      </c>
      <c r="B669" s="479"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5">
      <c r="A670" s="79" t="s">
        <v>48</v>
      </c>
      <c r="B670" s="479"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5">
      <c r="A671" s="79" t="s">
        <v>48</v>
      </c>
      <c r="B671" s="479"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5">
      <c r="A672" s="79" t="s">
        <v>48</v>
      </c>
      <c r="B672" s="479"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5">
      <c r="A673" s="79" t="s">
        <v>48</v>
      </c>
      <c r="B673" s="479"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5">
      <c r="A674" s="79" t="s">
        <v>48</v>
      </c>
      <c r="B674" s="479"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5">
      <c r="A675" s="79" t="s">
        <v>48</v>
      </c>
      <c r="B675" s="479"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5">
      <c r="A676" s="79" t="s">
        <v>48</v>
      </c>
      <c r="B676" s="479"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5">
      <c r="A677" s="79" t="s">
        <v>48</v>
      </c>
      <c r="B677" s="479"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5">
      <c r="A678" s="79" t="s">
        <v>48</v>
      </c>
      <c r="B678" s="479"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5">
      <c r="A679" s="79" t="s">
        <v>48</v>
      </c>
      <c r="B679" s="479"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5">
      <c r="A680" s="79" t="s">
        <v>48</v>
      </c>
      <c r="B680" s="479"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5">
      <c r="A681" s="79" t="s">
        <v>48</v>
      </c>
      <c r="B681" s="479"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5">
      <c r="A682" s="79" t="s">
        <v>48</v>
      </c>
      <c r="B682" s="479"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5">
      <c r="A683" s="79" t="s">
        <v>48</v>
      </c>
      <c r="B683" s="479"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5">
      <c r="A684" s="79" t="s">
        <v>48</v>
      </c>
      <c r="B684" s="479"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5">
      <c r="A685" s="79" t="s">
        <v>48</v>
      </c>
      <c r="B685" s="479"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5">
      <c r="A686" s="79" t="s">
        <v>48</v>
      </c>
      <c r="B686" s="479"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5">
      <c r="A687" s="79" t="s">
        <v>48</v>
      </c>
      <c r="B687" s="479"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5">
      <c r="A688" s="79" t="s">
        <v>48</v>
      </c>
      <c r="B688" s="479"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5">
      <c r="A689" s="79" t="s">
        <v>48</v>
      </c>
      <c r="B689" s="479"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5">
      <c r="A690" s="79" t="s">
        <v>48</v>
      </c>
      <c r="B690" s="479"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5">
      <c r="A691" s="79" t="s">
        <v>48</v>
      </c>
      <c r="B691" s="479"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5">
      <c r="A692" s="79" t="s">
        <v>48</v>
      </c>
      <c r="B692" s="479"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5">
      <c r="A693" s="79" t="s">
        <v>48</v>
      </c>
      <c r="B693" s="479"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5">
      <c r="A694" s="79" t="s">
        <v>48</v>
      </c>
      <c r="B694" s="479"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5">
      <c r="A695" s="79" t="s">
        <v>48</v>
      </c>
      <c r="B695" s="479"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5">
      <c r="A696" s="79" t="s">
        <v>48</v>
      </c>
      <c r="B696" s="479"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5">
      <c r="A697" s="79" t="s">
        <v>48</v>
      </c>
      <c r="B697" s="479"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5">
      <c r="A698" s="79" t="s">
        <v>48</v>
      </c>
      <c r="B698" s="479"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5">
      <c r="A699" s="79" t="s">
        <v>48</v>
      </c>
      <c r="B699" s="479"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5">
      <c r="A700" s="79" t="s">
        <v>48</v>
      </c>
      <c r="B700" s="479"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5">
      <c r="A701" s="79" t="s">
        <v>48</v>
      </c>
      <c r="B701" s="479"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5">
      <c r="A702" s="79" t="s">
        <v>48</v>
      </c>
      <c r="B702" s="479"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5">
      <c r="A703" s="79" t="s">
        <v>48</v>
      </c>
      <c r="B703" s="479"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5">
      <c r="A704" s="79" t="s">
        <v>48</v>
      </c>
      <c r="B704" s="479"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5">
      <c r="A705" s="79" t="s">
        <v>48</v>
      </c>
      <c r="B705" s="479"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5">
      <c r="A706" s="79" t="s">
        <v>48</v>
      </c>
      <c r="B706" s="479"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5">
      <c r="A707" s="79" t="s">
        <v>48</v>
      </c>
      <c r="B707" s="479"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5">
      <c r="A708" s="79" t="s">
        <v>48</v>
      </c>
      <c r="B708" s="479"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5">
      <c r="A709" s="79" t="s">
        <v>48</v>
      </c>
      <c r="B709" s="479"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5">
      <c r="A710" s="79" t="s">
        <v>48</v>
      </c>
      <c r="B710" s="479"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5">
      <c r="A711" s="79" t="s">
        <v>48</v>
      </c>
      <c r="B711" s="479"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5">
      <c r="A712" s="79" t="s">
        <v>48</v>
      </c>
      <c r="B712" s="479"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5">
      <c r="A713" s="79" t="s">
        <v>48</v>
      </c>
      <c r="B713" s="479"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5">
      <c r="A714" s="79" t="s">
        <v>48</v>
      </c>
      <c r="B714" s="479"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5">
      <c r="A715" s="79" t="s">
        <v>48</v>
      </c>
      <c r="B715" s="479"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5">
      <c r="A716" s="79" t="s">
        <v>48</v>
      </c>
      <c r="B716" s="479"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5">
      <c r="A717" s="79" t="s">
        <v>48</v>
      </c>
      <c r="B717" s="479"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5">
      <c r="A718" s="79" t="s">
        <v>48</v>
      </c>
      <c r="B718" s="479"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5">
      <c r="A719" s="79" t="s">
        <v>48</v>
      </c>
      <c r="B719" s="479"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5">
      <c r="A720" s="79" t="s">
        <v>48</v>
      </c>
      <c r="B720" s="479"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5">
      <c r="A721" s="79" t="s">
        <v>48</v>
      </c>
      <c r="B721" s="479"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5">
      <c r="A722" s="79" t="s">
        <v>48</v>
      </c>
      <c r="B722" s="479"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5">
      <c r="A723" s="79" t="s">
        <v>48</v>
      </c>
      <c r="B723" s="479"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5">
      <c r="A724" s="79" t="s">
        <v>48</v>
      </c>
      <c r="B724" s="479"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5">
      <c r="A725" s="79" t="s">
        <v>48</v>
      </c>
      <c r="B725" s="479"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5">
      <c r="A726" s="79" t="s">
        <v>48</v>
      </c>
      <c r="B726" s="479"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5">
      <c r="A727" s="79" t="s">
        <v>48</v>
      </c>
      <c r="B727" s="479"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5">
      <c r="A728" s="79" t="s">
        <v>48</v>
      </c>
      <c r="B728" s="479"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5">
      <c r="A729" s="79" t="s">
        <v>48</v>
      </c>
      <c r="B729" s="479"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5">
      <c r="A730" s="79" t="s">
        <v>48</v>
      </c>
      <c r="B730" s="479"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5">
      <c r="A731" s="79" t="s">
        <v>48</v>
      </c>
      <c r="B731" s="479"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5">
      <c r="A732" s="79" t="s">
        <v>48</v>
      </c>
      <c r="B732" s="479"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5">
      <c r="A733" s="79" t="s">
        <v>48</v>
      </c>
      <c r="B733" s="479"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5">
      <c r="A734" s="79" t="s">
        <v>48</v>
      </c>
      <c r="B734" s="479"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5">
      <c r="A735" s="79" t="s">
        <v>48</v>
      </c>
      <c r="B735" s="479"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5">
      <c r="A736" s="79" t="s">
        <v>48</v>
      </c>
      <c r="B736" s="479"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5">
      <c r="A737" s="79" t="s">
        <v>48</v>
      </c>
      <c r="B737" s="479"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5">
      <c r="A738" s="79" t="s">
        <v>48</v>
      </c>
      <c r="B738" s="479"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5">
      <c r="A739" s="79" t="s">
        <v>48</v>
      </c>
      <c r="B739" s="479"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5">
      <c r="A740" s="79" t="s">
        <v>48</v>
      </c>
      <c r="B740" s="479"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5">
      <c r="A741" s="79" t="s">
        <v>48</v>
      </c>
      <c r="B741" s="479"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5">
      <c r="A742" s="79" t="s">
        <v>48</v>
      </c>
      <c r="B742" s="479"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5">
      <c r="A743" s="79" t="s">
        <v>48</v>
      </c>
      <c r="B743" s="479"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5">
      <c r="A744" s="79" t="s">
        <v>48</v>
      </c>
      <c r="B744" s="479"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5">
      <c r="A745" s="79" t="s">
        <v>48</v>
      </c>
      <c r="B745" s="479"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5">
      <c r="A746" s="79" t="s">
        <v>48</v>
      </c>
      <c r="B746" s="479"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5">
      <c r="A747" s="79" t="s">
        <v>48</v>
      </c>
      <c r="B747" s="479"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5">
      <c r="A748" s="79" t="s">
        <v>48</v>
      </c>
      <c r="B748" s="479"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5">
      <c r="A749" s="79" t="s">
        <v>48</v>
      </c>
      <c r="B749" s="479"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5">
      <c r="A750" s="79" t="s">
        <v>48</v>
      </c>
      <c r="B750" s="479"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5">
      <c r="A751" s="79" t="s">
        <v>48</v>
      </c>
      <c r="B751" s="479"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5">
      <c r="A752" s="79" t="s">
        <v>48</v>
      </c>
      <c r="B752" s="479"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5">
      <c r="A753" s="79" t="s">
        <v>48</v>
      </c>
      <c r="B753" s="479"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5">
      <c r="A754" s="79" t="s">
        <v>48</v>
      </c>
      <c r="B754" s="479"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5">
      <c r="A755" s="79" t="s">
        <v>48</v>
      </c>
      <c r="B755" s="479"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5">
      <c r="A756" s="79" t="s">
        <v>48</v>
      </c>
      <c r="B756" s="479"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5">
      <c r="A757" s="79" t="s">
        <v>48</v>
      </c>
      <c r="B757" s="479"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5">
      <c r="A758" s="79" t="s">
        <v>48</v>
      </c>
      <c r="B758" s="479"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5">
      <c r="A759" s="79" t="s">
        <v>48</v>
      </c>
      <c r="B759" s="479"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5">
      <c r="A760" s="79" t="s">
        <v>48</v>
      </c>
      <c r="B760" s="479"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5">
      <c r="A761" s="79" t="s">
        <v>48</v>
      </c>
      <c r="B761" s="479"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5">
      <c r="A762" s="79" t="s">
        <v>48</v>
      </c>
      <c r="B762" s="479"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5">
      <c r="A763" s="79" t="s">
        <v>48</v>
      </c>
      <c r="B763" s="479"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5">
      <c r="A764" s="79" t="s">
        <v>48</v>
      </c>
      <c r="B764" s="479"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5">
      <c r="A765" s="79" t="s">
        <v>48</v>
      </c>
      <c r="B765" s="479"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5">
      <c r="A766" s="79" t="s">
        <v>48</v>
      </c>
      <c r="B766" s="479"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5">
      <c r="A767" s="79" t="s">
        <v>48</v>
      </c>
      <c r="B767" s="479"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5">
      <c r="A768" s="79" t="s">
        <v>48</v>
      </c>
      <c r="B768" s="479"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5">
      <c r="A769" s="79" t="s">
        <v>48</v>
      </c>
      <c r="B769" s="479"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5">
      <c r="A770" s="79" t="s">
        <v>48</v>
      </c>
      <c r="B770" s="479"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5">
      <c r="A771" s="79" t="s">
        <v>48</v>
      </c>
      <c r="B771" s="479"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5">
      <c r="A772" s="79" t="s">
        <v>48</v>
      </c>
      <c r="B772" s="479"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5">
      <c r="A773" s="79" t="s">
        <v>48</v>
      </c>
      <c r="B773" s="479"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5">
      <c r="A774" s="79" t="s">
        <v>48</v>
      </c>
      <c r="B774" s="479"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5">
      <c r="A775" s="79" t="s">
        <v>48</v>
      </c>
      <c r="B775" s="479"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5">
      <c r="A776" s="79" t="s">
        <v>48</v>
      </c>
      <c r="B776" s="479"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5">
      <c r="A777" s="79" t="s">
        <v>48</v>
      </c>
      <c r="B777" s="479"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5">
      <c r="A778" s="79" t="s">
        <v>48</v>
      </c>
      <c r="B778" s="479"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5">
      <c r="A779" s="79" t="s">
        <v>48</v>
      </c>
      <c r="B779" s="479"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5">
      <c r="A780" s="79" t="s">
        <v>48</v>
      </c>
      <c r="B780" s="479"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5">
      <c r="A781" s="79" t="s">
        <v>48</v>
      </c>
      <c r="B781" s="479"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5">
      <c r="A782" s="79" t="s">
        <v>48</v>
      </c>
      <c r="B782" s="479"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5">
      <c r="A783" s="79" t="s">
        <v>48</v>
      </c>
      <c r="B783" s="479"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5">
      <c r="A784" s="79" t="s">
        <v>48</v>
      </c>
      <c r="B784" s="479"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5">
      <c r="A785" s="79" t="s">
        <v>48</v>
      </c>
      <c r="B785" s="479"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5">
      <c r="A786" s="79" t="s">
        <v>48</v>
      </c>
      <c r="B786" s="479"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5">
      <c r="A787" s="79" t="s">
        <v>48</v>
      </c>
      <c r="B787" s="479"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5">
      <c r="A788" s="79" t="s">
        <v>48</v>
      </c>
      <c r="B788" s="479"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5">
      <c r="A789" s="79" t="s">
        <v>48</v>
      </c>
      <c r="B789" s="479"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5">
      <c r="A790" s="79" t="s">
        <v>48</v>
      </c>
      <c r="B790" s="479"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5">
      <c r="A791" s="79" t="s">
        <v>48</v>
      </c>
      <c r="B791" s="479"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5">
      <c r="A792" s="79" t="s">
        <v>48</v>
      </c>
      <c r="B792" s="479"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5">
      <c r="A793" s="79" t="s">
        <v>48</v>
      </c>
      <c r="B793" s="479"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5">
      <c r="A794" s="79" t="s">
        <v>48</v>
      </c>
      <c r="B794" s="479"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5">
      <c r="A795" s="79" t="s">
        <v>48</v>
      </c>
      <c r="B795" s="479"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5">
      <c r="A796" s="79" t="s">
        <v>48</v>
      </c>
      <c r="B796" s="479"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5">
      <c r="A797" s="79" t="s">
        <v>48</v>
      </c>
      <c r="B797" s="479"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5">
      <c r="A798" s="79" t="s">
        <v>48</v>
      </c>
      <c r="B798" s="479"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5">
      <c r="A799" s="79" t="s">
        <v>48</v>
      </c>
      <c r="B799" s="479"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5">
      <c r="A800" s="79" t="s">
        <v>48</v>
      </c>
      <c r="B800" s="479"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5">
      <c r="A801" s="79" t="s">
        <v>48</v>
      </c>
      <c r="B801" s="479"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5">
      <c r="A802" s="79" t="s">
        <v>48</v>
      </c>
      <c r="B802" s="479"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5">
      <c r="A803" s="79" t="s">
        <v>48</v>
      </c>
      <c r="B803" s="479"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5">
      <c r="A804" s="79" t="s">
        <v>48</v>
      </c>
      <c r="B804" s="479"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5">
      <c r="A805" s="79" t="s">
        <v>48</v>
      </c>
      <c r="B805" s="479"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5">
      <c r="A806" s="79" t="s">
        <v>48</v>
      </c>
      <c r="B806" s="479"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5">
      <c r="A807" s="79" t="s">
        <v>48</v>
      </c>
      <c r="B807" s="479"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5">
      <c r="A808" s="79" t="s">
        <v>48</v>
      </c>
      <c r="B808" s="479"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5">
      <c r="A809" s="79" t="s">
        <v>48</v>
      </c>
      <c r="B809" s="479"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5">
      <c r="A810" s="79" t="s">
        <v>48</v>
      </c>
      <c r="B810" s="479"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5">
      <c r="A811" s="79" t="s">
        <v>48</v>
      </c>
      <c r="B811" s="479"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5">
      <c r="A812" s="79" t="s">
        <v>48</v>
      </c>
      <c r="B812" s="479"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5">
      <c r="A813" s="79" t="s">
        <v>48</v>
      </c>
      <c r="B813" s="479"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5">
      <c r="A814" s="79" t="s">
        <v>48</v>
      </c>
      <c r="B814" s="479"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5">
      <c r="A815" s="79" t="s">
        <v>48</v>
      </c>
      <c r="B815" s="479"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5">
      <c r="A816" s="79" t="s">
        <v>48</v>
      </c>
      <c r="B816" s="479"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5">
      <c r="A817" s="79" t="s">
        <v>48</v>
      </c>
      <c r="B817" s="479"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5">
      <c r="A818" s="79" t="s">
        <v>48</v>
      </c>
      <c r="B818" s="479"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5">
      <c r="A819" s="79" t="s">
        <v>48</v>
      </c>
      <c r="B819" s="479"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5">
      <c r="A820" s="79" t="s">
        <v>48</v>
      </c>
      <c r="B820" s="479"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5">
      <c r="A821" s="79" t="s">
        <v>48</v>
      </c>
      <c r="B821" s="479"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5">
      <c r="A822" s="79" t="s">
        <v>48</v>
      </c>
      <c r="B822" s="479"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5">
      <c r="A823" s="79" t="s">
        <v>48</v>
      </c>
      <c r="B823" s="479"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5">
      <c r="A824" s="79" t="s">
        <v>48</v>
      </c>
      <c r="B824" s="479"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5">
      <c r="A825" s="79" t="s">
        <v>48</v>
      </c>
      <c r="B825" s="479"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5">
      <c r="A826" s="79" t="s">
        <v>48</v>
      </c>
      <c r="B826" s="479"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5">
      <c r="A827" s="79" t="s">
        <v>48</v>
      </c>
      <c r="B827" s="479"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5">
      <c r="A828" s="79" t="s">
        <v>48</v>
      </c>
      <c r="B828" s="479"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5">
      <c r="A829" s="79" t="s">
        <v>48</v>
      </c>
      <c r="B829" s="479"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5">
      <c r="A830" s="79" t="s">
        <v>48</v>
      </c>
      <c r="B830" s="479"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5">
      <c r="A831" s="79" t="s">
        <v>48</v>
      </c>
      <c r="B831" s="479"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5">
      <c r="A832" s="79" t="s">
        <v>48</v>
      </c>
      <c r="B832" s="479"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5">
      <c r="A833" s="79" t="s">
        <v>48</v>
      </c>
      <c r="B833" s="479"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5">
      <c r="A834" s="79" t="s">
        <v>48</v>
      </c>
      <c r="B834" s="479"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5">
      <c r="A835" s="79" t="s">
        <v>48</v>
      </c>
      <c r="B835" s="479"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5">
      <c r="A836" s="79" t="s">
        <v>48</v>
      </c>
      <c r="B836" s="479"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5">
      <c r="A837" s="79" t="s">
        <v>48</v>
      </c>
      <c r="B837" s="479"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5">
      <c r="A838" s="79" t="s">
        <v>48</v>
      </c>
      <c r="B838" s="479"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5">
      <c r="A839" s="79" t="s">
        <v>48</v>
      </c>
      <c r="B839" s="479"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5">
      <c r="A840" s="79" t="s">
        <v>48</v>
      </c>
      <c r="B840" s="479"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5">
      <c r="A841" s="79" t="s">
        <v>48</v>
      </c>
      <c r="B841" s="479"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5">
      <c r="A842" s="79" t="s">
        <v>48</v>
      </c>
      <c r="B842" s="479"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5">
      <c r="A843" s="79" t="s">
        <v>48</v>
      </c>
      <c r="B843" s="479"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5">
      <c r="A844" s="79" t="s">
        <v>48</v>
      </c>
      <c r="B844" s="479"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5">
      <c r="A845" s="79" t="s">
        <v>48</v>
      </c>
      <c r="B845" s="479"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5">
      <c r="A846" s="79" t="s">
        <v>48</v>
      </c>
      <c r="B846" s="479"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5">
      <c r="A847" s="79" t="s">
        <v>48</v>
      </c>
      <c r="B847" s="479"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5">
      <c r="A848" s="79" t="s">
        <v>48</v>
      </c>
      <c r="B848" s="479"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5">
      <c r="A849" s="79" t="s">
        <v>48</v>
      </c>
      <c r="B849" s="479"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5">
      <c r="A850" s="79" t="s">
        <v>48</v>
      </c>
      <c r="B850" s="479"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5">
      <c r="A851" s="79" t="s">
        <v>48</v>
      </c>
      <c r="B851" s="479"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5">
      <c r="A852" s="79" t="s">
        <v>48</v>
      </c>
      <c r="B852" s="479"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5">
      <c r="A853" s="79" t="s">
        <v>48</v>
      </c>
      <c r="B853" s="479"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5">
      <c r="A854" s="79" t="s">
        <v>48</v>
      </c>
      <c r="B854" s="479"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5">
      <c r="A855" s="79" t="s">
        <v>48</v>
      </c>
      <c r="B855" s="479"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5">
      <c r="A856" s="79" t="s">
        <v>48</v>
      </c>
      <c r="B856" s="479"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5">
      <c r="A857" s="79" t="s">
        <v>48</v>
      </c>
      <c r="B857" s="479"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5">
      <c r="A858" s="79" t="s">
        <v>48</v>
      </c>
      <c r="B858" s="479"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5">
      <c r="A859" s="79" t="s">
        <v>48</v>
      </c>
      <c r="B859" s="479"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5">
      <c r="A860" s="79" t="s">
        <v>48</v>
      </c>
      <c r="B860" s="479"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5">
      <c r="A861" s="79" t="s">
        <v>48</v>
      </c>
      <c r="B861" s="479"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5">
      <c r="A862" s="79" t="s">
        <v>48</v>
      </c>
      <c r="B862" s="479"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5">
      <c r="A863" s="79" t="s">
        <v>48</v>
      </c>
      <c r="B863" s="479"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5">
      <c r="A864" s="79" t="s">
        <v>48</v>
      </c>
      <c r="B864" s="479"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5">
      <c r="A865" s="79" t="s">
        <v>48</v>
      </c>
      <c r="B865" s="479"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5">
      <c r="A866" s="79" t="s">
        <v>48</v>
      </c>
      <c r="B866" s="479"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5">
      <c r="A867" s="79" t="s">
        <v>48</v>
      </c>
      <c r="B867" s="479"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5">
      <c r="A868" s="79" t="s">
        <v>48</v>
      </c>
      <c r="B868" s="479"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5">
      <c r="A869" s="79" t="s">
        <v>48</v>
      </c>
      <c r="B869" s="479"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5">
      <c r="A870" s="79" t="s">
        <v>48</v>
      </c>
      <c r="B870" s="479"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5">
      <c r="A871" s="79" t="s">
        <v>48</v>
      </c>
      <c r="B871" s="479"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5">
      <c r="A872" s="79" t="s">
        <v>48</v>
      </c>
      <c r="B872" s="479"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5">
      <c r="A873" s="79" t="s">
        <v>48</v>
      </c>
      <c r="B873" s="479"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5">
      <c r="A874" s="79" t="s">
        <v>48</v>
      </c>
      <c r="B874" s="479"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5">
      <c r="A875" s="79" t="s">
        <v>48</v>
      </c>
      <c r="B875" s="479"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5">
      <c r="A876" s="79" t="s">
        <v>48</v>
      </c>
      <c r="B876" s="479"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5">
      <c r="A877" s="79" t="s">
        <v>48</v>
      </c>
      <c r="B877" s="479"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5">
      <c r="A878" s="79" t="s">
        <v>48</v>
      </c>
      <c r="B878" s="479"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5">
      <c r="A879" s="79" t="s">
        <v>48</v>
      </c>
      <c r="B879" s="479"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5">
      <c r="A880" s="79" t="s">
        <v>48</v>
      </c>
      <c r="B880" s="479"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5">
      <c r="A881" s="79" t="s">
        <v>48</v>
      </c>
      <c r="B881" s="479"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5">
      <c r="A882" s="79" t="s">
        <v>48</v>
      </c>
      <c r="B882" s="479"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5">
      <c r="A883" s="79" t="s">
        <v>48</v>
      </c>
      <c r="B883" s="479"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5">
      <c r="A884" s="79" t="s">
        <v>48</v>
      </c>
      <c r="B884" s="479"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5">
      <c r="A885" s="79" t="s">
        <v>48</v>
      </c>
      <c r="B885" s="479"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5">
      <c r="A886" s="79" t="s">
        <v>48</v>
      </c>
      <c r="B886" s="479"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5">
      <c r="A887" s="79" t="s">
        <v>48</v>
      </c>
      <c r="B887" s="479"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5">
      <c r="A888" s="79" t="s">
        <v>48</v>
      </c>
      <c r="B888" s="479"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5">
      <c r="A889" s="79" t="s">
        <v>48</v>
      </c>
      <c r="B889" s="479"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5">
      <c r="A890" s="79" t="s">
        <v>48</v>
      </c>
      <c r="B890" s="479"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5">
      <c r="A891" s="79" t="s">
        <v>48</v>
      </c>
      <c r="B891" s="479"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5">
      <c r="A892" s="79" t="s">
        <v>48</v>
      </c>
      <c r="B892" s="479"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5">
      <c r="A893" s="79" t="s">
        <v>48</v>
      </c>
      <c r="B893" s="479"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5">
      <c r="A894" s="79" t="s">
        <v>48</v>
      </c>
      <c r="B894" s="479"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5">
      <c r="A895" s="79" t="s">
        <v>48</v>
      </c>
      <c r="B895" s="479"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5">
      <c r="A896" s="79" t="s">
        <v>48</v>
      </c>
      <c r="B896" s="479"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5">
      <c r="A897" s="79" t="s">
        <v>48</v>
      </c>
      <c r="B897" s="479"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5">
      <c r="A898" s="79" t="s">
        <v>48</v>
      </c>
      <c r="B898" s="479"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5">
      <c r="A899" s="79" t="s">
        <v>48</v>
      </c>
      <c r="B899" s="479"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5">
      <c r="A900" s="79" t="s">
        <v>48</v>
      </c>
      <c r="B900" s="479"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5">
      <c r="A901" s="79" t="s">
        <v>48</v>
      </c>
      <c r="B901" s="479"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5">
      <c r="A902" s="79" t="s">
        <v>48</v>
      </c>
      <c r="B902" s="479"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5">
      <c r="A903" s="79" t="s">
        <v>48</v>
      </c>
      <c r="B903" s="479"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5">
      <c r="A904" s="79" t="s">
        <v>48</v>
      </c>
      <c r="B904" s="479"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5">
      <c r="A905" s="79" t="s">
        <v>48</v>
      </c>
      <c r="B905" s="479"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5">
      <c r="A906" s="79" t="s">
        <v>48</v>
      </c>
      <c r="B906" s="479"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5">
      <c r="A907" s="79" t="s">
        <v>48</v>
      </c>
      <c r="B907" s="479"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5">
      <c r="A908" s="79" t="s">
        <v>48</v>
      </c>
      <c r="B908" s="479"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5">
      <c r="A909" s="79" t="s">
        <v>48</v>
      </c>
      <c r="B909" s="479"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5">
      <c r="A910" s="79" t="s">
        <v>48</v>
      </c>
      <c r="B910" s="479"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5">
      <c r="A911" s="79" t="s">
        <v>48</v>
      </c>
      <c r="B911" s="479"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5">
      <c r="A912" s="79" t="s">
        <v>48</v>
      </c>
      <c r="B912" s="479"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5">
      <c r="A913" s="79" t="s">
        <v>48</v>
      </c>
      <c r="B913" s="479"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5">
      <c r="A914" s="79" t="s">
        <v>48</v>
      </c>
      <c r="B914" s="479"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5">
      <c r="A915" s="79" t="s">
        <v>48</v>
      </c>
      <c r="B915" s="479"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5">
      <c r="A916" s="79" t="s">
        <v>48</v>
      </c>
      <c r="B916" s="479"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5">
      <c r="A917" s="79" t="s">
        <v>48</v>
      </c>
      <c r="B917" s="479"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5">
      <c r="A918" s="79" t="s">
        <v>48</v>
      </c>
      <c r="B918" s="479"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5">
      <c r="A919" s="79" t="s">
        <v>48</v>
      </c>
      <c r="B919" s="479"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5">
      <c r="A920" s="79" t="s">
        <v>48</v>
      </c>
      <c r="B920" s="479"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5">
      <c r="A921" s="79" t="s">
        <v>48</v>
      </c>
      <c r="B921" s="479"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5">
      <c r="A922" s="79" t="s">
        <v>48</v>
      </c>
      <c r="B922" s="479"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5">
      <c r="A923" s="79" t="s">
        <v>48</v>
      </c>
      <c r="B923" s="479"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5">
      <c r="A924" s="79" t="s">
        <v>48</v>
      </c>
      <c r="B924" s="479"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5">
      <c r="A925" s="79" t="s">
        <v>48</v>
      </c>
      <c r="B925" s="479"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5">
      <c r="A926" s="79" t="s">
        <v>48</v>
      </c>
      <c r="B926" s="479"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5">
      <c r="A927" s="79" t="s">
        <v>48</v>
      </c>
      <c r="B927" s="479"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5">
      <c r="A928" s="79" t="s">
        <v>48</v>
      </c>
      <c r="B928" s="479"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5">
      <c r="A929" s="79" t="s">
        <v>48</v>
      </c>
      <c r="B929" s="479"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5">
      <c r="A930" s="79" t="s">
        <v>48</v>
      </c>
      <c r="B930" s="479"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5">
      <c r="A931" s="79" t="s">
        <v>48</v>
      </c>
      <c r="B931" s="479"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5">
      <c r="A932" s="79" t="s">
        <v>48</v>
      </c>
      <c r="B932" s="479"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5">
      <c r="A933" s="79" t="s">
        <v>48</v>
      </c>
      <c r="B933" s="479"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5">
      <c r="A934" s="79" t="s">
        <v>48</v>
      </c>
      <c r="B934" s="479"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5">
      <c r="A935" s="79" t="s">
        <v>48</v>
      </c>
      <c r="B935" s="479"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5">
      <c r="A936" s="79" t="s">
        <v>48</v>
      </c>
      <c r="B936" s="479"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5">
      <c r="A937" s="79" t="s">
        <v>48</v>
      </c>
      <c r="B937" s="479"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5">
      <c r="A938" s="79" t="s">
        <v>48</v>
      </c>
      <c r="B938" s="479"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5">
      <c r="A939" s="79" t="s">
        <v>48</v>
      </c>
      <c r="B939" s="479"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5">
      <c r="A940" s="79" t="s">
        <v>48</v>
      </c>
      <c r="B940" s="479"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5">
      <c r="A941" s="79" t="s">
        <v>48</v>
      </c>
      <c r="B941" s="479"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5">
      <c r="A942" s="79" t="s">
        <v>48</v>
      </c>
      <c r="B942" s="479"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5">
      <c r="A943" s="79" t="s">
        <v>48</v>
      </c>
      <c r="B943" s="479"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5">
      <c r="A944" s="79" t="s">
        <v>48</v>
      </c>
      <c r="B944" s="479"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5">
      <c r="A945" s="79" t="s">
        <v>48</v>
      </c>
      <c r="B945" s="479"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5">
      <c r="A946" s="79" t="s">
        <v>48</v>
      </c>
      <c r="B946" s="479"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5">
      <c r="A947" s="79" t="s">
        <v>48</v>
      </c>
      <c r="B947" s="479"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5">
      <c r="A948" s="79" t="s">
        <v>48</v>
      </c>
      <c r="B948" s="479"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5">
      <c r="A949" s="79" t="s">
        <v>48</v>
      </c>
      <c r="B949" s="479"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5">
      <c r="A950" s="79" t="s">
        <v>48</v>
      </c>
      <c r="B950" s="479"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5">
      <c r="A951" s="79" t="s">
        <v>48</v>
      </c>
      <c r="B951" s="479"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5">
      <c r="A952" s="79" t="s">
        <v>48</v>
      </c>
      <c r="B952" s="479"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5">
      <c r="A953" s="79" t="s">
        <v>48</v>
      </c>
      <c r="B953" s="479"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5">
      <c r="A954" s="79" t="s">
        <v>48</v>
      </c>
      <c r="B954" s="479"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5">
      <c r="A955" s="79" t="s">
        <v>48</v>
      </c>
      <c r="B955" s="479"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5">
      <c r="A956" s="79" t="s">
        <v>48</v>
      </c>
      <c r="B956" s="479"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5">
      <c r="A957" s="79" t="s">
        <v>48</v>
      </c>
      <c r="B957" s="479"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5">
      <c r="A958" s="79" t="s">
        <v>48</v>
      </c>
      <c r="B958" s="479"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5">
      <c r="A959" s="79" t="s">
        <v>48</v>
      </c>
      <c r="B959" s="479"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5">
      <c r="A960" s="79" t="s">
        <v>48</v>
      </c>
      <c r="B960" s="479"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5">
      <c r="A961" s="79" t="s">
        <v>48</v>
      </c>
      <c r="B961" s="479"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5">
      <c r="A962" s="79" t="s">
        <v>48</v>
      </c>
      <c r="B962" s="479"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5">
      <c r="A963" s="79" t="s">
        <v>48</v>
      </c>
      <c r="B963" s="479"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5">
      <c r="A964" s="79" t="s">
        <v>48</v>
      </c>
      <c r="B964" s="479"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5">
      <c r="A965" s="79" t="s">
        <v>48</v>
      </c>
      <c r="B965" s="479"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5">
      <c r="A966" s="79" t="s">
        <v>48</v>
      </c>
      <c r="B966" s="479"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5">
      <c r="A967" s="79" t="s">
        <v>48</v>
      </c>
      <c r="B967" s="479"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5">
      <c r="A968" s="79" t="s">
        <v>48</v>
      </c>
      <c r="B968" s="479"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5">
      <c r="A969" s="79" t="s">
        <v>48</v>
      </c>
      <c r="B969" s="479"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5">
      <c r="A970" s="79" t="s">
        <v>48</v>
      </c>
      <c r="B970" s="479"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5">
      <c r="A971" s="79" t="s">
        <v>48</v>
      </c>
      <c r="B971" s="479"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5">
      <c r="A972" s="79" t="s">
        <v>48</v>
      </c>
      <c r="B972" s="479"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5">
      <c r="A973" s="79" t="s">
        <v>48</v>
      </c>
      <c r="B973" s="479"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5">
      <c r="A974" s="79" t="s">
        <v>48</v>
      </c>
      <c r="B974" s="479"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5">
      <c r="A975" s="79" t="s">
        <v>48</v>
      </c>
      <c r="B975" s="479"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5">
      <c r="A976" s="79" t="s">
        <v>48</v>
      </c>
      <c r="B976" s="479"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5">
      <c r="A977" s="79" t="s">
        <v>48</v>
      </c>
      <c r="B977" s="479"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5">
      <c r="A978" s="79" t="s">
        <v>48</v>
      </c>
      <c r="B978" s="479"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5">
      <c r="A979" s="79" t="s">
        <v>48</v>
      </c>
      <c r="B979" s="479"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5">
      <c r="A980" s="79" t="s">
        <v>48</v>
      </c>
      <c r="B980" s="479"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5">
      <c r="A981" s="79" t="s">
        <v>48</v>
      </c>
      <c r="B981" s="479"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5">
      <c r="A982" s="79" t="s">
        <v>48</v>
      </c>
      <c r="B982" s="479"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5">
      <c r="A983" s="79" t="s">
        <v>48</v>
      </c>
      <c r="B983" s="479"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5">
      <c r="A984" s="79" t="s">
        <v>48</v>
      </c>
      <c r="B984" s="479"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5">
      <c r="A985" s="79" t="s">
        <v>48</v>
      </c>
      <c r="B985" s="479"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5">
      <c r="A986" s="79" t="s">
        <v>48</v>
      </c>
      <c r="B986" s="479"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5">
      <c r="A987" s="79" t="s">
        <v>48</v>
      </c>
      <c r="B987" s="479"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5">
      <c r="A988" s="79" t="s">
        <v>48</v>
      </c>
      <c r="B988" s="479"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5">
      <c r="A989" s="79" t="s">
        <v>48</v>
      </c>
      <c r="B989" s="479"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5">
      <c r="A990" s="79" t="s">
        <v>48</v>
      </c>
      <c r="B990" s="479"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5">
      <c r="A991" s="79" t="s">
        <v>48</v>
      </c>
      <c r="B991" s="479"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5">
      <c r="A992" s="79" t="s">
        <v>48</v>
      </c>
      <c r="B992" s="479"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5">
      <c r="A993" s="79" t="s">
        <v>48</v>
      </c>
      <c r="B993" s="479"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5">
      <c r="A994" s="79" t="s">
        <v>48</v>
      </c>
      <c r="B994" s="479"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5">
      <c r="A995" s="79" t="s">
        <v>48</v>
      </c>
      <c r="B995" s="479"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5">
      <c r="A996" s="79" t="s">
        <v>48</v>
      </c>
      <c r="B996" s="479"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5">
      <c r="A997" s="79" t="s">
        <v>48</v>
      </c>
      <c r="B997" s="479"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5">
      <c r="A998" s="79" t="s">
        <v>48</v>
      </c>
      <c r="B998" s="479"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5">
      <c r="A999" s="79" t="s">
        <v>48</v>
      </c>
      <c r="B999" s="479"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5">
      <c r="A1000" s="79" t="s">
        <v>48</v>
      </c>
      <c r="B1000" s="479"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5">
      <c r="A1001" s="79" t="s">
        <v>48</v>
      </c>
      <c r="B1001" s="479"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5">
      <c r="A1002" s="79" t="s">
        <v>48</v>
      </c>
      <c r="B1002" s="479"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5">
      <c r="A1003" s="79" t="s">
        <v>48</v>
      </c>
      <c r="B1003" s="479"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5">
      <c r="A1004" s="79" t="s">
        <v>48</v>
      </c>
      <c r="B1004" s="479"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5">
      <c r="A1005" s="79" t="s">
        <v>48</v>
      </c>
      <c r="B1005" s="479"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5">
      <c r="A1006" s="79" t="s">
        <v>48</v>
      </c>
      <c r="B1006" s="479"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5">
      <c r="A1007" s="79" t="s">
        <v>48</v>
      </c>
      <c r="B1007" s="479"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5">
      <c r="A1008" s="79" t="s">
        <v>48</v>
      </c>
      <c r="B1008" s="479"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5">
      <c r="A1009" s="79" t="s">
        <v>48</v>
      </c>
      <c r="B1009" s="479"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5">
      <c r="A1010" s="79" t="s">
        <v>48</v>
      </c>
      <c r="B1010" s="479"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5">
      <c r="A1011" s="79" t="s">
        <v>48</v>
      </c>
      <c r="B1011" s="479"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5">
      <c r="A1012" s="79" t="s">
        <v>48</v>
      </c>
      <c r="B1012" s="479"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5">
      <c r="A1013" s="79" t="s">
        <v>48</v>
      </c>
      <c r="B1013" s="479"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5">
      <c r="A1014" s="79" t="s">
        <v>48</v>
      </c>
      <c r="B1014" s="479"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5">
      <c r="A1015" s="79" t="s">
        <v>48</v>
      </c>
      <c r="B1015" s="479"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5">
      <c r="A1016" s="79" t="s">
        <v>48</v>
      </c>
      <c r="B1016" s="479"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5">
      <c r="A1017" s="79" t="s">
        <v>48</v>
      </c>
      <c r="B1017" s="479"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5">
      <c r="A1018" s="79" t="s">
        <v>48</v>
      </c>
      <c r="B1018" s="479"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5">
      <c r="A1019" s="79" t="s">
        <v>48</v>
      </c>
      <c r="B1019" s="479"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5">
      <c r="A1020" s="79" t="s">
        <v>48</v>
      </c>
      <c r="B1020" s="479"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5">
      <c r="A1021" s="79" t="s">
        <v>48</v>
      </c>
      <c r="B1021" s="479"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5">
      <c r="A1022" s="79" t="s">
        <v>48</v>
      </c>
      <c r="B1022" s="479"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5">
      <c r="A1023" s="79" t="s">
        <v>48</v>
      </c>
      <c r="B1023" s="479"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5">
      <c r="A1024" s="79" t="s">
        <v>48</v>
      </c>
      <c r="B1024" s="479"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5">
      <c r="A1025" s="79" t="s">
        <v>48</v>
      </c>
      <c r="B1025" s="479"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5">
      <c r="A1026" s="79" t="s">
        <v>48</v>
      </c>
      <c r="B1026" s="479"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5">
      <c r="A1027" s="79" t="s">
        <v>48</v>
      </c>
      <c r="B1027" s="479"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5">
      <c r="A1028" s="79" t="s">
        <v>48</v>
      </c>
      <c r="B1028" s="479"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5">
      <c r="A1029" s="79" t="s">
        <v>48</v>
      </c>
      <c r="B1029" s="479"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5">
      <c r="A1030" s="79" t="s">
        <v>48</v>
      </c>
      <c r="B1030" s="479"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5">
      <c r="A1031" s="79" t="s">
        <v>48</v>
      </c>
      <c r="B1031" s="479"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5">
      <c r="A1032" s="79" t="s">
        <v>48</v>
      </c>
      <c r="B1032" s="479"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5">
      <c r="A1033" s="79" t="s">
        <v>48</v>
      </c>
      <c r="B1033" s="479"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5">
      <c r="A1034" s="79" t="s">
        <v>48</v>
      </c>
      <c r="B1034" s="479"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5">
      <c r="A1035" s="79" t="s">
        <v>48</v>
      </c>
      <c r="B1035" s="479"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5">
      <c r="A1036" s="79" t="s">
        <v>48</v>
      </c>
      <c r="B1036" s="479"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5">
      <c r="A1037" s="79" t="s">
        <v>48</v>
      </c>
      <c r="B1037" s="479"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5">
      <c r="A1038" s="79" t="s">
        <v>48</v>
      </c>
      <c r="B1038" s="479"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5">
      <c r="A1039" s="79" t="s">
        <v>48</v>
      </c>
      <c r="B1039" s="479"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5">
      <c r="A1040" s="79" t="s">
        <v>48</v>
      </c>
      <c r="B1040" s="479"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5">
      <c r="A1041" s="79" t="s">
        <v>48</v>
      </c>
      <c r="B1041" s="479"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5">
      <c r="A1042" s="79" t="s">
        <v>48</v>
      </c>
      <c r="B1042" s="479"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5">
      <c r="A1043" s="79" t="s">
        <v>48</v>
      </c>
      <c r="B1043" s="479"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5">
      <c r="A1044" s="79" t="s">
        <v>48</v>
      </c>
      <c r="B1044" s="479"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5">
      <c r="A1045" s="79" t="s">
        <v>48</v>
      </c>
      <c r="B1045" s="479"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5">
      <c r="A1046" s="79" t="s">
        <v>48</v>
      </c>
      <c r="B1046" s="479"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5">
      <c r="A1047" s="79" t="s">
        <v>48</v>
      </c>
      <c r="B1047" s="479"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5">
      <c r="A1048" s="79" t="s">
        <v>48</v>
      </c>
      <c r="B1048" s="479"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5">
      <c r="A1049" s="79" t="s">
        <v>48</v>
      </c>
      <c r="B1049" s="479"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5">
      <c r="A1050" s="79" t="s">
        <v>48</v>
      </c>
      <c r="B1050" s="479"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5">
      <c r="A1051" s="79" t="s">
        <v>48</v>
      </c>
      <c r="B1051" s="479"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5">
      <c r="A1052" s="79" t="s">
        <v>48</v>
      </c>
      <c r="B1052" s="479"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5">
      <c r="A1053" s="79" t="s">
        <v>48</v>
      </c>
      <c r="B1053" s="479"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5">
      <c r="A1054" s="79" t="s">
        <v>48</v>
      </c>
      <c r="B1054" s="479"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5">
      <c r="A1055" s="79" t="s">
        <v>48</v>
      </c>
      <c r="B1055" s="479"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5">
      <c r="A1056" s="79" t="s">
        <v>48</v>
      </c>
      <c r="B1056" s="479"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5">
      <c r="A1057" s="79" t="s">
        <v>48</v>
      </c>
      <c r="B1057" s="479"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5">
      <c r="A1058" s="79" t="s">
        <v>48</v>
      </c>
      <c r="B1058" s="479"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5">
      <c r="A1059" s="79" t="s">
        <v>48</v>
      </c>
      <c r="B1059" s="479"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5">
      <c r="A1060" s="79" t="s">
        <v>48</v>
      </c>
      <c r="B1060" s="479"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5">
      <c r="A1061" s="79" t="s">
        <v>48</v>
      </c>
      <c r="B1061" s="479"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5">
      <c r="A1062" s="79" t="s">
        <v>48</v>
      </c>
      <c r="B1062" s="479"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5">
      <c r="A1063" s="79" t="s">
        <v>48</v>
      </c>
      <c r="B1063" s="479"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5">
      <c r="A1064" s="79" t="s">
        <v>48</v>
      </c>
      <c r="B1064" s="479"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5">
      <c r="A1065" s="79" t="s">
        <v>48</v>
      </c>
      <c r="B1065" s="479"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5">
      <c r="A1066" s="79" t="s">
        <v>48</v>
      </c>
      <c r="B1066" s="479"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5">
      <c r="A1067" s="79" t="s">
        <v>48</v>
      </c>
      <c r="B1067" s="479"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5">
      <c r="A1068" s="79" t="s">
        <v>48</v>
      </c>
      <c r="B1068" s="479"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5">
      <c r="A1069" s="79" t="s">
        <v>48</v>
      </c>
      <c r="B1069" s="479"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5">
      <c r="A1070" s="79" t="s">
        <v>48</v>
      </c>
      <c r="B1070" s="479"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5">
      <c r="A1071" s="79" t="s">
        <v>48</v>
      </c>
      <c r="B1071" s="479"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5">
      <c r="A1072" s="79" t="s">
        <v>48</v>
      </c>
      <c r="B1072" s="479"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5">
      <c r="A1073" s="79" t="s">
        <v>48</v>
      </c>
      <c r="B1073" s="479"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5">
      <c r="A1074" s="79" t="s">
        <v>48</v>
      </c>
      <c r="B1074" s="479"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5">
      <c r="A1075" s="79" t="s">
        <v>48</v>
      </c>
      <c r="B1075" s="479"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5">
      <c r="A1076" s="79" t="s">
        <v>48</v>
      </c>
      <c r="B1076" s="479"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5">
      <c r="A1077" s="79" t="s">
        <v>48</v>
      </c>
      <c r="B1077" s="479"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5">
      <c r="A1078" s="79" t="s">
        <v>48</v>
      </c>
      <c r="B1078" s="479"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5">
      <c r="A1079" s="79" t="s">
        <v>48</v>
      </c>
      <c r="B1079" s="479"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5">
      <c r="A1080" s="79" t="s">
        <v>48</v>
      </c>
      <c r="B1080" s="479"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5">
      <c r="A1081" s="79" t="s">
        <v>48</v>
      </c>
      <c r="B1081" s="479"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5">
      <c r="A1082" s="79" t="s">
        <v>48</v>
      </c>
      <c r="B1082" s="479"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5">
      <c r="A1083" s="79" t="s">
        <v>48</v>
      </c>
      <c r="B1083" s="479"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5">
      <c r="A1084" s="79" t="s">
        <v>48</v>
      </c>
      <c r="B1084" s="479"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5">
      <c r="A1085" s="79" t="s">
        <v>48</v>
      </c>
      <c r="B1085" s="479"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5">
      <c r="A1086" s="79" t="s">
        <v>48</v>
      </c>
      <c r="B1086" s="479"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5">
      <c r="A1087" s="79" t="s">
        <v>48</v>
      </c>
      <c r="B1087" s="479"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5">
      <c r="A1088" s="79" t="s">
        <v>48</v>
      </c>
      <c r="B1088" s="479"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5">
      <c r="A1089" s="79" t="s">
        <v>48</v>
      </c>
      <c r="B1089" s="479"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5">
      <c r="A1090" s="79" t="s">
        <v>48</v>
      </c>
      <c r="B1090" s="479"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5">
      <c r="A1091" s="79" t="s">
        <v>48</v>
      </c>
      <c r="B1091" s="479"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5">
      <c r="A1092" s="79" t="s">
        <v>48</v>
      </c>
      <c r="B1092" s="479"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5">
      <c r="A1093" s="79" t="s">
        <v>48</v>
      </c>
      <c r="B1093" s="479"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5">
      <c r="A1094" s="79" t="s">
        <v>48</v>
      </c>
      <c r="B1094" s="479"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5">
      <c r="A1095" s="79" t="s">
        <v>48</v>
      </c>
      <c r="B1095" s="479"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5">
      <c r="A1096" s="79" t="s">
        <v>48</v>
      </c>
      <c r="B1096" s="479"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5">
      <c r="A1097" s="79" t="s">
        <v>48</v>
      </c>
      <c r="B1097" s="479"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5">
      <c r="A1098" s="79" t="s">
        <v>48</v>
      </c>
      <c r="B1098" s="479"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5">
      <c r="A1099" s="79" t="s">
        <v>48</v>
      </c>
      <c r="B1099" s="479"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5">
      <c r="A1100" s="79" t="s">
        <v>48</v>
      </c>
      <c r="B1100" s="479"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5">
      <c r="A1101" s="79" t="s">
        <v>48</v>
      </c>
      <c r="B1101" s="479"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5">
      <c r="A1102" s="79" t="s">
        <v>48</v>
      </c>
      <c r="B1102" s="479"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5">
      <c r="A1103" s="79" t="s">
        <v>48</v>
      </c>
      <c r="B1103" s="479"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5">
      <c r="A1104" s="79" t="s">
        <v>48</v>
      </c>
      <c r="B1104" s="479"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5">
      <c r="A1105" s="79" t="s">
        <v>48</v>
      </c>
      <c r="B1105" s="479"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5">
      <c r="A1106" s="79" t="s">
        <v>48</v>
      </c>
      <c r="B1106" s="479"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5">
      <c r="A1107" s="79" t="s">
        <v>48</v>
      </c>
      <c r="B1107" s="479"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5">
      <c r="A1108" s="79" t="s">
        <v>48</v>
      </c>
      <c r="B1108" s="479"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5">
      <c r="A1109" s="79" t="s">
        <v>48</v>
      </c>
      <c r="B1109" s="479"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5">
      <c r="A1110" s="79" t="s">
        <v>48</v>
      </c>
      <c r="B1110" s="479"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5">
      <c r="A1111" s="79" t="s">
        <v>48</v>
      </c>
      <c r="B1111" s="479"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5">
      <c r="A1112" s="79" t="s">
        <v>48</v>
      </c>
      <c r="B1112" s="479"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5">
      <c r="A1113" s="79" t="s">
        <v>48</v>
      </c>
      <c r="B1113" s="479"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5">
      <c r="A1114" s="79" t="s">
        <v>48</v>
      </c>
      <c r="B1114" s="479"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5">
      <c r="A1115" s="79" t="s">
        <v>48</v>
      </c>
      <c r="B1115" s="479"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5">
      <c r="A1116" s="79" t="s">
        <v>48</v>
      </c>
      <c r="B1116" s="479"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5">
      <c r="A1117" s="79" t="s">
        <v>48</v>
      </c>
      <c r="B1117" s="479"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5">
      <c r="A1118" s="79" t="s">
        <v>48</v>
      </c>
      <c r="B1118" s="479"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5">
      <c r="A1119" s="79" t="s">
        <v>48</v>
      </c>
      <c r="B1119" s="479"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5">
      <c r="A1120" s="79" t="s">
        <v>48</v>
      </c>
      <c r="B1120" s="479"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5">
      <c r="A1121" s="79" t="s">
        <v>48</v>
      </c>
      <c r="B1121" s="479"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5">
      <c r="A1122" s="79" t="s">
        <v>48</v>
      </c>
      <c r="B1122" s="479"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5">
      <c r="A1123" s="79" t="s">
        <v>48</v>
      </c>
      <c r="B1123" s="479"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5">
      <c r="A1124" s="79" t="s">
        <v>48</v>
      </c>
      <c r="B1124" s="479"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5">
      <c r="A1125" s="79" t="s">
        <v>48</v>
      </c>
      <c r="B1125" s="479"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5">
      <c r="A1126" s="79" t="s">
        <v>48</v>
      </c>
      <c r="B1126" s="479"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5">
      <c r="A1127" s="79" t="s">
        <v>48</v>
      </c>
      <c r="B1127" s="479"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5">
      <c r="A1128" s="79" t="s">
        <v>48</v>
      </c>
      <c r="B1128" s="479"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5">
      <c r="A1129" s="79" t="s">
        <v>48</v>
      </c>
      <c r="B1129" s="479"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5">
      <c r="A1130" s="79" t="s">
        <v>48</v>
      </c>
      <c r="B1130" s="479"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5">
      <c r="A1131" s="79" t="s">
        <v>48</v>
      </c>
      <c r="B1131" s="479"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5">
      <c r="A1132" s="79" t="s">
        <v>48</v>
      </c>
      <c r="B1132" s="479"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5">
      <c r="A1133" s="79" t="s">
        <v>48</v>
      </c>
      <c r="B1133" s="479"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5">
      <c r="A1134" s="79" t="s">
        <v>48</v>
      </c>
      <c r="B1134" s="479"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5">
      <c r="A1135" s="79" t="s">
        <v>48</v>
      </c>
      <c r="B1135" s="479"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5">
      <c r="A1136" s="79" t="s">
        <v>48</v>
      </c>
      <c r="B1136" s="479"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5">
      <c r="A1137" s="79" t="s">
        <v>48</v>
      </c>
      <c r="B1137" s="479"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5">
      <c r="A1138" s="79" t="s">
        <v>48</v>
      </c>
      <c r="B1138" s="479"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5">
      <c r="A1139" s="79" t="s">
        <v>48</v>
      </c>
      <c r="B1139" s="479"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5">
      <c r="A1140" s="79" t="s">
        <v>48</v>
      </c>
      <c r="B1140" s="479"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5">
      <c r="A1141" s="79" t="s">
        <v>48</v>
      </c>
      <c r="B1141" s="479"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5">
      <c r="A1142" s="79" t="s">
        <v>48</v>
      </c>
      <c r="B1142" s="479"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5">
      <c r="A1143" s="79" t="s">
        <v>48</v>
      </c>
      <c r="B1143" s="479"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5">
      <c r="A1144" s="79" t="s">
        <v>48</v>
      </c>
      <c r="B1144" s="479"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5">
      <c r="A1145" s="79" t="s">
        <v>48</v>
      </c>
      <c r="B1145" s="479"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5">
      <c r="A1146" s="79" t="s">
        <v>48</v>
      </c>
      <c r="B1146" s="479"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5">
      <c r="A1147" s="79" t="s">
        <v>48</v>
      </c>
      <c r="B1147" s="479"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5">
      <c r="A1148" s="79" t="s">
        <v>48</v>
      </c>
      <c r="B1148" s="479"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5">
      <c r="A1149" s="79" t="s">
        <v>48</v>
      </c>
      <c r="B1149" s="479"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5">
      <c r="A1150" s="79" t="s">
        <v>48</v>
      </c>
      <c r="B1150" s="479"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5">
      <c r="A1151" s="79" t="s">
        <v>48</v>
      </c>
      <c r="B1151" s="479"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5">
      <c r="A1152" s="79" t="s">
        <v>48</v>
      </c>
      <c r="B1152" s="479"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5">
      <c r="A1153" s="79" t="s">
        <v>48</v>
      </c>
      <c r="B1153" s="479"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5">
      <c r="A1154" s="79" t="s">
        <v>48</v>
      </c>
      <c r="B1154" s="479"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5">
      <c r="A1155" s="79" t="s">
        <v>48</v>
      </c>
      <c r="B1155" s="479"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5">
      <c r="A1156" s="79" t="s">
        <v>48</v>
      </c>
      <c r="B1156" s="479"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5">
      <c r="A1157" s="79" t="s">
        <v>48</v>
      </c>
      <c r="B1157" s="479"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5">
      <c r="A1158" s="79" t="s">
        <v>48</v>
      </c>
      <c r="B1158" s="479"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5">
      <c r="A1159" s="79" t="s">
        <v>48</v>
      </c>
      <c r="B1159" s="479"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5">
      <c r="A1160" s="79" t="s">
        <v>48</v>
      </c>
      <c r="B1160" s="479"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5">
      <c r="A1161" s="79" t="s">
        <v>48</v>
      </c>
      <c r="B1161" s="479"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5">
      <c r="A1162" s="79" t="s">
        <v>48</v>
      </c>
      <c r="B1162" s="479"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5">
      <c r="A1163" s="79" t="s">
        <v>48</v>
      </c>
      <c r="B1163" s="479"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5">
      <c r="A1164" s="79" t="s">
        <v>48</v>
      </c>
      <c r="B1164" s="479"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5">
      <c r="A1165" s="79" t="s">
        <v>48</v>
      </c>
      <c r="B1165" s="479"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5">
      <c r="A1166" s="79" t="s">
        <v>48</v>
      </c>
      <c r="B1166" s="479"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5">
      <c r="A1167" s="79" t="s">
        <v>48</v>
      </c>
      <c r="B1167" s="479"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5">
      <c r="A1168" s="79" t="s">
        <v>48</v>
      </c>
      <c r="B1168" s="479"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5">
      <c r="A1169" s="79" t="s">
        <v>48</v>
      </c>
      <c r="B1169" s="479"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5">
      <c r="A1170" s="79" t="s">
        <v>48</v>
      </c>
      <c r="B1170" s="479"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5">
      <c r="A1171" s="79" t="s">
        <v>48</v>
      </c>
      <c r="B1171" s="479"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5">
      <c r="A1172" s="79" t="s">
        <v>48</v>
      </c>
      <c r="B1172" s="479"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5">
      <c r="A1173" s="79" t="s">
        <v>48</v>
      </c>
      <c r="B1173" s="479"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5">
      <c r="A1174" s="79" t="s">
        <v>48</v>
      </c>
      <c r="B1174" s="479"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5">
      <c r="A1175" s="79" t="s">
        <v>48</v>
      </c>
      <c r="B1175" s="479"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5">
      <c r="A1176" s="79" t="s">
        <v>48</v>
      </c>
      <c r="B1176" s="479"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5">
      <c r="A1177" s="79" t="s">
        <v>48</v>
      </c>
      <c r="B1177" s="479"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5">
      <c r="A1178" s="79" t="s">
        <v>48</v>
      </c>
      <c r="B1178" s="479"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5">
      <c r="A1179" s="79" t="s">
        <v>48</v>
      </c>
      <c r="B1179" s="479"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5">
      <c r="A1180" s="79" t="s">
        <v>48</v>
      </c>
      <c r="B1180" s="479"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5">
      <c r="A1181" s="79" t="s">
        <v>48</v>
      </c>
      <c r="B1181" s="479"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5">
      <c r="A1182" s="79" t="s">
        <v>48</v>
      </c>
      <c r="B1182" s="479"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5">
      <c r="A1183" s="79" t="s">
        <v>48</v>
      </c>
      <c r="B1183" s="479"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5">
      <c r="A1184" s="79" t="s">
        <v>48</v>
      </c>
      <c r="B1184" s="479"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5">
      <c r="A1185" s="79" t="s">
        <v>48</v>
      </c>
      <c r="B1185" s="479"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5">
      <c r="A1186" s="79" t="s">
        <v>48</v>
      </c>
      <c r="B1186" s="479"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5">
      <c r="A1187" s="79" t="s">
        <v>48</v>
      </c>
      <c r="B1187" s="479"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5">
      <c r="A1188" s="79" t="s">
        <v>48</v>
      </c>
      <c r="B1188" s="479"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5">
      <c r="A1189" s="79" t="s">
        <v>48</v>
      </c>
      <c r="B1189" s="479"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5">
      <c r="A1190" s="79" t="s">
        <v>48</v>
      </c>
      <c r="B1190" s="479"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5">
      <c r="A1191" s="79" t="s">
        <v>48</v>
      </c>
      <c r="B1191" s="479"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5">
      <c r="A1192" s="79" t="s">
        <v>48</v>
      </c>
      <c r="B1192" s="479"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5">
      <c r="A1193" s="79" t="s">
        <v>48</v>
      </c>
      <c r="B1193" s="479"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5">
      <c r="A1194" s="79" t="s">
        <v>48</v>
      </c>
      <c r="B1194" s="479"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5">
      <c r="A1195" s="79" t="s">
        <v>48</v>
      </c>
      <c r="B1195" s="479"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5">
      <c r="A1196" s="79" t="s">
        <v>48</v>
      </c>
      <c r="B1196" s="479" t="s">
        <v>1234</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5">
      <c r="A1197" s="79" t="s">
        <v>48</v>
      </c>
      <c r="B1197" s="479" t="s">
        <v>1235</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5">
      <c r="A1198" s="79" t="s">
        <v>48</v>
      </c>
      <c r="B1198" s="479" t="s">
        <v>1236</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5">
      <c r="A1199" s="79" t="s">
        <v>48</v>
      </c>
      <c r="B1199" s="479" t="s">
        <v>1237</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5">
      <c r="A1200" s="79" t="s">
        <v>48</v>
      </c>
      <c r="B1200" s="479" t="s">
        <v>1238</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5">
      <c r="A1201" s="79" t="s">
        <v>48</v>
      </c>
      <c r="B1201" s="479" t="s">
        <v>1239</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5">
      <c r="A1202" s="79" t="s">
        <v>48</v>
      </c>
      <c r="B1202" s="479" t="s">
        <v>1240</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5">
      <c r="A1203" s="79" t="s">
        <v>48</v>
      </c>
      <c r="B1203" s="479" t="s">
        <v>1241</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5">
      <c r="A1204" s="79" t="s">
        <v>48</v>
      </c>
      <c r="B1204" s="479" t="s">
        <v>1242</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5">
      <c r="A1205" s="79" t="s">
        <v>48</v>
      </c>
      <c r="B1205" s="479" t="s">
        <v>1243</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5">
      <c r="A1206" s="79" t="s">
        <v>48</v>
      </c>
      <c r="B1206" s="479" t="s">
        <v>1244</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5">
      <c r="A1207" s="79" t="s">
        <v>48</v>
      </c>
      <c r="B1207" s="479" t="s">
        <v>1245</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5">
      <c r="A1208" s="79" t="s">
        <v>48</v>
      </c>
      <c r="B1208" s="479" t="s">
        <v>1246</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5">
      <c r="A1209" s="79" t="s">
        <v>48</v>
      </c>
      <c r="B1209" s="479" t="s">
        <v>1247</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5">
      <c r="A1210" s="79" t="s">
        <v>48</v>
      </c>
      <c r="B1210" s="479" t="s">
        <v>1248</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5">
      <c r="A1211" s="79" t="s">
        <v>48</v>
      </c>
      <c r="B1211" s="479" t="s">
        <v>1249</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5">
      <c r="A1212" s="79" t="s">
        <v>48</v>
      </c>
      <c r="B1212" s="479" t="s">
        <v>1250</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5">
      <c r="A1213" s="79" t="s">
        <v>48</v>
      </c>
      <c r="B1213" s="479" t="s">
        <v>1251</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5">
      <c r="A1214" s="79" t="s">
        <v>48</v>
      </c>
      <c r="B1214" s="479" t="s">
        <v>1252</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5">
      <c r="A1215" s="79" t="s">
        <v>48</v>
      </c>
      <c r="B1215" s="479" t="s">
        <v>1253</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5">
      <c r="A1216" s="79" t="s">
        <v>48</v>
      </c>
      <c r="B1216" s="479" t="s">
        <v>1254</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5">
      <c r="A1217" s="79" t="s">
        <v>48</v>
      </c>
      <c r="B1217" s="479" t="s">
        <v>1255</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5">
      <c r="A1218" s="79" t="s">
        <v>48</v>
      </c>
      <c r="B1218" s="479" t="s">
        <v>1256</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5">
      <c r="A1219" s="79" t="s">
        <v>48</v>
      </c>
      <c r="B1219" s="479" t="s">
        <v>1257</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5">
      <c r="A1220" s="79" t="s">
        <v>48</v>
      </c>
      <c r="B1220" s="479" t="s">
        <v>1258</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5">
      <c r="A1221" s="79" t="s">
        <v>48</v>
      </c>
      <c r="B1221" s="479" t="s">
        <v>1259</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5">
      <c r="A1222" s="79" t="s">
        <v>48</v>
      </c>
      <c r="B1222" s="479" t="s">
        <v>1260</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5">
      <c r="A1223" s="79" t="s">
        <v>48</v>
      </c>
      <c r="B1223" s="479" t="s">
        <v>1261</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5">
      <c r="A1224" s="79" t="s">
        <v>48</v>
      </c>
      <c r="B1224" s="479" t="s">
        <v>1262</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5">
      <c r="A1225" s="79" t="s">
        <v>48</v>
      </c>
      <c r="B1225" s="479" t="s">
        <v>1263</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5">
      <c r="A1226" s="79" t="s">
        <v>48</v>
      </c>
      <c r="B1226" s="479" t="s">
        <v>1264</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5">
      <c r="A1227" s="79" t="s">
        <v>48</v>
      </c>
      <c r="B1227" s="479" t="s">
        <v>1265</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5">
      <c r="A1228" s="79" t="s">
        <v>48</v>
      </c>
      <c r="B1228" s="479" t="s">
        <v>1266</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5">
      <c r="A1229" s="79" t="s">
        <v>48</v>
      </c>
      <c r="B1229" s="479" t="s">
        <v>1267</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5">
      <c r="A1230" s="79" t="s">
        <v>48</v>
      </c>
      <c r="B1230" s="479" t="s">
        <v>1268</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5">
      <c r="A1231" s="79" t="s">
        <v>48</v>
      </c>
      <c r="B1231" s="479" t="s">
        <v>1269</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5">
      <c r="A1232" s="79" t="s">
        <v>48</v>
      </c>
      <c r="B1232" s="479" t="s">
        <v>1270</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5">
      <c r="A1233" s="79" t="s">
        <v>48</v>
      </c>
      <c r="B1233" s="479" t="s">
        <v>1271</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5">
      <c r="A1234" s="79" t="s">
        <v>48</v>
      </c>
      <c r="B1234" s="479" t="s">
        <v>1272</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5">
      <c r="A1235" s="79" t="s">
        <v>48</v>
      </c>
      <c r="B1235" s="479" t="s">
        <v>1273</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5">
      <c r="A1236" s="79" t="s">
        <v>48</v>
      </c>
      <c r="B1236" s="479" t="s">
        <v>1274</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5">
      <c r="A1237" s="79" t="s">
        <v>48</v>
      </c>
      <c r="B1237" s="479" t="s">
        <v>1275</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5">
      <c r="A1238" s="79" t="s">
        <v>48</v>
      </c>
      <c r="B1238" s="479" t="s">
        <v>1276</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5">
      <c r="A1239" s="79" t="s">
        <v>48</v>
      </c>
      <c r="B1239" s="479" t="s">
        <v>1277</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5">
      <c r="A1240" s="79" t="s">
        <v>48</v>
      </c>
      <c r="B1240" s="479" t="s">
        <v>1278</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5">
      <c r="A1241" s="79" t="s">
        <v>48</v>
      </c>
      <c r="B1241" s="479" t="s">
        <v>1279</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5">
      <c r="A1242" s="79" t="s">
        <v>48</v>
      </c>
      <c r="B1242" s="479" t="s">
        <v>1280</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5">
      <c r="A1243" s="79" t="s">
        <v>48</v>
      </c>
      <c r="B1243" s="479" t="s">
        <v>1281</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5">
      <c r="A1244" s="79" t="s">
        <v>48</v>
      </c>
      <c r="B1244" s="479" t="s">
        <v>1282</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5">
      <c r="A1245" s="79" t="s">
        <v>48</v>
      </c>
      <c r="B1245" s="479" t="s">
        <v>1283</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5">
      <c r="A1246" s="79" t="s">
        <v>48</v>
      </c>
      <c r="B1246" s="479" t="s">
        <v>1284</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5">
      <c r="A1247" s="79" t="s">
        <v>48</v>
      </c>
      <c r="B1247" s="479" t="s">
        <v>1285</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5">
      <c r="A1248" s="79" t="s">
        <v>48</v>
      </c>
      <c r="B1248" s="479" t="s">
        <v>1286</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5">
      <c r="A1249" s="79" t="s">
        <v>48</v>
      </c>
      <c r="B1249" s="479" t="s">
        <v>1287</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5">
      <c r="A1250" s="79" t="s">
        <v>48</v>
      </c>
      <c r="B1250" s="479" t="s">
        <v>1288</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5">
      <c r="A1251" s="79" t="s">
        <v>48</v>
      </c>
      <c r="B1251" s="479" t="s">
        <v>1289</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5">
      <c r="A1252" s="79" t="s">
        <v>48</v>
      </c>
      <c r="B1252" s="479" t="s">
        <v>1290</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5">
      <c r="A1253" s="79" t="s">
        <v>48</v>
      </c>
      <c r="B1253" s="479" t="s">
        <v>1291</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5">
      <c r="A1254" s="79" t="s">
        <v>48</v>
      </c>
      <c r="B1254" s="479" t="s">
        <v>1292</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5">
      <c r="A1255" s="79" t="s">
        <v>48</v>
      </c>
      <c r="B1255" s="479" t="s">
        <v>1293</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5">
      <c r="A1256" s="79" t="s">
        <v>48</v>
      </c>
      <c r="B1256" s="479" t="s">
        <v>1294</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5">
      <c r="A1257" s="79" t="s">
        <v>48</v>
      </c>
      <c r="B1257" s="479" t="s">
        <v>1295</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5">
      <c r="A1258" s="79" t="s">
        <v>48</v>
      </c>
      <c r="B1258" s="479" t="s">
        <v>1296</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5">
      <c r="A1259" s="79" t="s">
        <v>48</v>
      </c>
      <c r="B1259" s="479" t="s">
        <v>1297</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5">
      <c r="A1260" s="79" t="s">
        <v>48</v>
      </c>
      <c r="B1260" s="479" t="s">
        <v>1298</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5">
      <c r="A1261" s="79" t="s">
        <v>48</v>
      </c>
      <c r="B1261" s="479" t="s">
        <v>1299</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5">
      <c r="A1262" s="79" t="s">
        <v>48</v>
      </c>
      <c r="B1262" s="479" t="s">
        <v>1300</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5">
      <c r="A1263" s="79" t="s">
        <v>48</v>
      </c>
      <c r="B1263" s="479" t="s">
        <v>1301</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5">
      <c r="A1264" s="79" t="s">
        <v>48</v>
      </c>
      <c r="B1264" s="479" t="s">
        <v>1302</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5">
      <c r="A1265" s="79" t="s">
        <v>48</v>
      </c>
      <c r="B1265" s="479" t="s">
        <v>1303</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5">
      <c r="A1266" s="79" t="s">
        <v>48</v>
      </c>
      <c r="B1266" s="479" t="s">
        <v>1304</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5">
      <c r="A1267" s="79" t="s">
        <v>48</v>
      </c>
      <c r="B1267" s="479" t="s">
        <v>1305</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5">
      <c r="A1268" s="79" t="s">
        <v>48</v>
      </c>
      <c r="B1268" s="479" t="s">
        <v>1306</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5">
      <c r="A1269" s="79" t="s">
        <v>48</v>
      </c>
      <c r="B1269" s="479" t="s">
        <v>1307</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5">
      <c r="A1270" s="79" t="s">
        <v>48</v>
      </c>
      <c r="B1270" s="479" t="s">
        <v>1308</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5">
      <c r="A1271" s="79" t="s">
        <v>48</v>
      </c>
      <c r="B1271" s="479" t="s">
        <v>1309</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5">
      <c r="A1272" s="79" t="s">
        <v>48</v>
      </c>
      <c r="B1272" s="479" t="s">
        <v>1310</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5">
      <c r="A1273" s="79" t="s">
        <v>48</v>
      </c>
      <c r="B1273" s="479" t="s">
        <v>1311</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5">
      <c r="A1274" s="79" t="s">
        <v>48</v>
      </c>
      <c r="B1274" s="479" t="s">
        <v>1312</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5">
      <c r="A1275" s="79" t="s">
        <v>48</v>
      </c>
      <c r="B1275" s="479" t="s">
        <v>1313</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5">
      <c r="A1276" s="79" t="s">
        <v>48</v>
      </c>
      <c r="B1276" s="479" t="s">
        <v>1314</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5">
      <c r="A1277" s="79" t="s">
        <v>48</v>
      </c>
      <c r="B1277" s="479" t="s">
        <v>1315</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5">
      <c r="A1278" s="79" t="s">
        <v>48</v>
      </c>
      <c r="B1278" s="479" t="s">
        <v>1316</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5">
      <c r="A1279" s="79" t="s">
        <v>48</v>
      </c>
      <c r="B1279" s="479" t="s">
        <v>1317</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5">
      <c r="A1280" s="79" t="s">
        <v>48</v>
      </c>
      <c r="B1280" s="479" t="s">
        <v>1318</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5">
      <c r="A1281" s="79" t="s">
        <v>48</v>
      </c>
      <c r="B1281" s="479" t="s">
        <v>1319</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5">
      <c r="A1282" s="79" t="s">
        <v>48</v>
      </c>
      <c r="B1282" s="479" t="s">
        <v>1320</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5">
      <c r="A1283" s="79" t="s">
        <v>48</v>
      </c>
      <c r="B1283" s="479" t="s">
        <v>1321</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5">
      <c r="A1284" s="79" t="s">
        <v>48</v>
      </c>
      <c r="B1284" s="479" t="s">
        <v>1322</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5">
      <c r="A1285" s="79" t="s">
        <v>48</v>
      </c>
      <c r="B1285" s="479" t="s">
        <v>1323</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5">
      <c r="A1286" s="79" t="s">
        <v>48</v>
      </c>
      <c r="B1286" s="479" t="s">
        <v>1324</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5">
      <c r="A1287" s="79" t="s">
        <v>48</v>
      </c>
      <c r="B1287" s="479" t="s">
        <v>1325</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5">
      <c r="A1288" s="79" t="s">
        <v>48</v>
      </c>
      <c r="B1288" s="479" t="s">
        <v>1326</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5">
      <c r="A1289" s="79" t="s">
        <v>48</v>
      </c>
      <c r="B1289" s="479" t="s">
        <v>1327</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5">
      <c r="A1290" s="79" t="s">
        <v>48</v>
      </c>
      <c r="B1290" s="479" t="s">
        <v>1328</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5">
      <c r="A1291" s="79" t="s">
        <v>48</v>
      </c>
      <c r="B1291" s="479" t="s">
        <v>1329</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5">
      <c r="A1292" s="79" t="s">
        <v>48</v>
      </c>
      <c r="B1292" s="479" t="s">
        <v>1330</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5">
      <c r="A1293" s="79" t="s">
        <v>48</v>
      </c>
      <c r="B1293" s="479" t="s">
        <v>1331</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5">
      <c r="A1294" s="79" t="s">
        <v>48</v>
      </c>
      <c r="B1294" s="479" t="s">
        <v>1332</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5">
      <c r="A1295" s="79" t="s">
        <v>48</v>
      </c>
      <c r="B1295" s="479" t="s">
        <v>1333</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5">
      <c r="A1296" s="79" t="s">
        <v>48</v>
      </c>
      <c r="B1296" s="479" t="s">
        <v>1334</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5">
      <c r="A1297" s="79" t="s">
        <v>48</v>
      </c>
      <c r="B1297" s="479" t="s">
        <v>1335</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5">
      <c r="A1298" s="79" t="s">
        <v>48</v>
      </c>
      <c r="B1298" s="479" t="s">
        <v>1336</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5">
      <c r="A1299" s="79" t="s">
        <v>48</v>
      </c>
      <c r="B1299" s="479" t="s">
        <v>1337</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5">
      <c r="A1300" s="79" t="s">
        <v>48</v>
      </c>
      <c r="B1300" s="479" t="s">
        <v>1338</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5">
      <c r="A1301" s="79" t="s">
        <v>48</v>
      </c>
      <c r="B1301" s="479" t="s">
        <v>1339</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5">
      <c r="A1302" s="79" t="s">
        <v>48</v>
      </c>
      <c r="B1302" s="479" t="s">
        <v>1340</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5">
      <c r="A1303" s="79" t="s">
        <v>48</v>
      </c>
      <c r="B1303" s="479" t="s">
        <v>1341</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5">
      <c r="A1304" s="79" t="s">
        <v>48</v>
      </c>
      <c r="B1304" s="479" t="s">
        <v>1342</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5">
      <c r="A1305" s="79" t="s">
        <v>48</v>
      </c>
      <c r="B1305" s="479" t="s">
        <v>1343</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5">
      <c r="A1306" s="79" t="s">
        <v>48</v>
      </c>
      <c r="B1306" s="479" t="s">
        <v>1344</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5">
      <c r="A1307" s="79" t="s">
        <v>48</v>
      </c>
      <c r="B1307" s="479" t="s">
        <v>1345</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5">
      <c r="A1308" s="79" t="s">
        <v>48</v>
      </c>
      <c r="B1308" s="479" t="s">
        <v>1346</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5">
      <c r="A1309" s="79" t="s">
        <v>48</v>
      </c>
      <c r="B1309" s="479" t="s">
        <v>1347</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5">
      <c r="A1310" s="79" t="s">
        <v>48</v>
      </c>
      <c r="B1310" s="479" t="s">
        <v>1348</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5">
      <c r="A1311" s="79" t="s">
        <v>48</v>
      </c>
      <c r="B1311" s="479" t="s">
        <v>1349</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5">
      <c r="A1312" s="79" t="s">
        <v>48</v>
      </c>
      <c r="B1312" s="479" t="s">
        <v>1350</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5">
      <c r="A1313" s="79" t="s">
        <v>48</v>
      </c>
      <c r="B1313" s="479" t="s">
        <v>1351</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25">
      <c r="A1314" s="103"/>
      <c r="B1314" s="480"/>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5">
      <c r="A1315" s="53" t="s">
        <v>27</v>
      </c>
      <c r="B1315" s="481" t="s">
        <v>1352</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5">
      <c r="A1316" s="53" t="s">
        <v>27</v>
      </c>
      <c r="B1316" s="482" t="s">
        <v>1353</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5">
      <c r="A1317" s="53" t="s">
        <v>27</v>
      </c>
      <c r="B1317" s="482" t="s">
        <v>1354</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5">
      <c r="A1318" s="53" t="s">
        <v>27</v>
      </c>
      <c r="B1318" s="482" t="s">
        <v>1355</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5">
      <c r="A1319" s="53" t="s">
        <v>27</v>
      </c>
      <c r="B1319" s="482" t="s">
        <v>1356</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5">
      <c r="A1320" s="53" t="s">
        <v>27</v>
      </c>
      <c r="B1320" s="482" t="s">
        <v>1357</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5">
      <c r="A1321" s="54" t="s">
        <v>27</v>
      </c>
      <c r="B1321" s="483" t="s">
        <v>1358</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25">
      <c r="A1322" s="107"/>
      <c r="B1322" s="484"/>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481" t="s">
        <v>1359</v>
      </c>
      <c r="C1323" s="68" t="str">
        <f>CONCATENATE(A1323," - ",B1323)</f>
        <v>NI – Health and Social Care Trusts - Belfast Health and Social Care Trust</v>
      </c>
      <c r="D1323" s="832">
        <f t="shared" ref="D1323:E1327" si="243">I1323</f>
        <v>139590</v>
      </c>
      <c r="E1323" s="832">
        <f t="shared" si="243"/>
        <v>150331</v>
      </c>
      <c r="F1323" s="833">
        <f>G1323+H1323</f>
        <v>365871</v>
      </c>
      <c r="G1323" s="833">
        <f>SUM(M1323:CY1323)</f>
        <v>178525</v>
      </c>
      <c r="H1323" s="834">
        <f>SUM(CZ1323:GL1323)</f>
        <v>187346</v>
      </c>
      <c r="I1323" s="834">
        <f>SUM(AE1323:CY1323)</f>
        <v>139590</v>
      </c>
      <c r="J1323" s="834">
        <f>SUM(DR1323:GL1323)</f>
        <v>150331</v>
      </c>
      <c r="K1323" s="835">
        <f>SUM(M1323:AD1323)</f>
        <v>38935</v>
      </c>
      <c r="L1323" s="832">
        <f>SUM(CZ1323:DQ1323)</f>
        <v>37015</v>
      </c>
      <c r="M1323" s="835">
        <v>1910</v>
      </c>
      <c r="N1323" s="835">
        <v>2017</v>
      </c>
      <c r="O1323" s="835">
        <v>2002</v>
      </c>
      <c r="P1323" s="835">
        <v>2005</v>
      </c>
      <c r="Q1323" s="835">
        <v>2183</v>
      </c>
      <c r="R1323" s="835">
        <v>2080</v>
      </c>
      <c r="S1323" s="835">
        <v>2207</v>
      </c>
      <c r="T1323" s="835">
        <v>2246</v>
      </c>
      <c r="U1323" s="835">
        <v>2236</v>
      </c>
      <c r="V1323" s="835">
        <v>2309</v>
      </c>
      <c r="W1323" s="835">
        <v>2249</v>
      </c>
      <c r="X1323" s="835">
        <v>2330</v>
      </c>
      <c r="Y1323" s="835">
        <v>2296</v>
      </c>
      <c r="Z1323" s="835">
        <v>2211</v>
      </c>
      <c r="AA1323" s="835">
        <v>2228</v>
      </c>
      <c r="AB1323" s="835">
        <v>2249</v>
      </c>
      <c r="AC1323" s="835">
        <v>2115</v>
      </c>
      <c r="AD1323" s="835">
        <v>2062</v>
      </c>
      <c r="AE1323" s="835">
        <v>2289</v>
      </c>
      <c r="AF1323" s="835">
        <v>2993</v>
      </c>
      <c r="AG1323" s="835">
        <v>3026</v>
      </c>
      <c r="AH1323" s="835">
        <v>2617</v>
      </c>
      <c r="AI1323" s="835">
        <v>2730</v>
      </c>
      <c r="AJ1323" s="835">
        <v>2611</v>
      </c>
      <c r="AK1323" s="835">
        <v>2692</v>
      </c>
      <c r="AL1323" s="835">
        <v>2792</v>
      </c>
      <c r="AM1323" s="835">
        <v>2823</v>
      </c>
      <c r="AN1323" s="835">
        <v>2749</v>
      </c>
      <c r="AO1323" s="835">
        <v>2764</v>
      </c>
      <c r="AP1323" s="835">
        <v>2745</v>
      </c>
      <c r="AQ1323" s="835">
        <v>2713</v>
      </c>
      <c r="AR1323" s="835">
        <v>2728</v>
      </c>
      <c r="AS1323" s="835">
        <v>2756</v>
      </c>
      <c r="AT1323" s="835">
        <v>2713</v>
      </c>
      <c r="AU1323" s="835">
        <v>2616</v>
      </c>
      <c r="AV1323" s="835">
        <v>2610</v>
      </c>
      <c r="AW1323" s="835">
        <v>2545</v>
      </c>
      <c r="AX1323" s="835">
        <v>2558</v>
      </c>
      <c r="AY1323" s="835">
        <v>2519</v>
      </c>
      <c r="AZ1323" s="835">
        <v>2414</v>
      </c>
      <c r="BA1323" s="835">
        <v>2334</v>
      </c>
      <c r="BB1323" s="835">
        <v>2362</v>
      </c>
      <c r="BC1323" s="835">
        <v>2307</v>
      </c>
      <c r="BD1323" s="835">
        <v>2369</v>
      </c>
      <c r="BE1323" s="835">
        <v>2178</v>
      </c>
      <c r="BF1323" s="835">
        <v>2103</v>
      </c>
      <c r="BG1323" s="835">
        <v>1943</v>
      </c>
      <c r="BH1323" s="835">
        <v>1958</v>
      </c>
      <c r="BI1323" s="835">
        <v>1910</v>
      </c>
      <c r="BJ1323" s="835">
        <v>1998</v>
      </c>
      <c r="BK1323" s="835">
        <v>2100</v>
      </c>
      <c r="BL1323" s="835">
        <v>2116</v>
      </c>
      <c r="BM1323" s="835">
        <v>2074</v>
      </c>
      <c r="BN1323" s="835">
        <v>2267</v>
      </c>
      <c r="BO1323" s="835">
        <v>2279</v>
      </c>
      <c r="BP1323" s="835">
        <v>2334</v>
      </c>
      <c r="BQ1323" s="835">
        <v>2279</v>
      </c>
      <c r="BR1323" s="835">
        <v>2358</v>
      </c>
      <c r="BS1323" s="835">
        <v>2277</v>
      </c>
      <c r="BT1323" s="835">
        <v>2272</v>
      </c>
      <c r="BU1323" s="835">
        <v>2362</v>
      </c>
      <c r="BV1323" s="835">
        <v>2199</v>
      </c>
      <c r="BW1323" s="835">
        <v>2115</v>
      </c>
      <c r="BX1323" s="835">
        <v>2081</v>
      </c>
      <c r="BY1323" s="835">
        <v>1886</v>
      </c>
      <c r="BZ1323" s="835">
        <v>1877</v>
      </c>
      <c r="CA1323" s="835">
        <v>1703</v>
      </c>
      <c r="CB1323" s="835">
        <v>1677</v>
      </c>
      <c r="CC1323" s="835">
        <v>1554</v>
      </c>
      <c r="CD1323" s="835">
        <v>1565</v>
      </c>
      <c r="CE1323" s="835">
        <v>1335</v>
      </c>
      <c r="CF1323" s="835">
        <v>1255</v>
      </c>
      <c r="CG1323" s="835">
        <v>1316</v>
      </c>
      <c r="CH1323" s="835">
        <v>1194</v>
      </c>
      <c r="CI1323" s="835">
        <v>1141</v>
      </c>
      <c r="CJ1323" s="835">
        <v>1159</v>
      </c>
      <c r="CK1323" s="835">
        <v>1116</v>
      </c>
      <c r="CL1323" s="835">
        <v>990</v>
      </c>
      <c r="CM1323" s="835">
        <v>982</v>
      </c>
      <c r="CN1323" s="835">
        <v>979</v>
      </c>
      <c r="CO1323" s="835">
        <v>894</v>
      </c>
      <c r="CP1323" s="835">
        <v>764</v>
      </c>
      <c r="CQ1323" s="835">
        <v>635</v>
      </c>
      <c r="CR1323" s="835">
        <v>595</v>
      </c>
      <c r="CS1323" s="835">
        <v>580</v>
      </c>
      <c r="CT1323" s="835">
        <v>546</v>
      </c>
      <c r="CU1323" s="835">
        <v>469</v>
      </c>
      <c r="CV1323" s="835">
        <v>396</v>
      </c>
      <c r="CW1323" s="835">
        <v>323</v>
      </c>
      <c r="CX1323" s="835">
        <v>265</v>
      </c>
      <c r="CY1323" s="832">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482" t="s">
        <v>1360</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482" t="s">
        <v>1361</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482" t="s">
        <v>1362</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483" t="s">
        <v>1363</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25">
      <c r="A1328" s="107"/>
      <c r="B1328" s="484"/>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485" t="s">
        <v>1364</v>
      </c>
      <c r="C1329" s="68" t="str">
        <f>CONCATENATE(A1329," - ",B1329)</f>
        <v>NHSE regions - East of England</v>
      </c>
      <c r="D1329" s="832">
        <f t="shared" ref="D1329:E1335" si="245">I1329</f>
        <v>2472845</v>
      </c>
      <c r="E1329" s="832">
        <f t="shared" si="245"/>
        <v>2628742</v>
      </c>
      <c r="F1329" s="833">
        <f t="shared" ref="F1329:F1335" si="246">G1329+H1329</f>
        <v>6468665</v>
      </c>
      <c r="G1329" s="833">
        <f t="shared" ref="G1329:G1335" si="247">SUM(M1329:CY1329)</f>
        <v>3173297</v>
      </c>
      <c r="H1329" s="834">
        <f t="shared" ref="H1329:H1335" si="248">SUM(CZ1329:GL1329)</f>
        <v>3295368</v>
      </c>
      <c r="I1329" s="834">
        <f t="shared" ref="I1329:I1335" si="249">SUM(AE1329:CY1329)</f>
        <v>2472845</v>
      </c>
      <c r="J1329" s="834">
        <f t="shared" ref="J1329:J1335" si="250">SUM(DR1329:GL1329)</f>
        <v>2628742</v>
      </c>
      <c r="K1329" s="835">
        <f t="shared" ref="K1329:K1335" si="251">SUM(M1329:AD1329)</f>
        <v>700452</v>
      </c>
      <c r="L1329" s="832">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485" t="s">
        <v>1365</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485" t="s">
        <v>1366</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485" t="s">
        <v>1367</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485" t="s">
        <v>1368</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485" t="s">
        <v>1369</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8" t="s">
        <v>25</v>
      </c>
      <c r="B1335" s="485" t="s">
        <v>1370</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25">
      <c r="A1336" s="108"/>
      <c r="B1336" s="486"/>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831"/>
      <c r="O1336" s="831"/>
      <c r="P1336" s="831"/>
      <c r="Q1336" s="831"/>
      <c r="R1336" s="831"/>
      <c r="S1336" s="831"/>
      <c r="T1336" s="831"/>
      <c r="U1336" s="831"/>
      <c r="V1336" s="831"/>
      <c r="W1336" s="831"/>
      <c r="X1336" s="831"/>
      <c r="Y1336" s="831"/>
      <c r="Z1336" s="831"/>
      <c r="AA1336" s="831"/>
      <c r="AB1336" s="831"/>
      <c r="AC1336" s="831"/>
      <c r="AD1336" s="831"/>
      <c r="AE1336" s="831"/>
      <c r="AF1336" s="831"/>
      <c r="AG1336" s="831"/>
      <c r="AH1336" s="831"/>
      <c r="AI1336" s="831"/>
      <c r="AJ1336" s="831"/>
      <c r="AK1336" s="831"/>
      <c r="AL1336" s="831"/>
      <c r="AM1336" s="831"/>
      <c r="AN1336" s="831"/>
      <c r="AO1336" s="831"/>
      <c r="AP1336" s="831"/>
      <c r="AQ1336" s="831"/>
      <c r="AR1336" s="831"/>
      <c r="AS1336" s="831"/>
      <c r="AT1336" s="831"/>
      <c r="AU1336" s="831"/>
      <c r="AV1336" s="831"/>
      <c r="AW1336" s="831"/>
      <c r="AX1336" s="831"/>
      <c r="AY1336" s="831"/>
      <c r="AZ1336" s="831"/>
      <c r="BA1336" s="831"/>
      <c r="BB1336" s="831"/>
      <c r="BC1336" s="831"/>
      <c r="BD1336" s="831"/>
      <c r="BE1336" s="831"/>
      <c r="BF1336" s="831"/>
      <c r="BG1336" s="831"/>
      <c r="BH1336" s="831"/>
      <c r="BI1336" s="831"/>
      <c r="BJ1336" s="831"/>
      <c r="BK1336" s="831"/>
      <c r="BL1336" s="831"/>
      <c r="BM1336" s="831"/>
      <c r="BN1336" s="831"/>
      <c r="BO1336" s="831"/>
      <c r="BP1336" s="831"/>
      <c r="BQ1336" s="831"/>
      <c r="BR1336" s="831"/>
      <c r="BS1336" s="831"/>
      <c r="BT1336" s="831"/>
      <c r="BU1336" s="831"/>
      <c r="BV1336" s="831"/>
      <c r="BW1336" s="831"/>
      <c r="BX1336" s="831"/>
      <c r="BY1336" s="831"/>
      <c r="BZ1336" s="831"/>
      <c r="CA1336" s="831"/>
      <c r="CB1336" s="831"/>
      <c r="CC1336" s="831"/>
      <c r="CD1336" s="831"/>
      <c r="CE1336" s="831"/>
      <c r="CF1336" s="831"/>
      <c r="CG1336" s="831"/>
      <c r="CH1336" s="831"/>
      <c r="CI1336" s="831"/>
      <c r="CJ1336" s="831"/>
      <c r="CK1336" s="831"/>
      <c r="CL1336" s="831"/>
      <c r="CM1336" s="831"/>
      <c r="CN1336" s="831"/>
      <c r="CO1336" s="831"/>
      <c r="CP1336" s="831"/>
      <c r="CQ1336" s="831"/>
      <c r="CR1336" s="831"/>
      <c r="CS1336" s="831"/>
      <c r="CT1336" s="831"/>
      <c r="CU1336" s="831"/>
      <c r="CV1336" s="831"/>
      <c r="CW1336" s="831"/>
      <c r="CX1336" s="831"/>
      <c r="CY1336" s="828"/>
      <c r="CZ1336" s="109"/>
      <c r="DA1336" s="831"/>
      <c r="DB1336" s="831"/>
      <c r="DC1336" s="831"/>
      <c r="DD1336" s="831"/>
      <c r="DE1336" s="831"/>
      <c r="DF1336" s="831"/>
      <c r="DG1336" s="831"/>
      <c r="DH1336" s="831"/>
      <c r="DI1336" s="831"/>
      <c r="DJ1336" s="831"/>
      <c r="DK1336" s="831"/>
      <c r="DL1336" s="831"/>
      <c r="DM1336" s="831"/>
      <c r="DN1336" s="831"/>
      <c r="DO1336" s="831"/>
      <c r="DP1336" s="831"/>
      <c r="DQ1336" s="831"/>
      <c r="DR1336" s="831"/>
      <c r="DS1336" s="831"/>
      <c r="DT1336" s="831"/>
      <c r="DU1336" s="831"/>
      <c r="DV1336" s="831"/>
      <c r="DW1336" s="831"/>
      <c r="DX1336" s="831"/>
      <c r="DY1336" s="831"/>
      <c r="DZ1336" s="831"/>
      <c r="EA1336" s="831"/>
      <c r="EB1336" s="831"/>
      <c r="EC1336" s="831"/>
      <c r="ED1336" s="831"/>
      <c r="EE1336" s="831"/>
      <c r="EF1336" s="831"/>
      <c r="EG1336" s="831"/>
      <c r="EH1336" s="831"/>
      <c r="EI1336" s="831"/>
      <c r="EJ1336" s="831"/>
      <c r="EK1336" s="831"/>
      <c r="EL1336" s="831"/>
      <c r="EM1336" s="831"/>
      <c r="EN1336" s="831"/>
      <c r="EO1336" s="831"/>
      <c r="EP1336" s="831"/>
      <c r="EQ1336" s="831"/>
      <c r="ER1336" s="831"/>
      <c r="ES1336" s="831"/>
      <c r="ET1336" s="831"/>
      <c r="EU1336" s="831"/>
      <c r="EV1336" s="831"/>
      <c r="EW1336" s="831"/>
      <c r="EX1336" s="831"/>
      <c r="EY1336" s="831"/>
      <c r="EZ1336" s="831"/>
      <c r="FA1336" s="831"/>
      <c r="FB1336" s="831"/>
      <c r="FC1336" s="831"/>
      <c r="FD1336" s="831"/>
      <c r="FE1336" s="831"/>
      <c r="FF1336" s="831"/>
      <c r="FG1336" s="831"/>
      <c r="FH1336" s="831"/>
      <c r="FI1336" s="831"/>
      <c r="FJ1336" s="831"/>
      <c r="FK1336" s="831"/>
      <c r="FL1336" s="831"/>
      <c r="FM1336" s="831"/>
      <c r="FN1336" s="831"/>
      <c r="FO1336" s="831"/>
      <c r="FP1336" s="831"/>
      <c r="FQ1336" s="831"/>
      <c r="FR1336" s="831"/>
      <c r="FS1336" s="831"/>
      <c r="FT1336" s="831"/>
      <c r="FU1336" s="831"/>
      <c r="FV1336" s="831"/>
      <c r="FW1336" s="831"/>
      <c r="FX1336" s="831"/>
      <c r="FY1336" s="831"/>
      <c r="FZ1336" s="831"/>
      <c r="GA1336" s="831"/>
      <c r="GB1336" s="831"/>
      <c r="GC1336" s="831"/>
      <c r="GD1336" s="831"/>
      <c r="GE1336" s="831"/>
      <c r="GF1336" s="831"/>
      <c r="GG1336" s="831"/>
      <c r="GH1336" s="831"/>
      <c r="GI1336" s="831"/>
      <c r="GJ1336" s="831"/>
      <c r="GK1336" s="831"/>
      <c r="GL1336" s="828"/>
    </row>
    <row r="1337" spans="1:194" s="1" customFormat="1" x14ac:dyDescent="0.25">
      <c r="A1337" s="98" t="s">
        <v>17</v>
      </c>
      <c r="B1337" s="487" t="s">
        <v>1371</v>
      </c>
      <c r="C1337" s="836"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833">
        <f t="shared" ref="G1337:G1342" si="257">SUM(M1337:CY1337)</f>
        <v>476033</v>
      </c>
      <c r="H1337" s="834">
        <f t="shared" ref="H1337:H1342" si="258">SUM(CZ1337:GL1337)</f>
        <v>487591</v>
      </c>
      <c r="I1337" s="833">
        <f t="shared" ref="I1337:I1342" si="259">SUM(AE1337:CY1337)</f>
        <v>376293</v>
      </c>
      <c r="J1337" s="94">
        <f t="shared" ref="J1337:J1342" si="260">SUM(DR1337:GL1337)</f>
        <v>392407</v>
      </c>
      <c r="K1337" s="96">
        <f t="shared" ref="K1337:K1342" si="261">SUM(M1337:AD1337)</f>
        <v>99740</v>
      </c>
      <c r="L1337" s="832">
        <f t="shared" ref="L1337:L1342" si="262">SUM(CZ1337:DQ1337)</f>
        <v>95184</v>
      </c>
      <c r="M1337" s="96">
        <v>4477</v>
      </c>
      <c r="N1337" s="835">
        <v>4861</v>
      </c>
      <c r="O1337" s="835">
        <v>4857</v>
      </c>
      <c r="P1337" s="835">
        <v>5120</v>
      </c>
      <c r="Q1337" s="835">
        <v>5340</v>
      </c>
      <c r="R1337" s="835">
        <v>5267</v>
      </c>
      <c r="S1337" s="835">
        <v>5565</v>
      </c>
      <c r="T1337" s="835">
        <v>5775</v>
      </c>
      <c r="U1337" s="835">
        <v>5677</v>
      </c>
      <c r="V1337" s="835">
        <v>5730</v>
      </c>
      <c r="W1337" s="835">
        <v>6094</v>
      </c>
      <c r="X1337" s="835">
        <v>6096</v>
      </c>
      <c r="Y1337" s="835">
        <v>6110</v>
      </c>
      <c r="Z1337" s="835">
        <v>5915</v>
      </c>
      <c r="AA1337" s="835">
        <v>5725</v>
      </c>
      <c r="AB1337" s="835">
        <v>5890</v>
      </c>
      <c r="AC1337" s="835">
        <v>5713</v>
      </c>
      <c r="AD1337" s="835">
        <v>5528</v>
      </c>
      <c r="AE1337" s="835">
        <v>6099</v>
      </c>
      <c r="AF1337" s="835">
        <v>6876</v>
      </c>
      <c r="AG1337" s="835">
        <v>6388</v>
      </c>
      <c r="AH1337" s="835">
        <v>5685</v>
      </c>
      <c r="AI1337" s="835">
        <v>5937</v>
      </c>
      <c r="AJ1337" s="835">
        <v>5922</v>
      </c>
      <c r="AK1337" s="835">
        <v>5776</v>
      </c>
      <c r="AL1337" s="835">
        <v>5647</v>
      </c>
      <c r="AM1337" s="835">
        <v>5858</v>
      </c>
      <c r="AN1337" s="835">
        <v>5531</v>
      </c>
      <c r="AO1337" s="835">
        <v>5733</v>
      </c>
      <c r="AP1337" s="835">
        <v>5627</v>
      </c>
      <c r="AQ1337" s="835">
        <v>5850</v>
      </c>
      <c r="AR1337" s="835">
        <v>5943</v>
      </c>
      <c r="AS1337" s="835">
        <v>6114</v>
      </c>
      <c r="AT1337" s="835">
        <v>6094</v>
      </c>
      <c r="AU1337" s="835">
        <v>6151</v>
      </c>
      <c r="AV1337" s="835">
        <v>6309</v>
      </c>
      <c r="AW1337" s="835">
        <v>6114</v>
      </c>
      <c r="AX1337" s="835">
        <v>6027</v>
      </c>
      <c r="AY1337" s="835">
        <v>6282</v>
      </c>
      <c r="AZ1337" s="835">
        <v>5922</v>
      </c>
      <c r="BA1337" s="835">
        <v>5871</v>
      </c>
      <c r="BB1337" s="835">
        <v>5951</v>
      </c>
      <c r="BC1337" s="835">
        <v>6020</v>
      </c>
      <c r="BD1337" s="835">
        <v>6187</v>
      </c>
      <c r="BE1337" s="835">
        <v>5775</v>
      </c>
      <c r="BF1337" s="835">
        <v>5379</v>
      </c>
      <c r="BG1337" s="835">
        <v>5331</v>
      </c>
      <c r="BH1337" s="835">
        <v>5709</v>
      </c>
      <c r="BI1337" s="835">
        <v>5799</v>
      </c>
      <c r="BJ1337" s="835">
        <v>6184</v>
      </c>
      <c r="BK1337" s="835">
        <v>6388</v>
      </c>
      <c r="BL1337" s="835">
        <v>6475</v>
      </c>
      <c r="BM1337" s="835">
        <v>6677</v>
      </c>
      <c r="BN1337" s="835">
        <v>6361</v>
      </c>
      <c r="BO1337" s="835">
        <v>6577</v>
      </c>
      <c r="BP1337" s="835">
        <v>6657</v>
      </c>
      <c r="BQ1337" s="835">
        <v>6748</v>
      </c>
      <c r="BR1337" s="835">
        <v>6835</v>
      </c>
      <c r="BS1337" s="835">
        <v>6717</v>
      </c>
      <c r="BT1337" s="835">
        <v>6662</v>
      </c>
      <c r="BU1337" s="835">
        <v>6554</v>
      </c>
      <c r="BV1337" s="835">
        <v>6364</v>
      </c>
      <c r="BW1337" s="835">
        <v>6190</v>
      </c>
      <c r="BX1337" s="835">
        <v>5814</v>
      </c>
      <c r="BY1337" s="835">
        <v>5478</v>
      </c>
      <c r="BZ1337" s="835">
        <v>5333</v>
      </c>
      <c r="CA1337" s="835">
        <v>5004</v>
      </c>
      <c r="CB1337" s="835">
        <v>4899</v>
      </c>
      <c r="CC1337" s="835">
        <v>4757</v>
      </c>
      <c r="CD1337" s="835">
        <v>4569</v>
      </c>
      <c r="CE1337" s="835">
        <v>4595</v>
      </c>
      <c r="CF1337" s="835">
        <v>4335</v>
      </c>
      <c r="CG1337" s="835">
        <v>4322</v>
      </c>
      <c r="CH1337" s="835">
        <v>4349</v>
      </c>
      <c r="CI1337" s="835">
        <v>4541</v>
      </c>
      <c r="CJ1337" s="835">
        <v>4699</v>
      </c>
      <c r="CK1337" s="835">
        <v>5003</v>
      </c>
      <c r="CL1337" s="835">
        <v>3836</v>
      </c>
      <c r="CM1337" s="835">
        <v>3450</v>
      </c>
      <c r="CN1337" s="835">
        <v>3356</v>
      </c>
      <c r="CO1337" s="835">
        <v>3094</v>
      </c>
      <c r="CP1337" s="835">
        <v>2626</v>
      </c>
      <c r="CQ1337" s="835">
        <v>2189</v>
      </c>
      <c r="CR1337" s="835">
        <v>2168</v>
      </c>
      <c r="CS1337" s="835">
        <v>2017</v>
      </c>
      <c r="CT1337" s="835">
        <v>1851</v>
      </c>
      <c r="CU1337" s="835">
        <v>1674</v>
      </c>
      <c r="CV1337" s="835">
        <v>1396</v>
      </c>
      <c r="CW1337" s="835">
        <v>1198</v>
      </c>
      <c r="CX1337" s="835">
        <v>1036</v>
      </c>
      <c r="CY1337" s="832">
        <v>3408</v>
      </c>
      <c r="CZ1337" s="96">
        <v>4214</v>
      </c>
      <c r="DA1337" s="835">
        <v>4718</v>
      </c>
      <c r="DB1337" s="835">
        <v>4671</v>
      </c>
      <c r="DC1337" s="835">
        <v>4862</v>
      </c>
      <c r="DD1337" s="835">
        <v>5065</v>
      </c>
      <c r="DE1337" s="835">
        <v>5169</v>
      </c>
      <c r="DF1337" s="835">
        <v>5321</v>
      </c>
      <c r="DG1337" s="835">
        <v>5425</v>
      </c>
      <c r="DH1337" s="835">
        <v>5397</v>
      </c>
      <c r="DI1337" s="835">
        <v>5522</v>
      </c>
      <c r="DJ1337" s="835">
        <v>5473</v>
      </c>
      <c r="DK1337" s="835">
        <v>5801</v>
      </c>
      <c r="DL1337" s="835">
        <v>5680</v>
      </c>
      <c r="DM1337" s="835">
        <v>5657</v>
      </c>
      <c r="DN1337" s="835">
        <v>5637</v>
      </c>
      <c r="DO1337" s="835">
        <v>5871</v>
      </c>
      <c r="DP1337" s="835">
        <v>5372</v>
      </c>
      <c r="DQ1337" s="835">
        <v>5329</v>
      </c>
      <c r="DR1337" s="835">
        <v>5521</v>
      </c>
      <c r="DS1337" s="835">
        <v>5756</v>
      </c>
      <c r="DT1337" s="835">
        <v>5196</v>
      </c>
      <c r="DU1337" s="835">
        <v>4940</v>
      </c>
      <c r="DV1337" s="835">
        <v>5387</v>
      </c>
      <c r="DW1337" s="835">
        <v>5054</v>
      </c>
      <c r="DX1337" s="835">
        <v>5175</v>
      </c>
      <c r="DY1337" s="835">
        <v>5324</v>
      </c>
      <c r="DZ1337" s="835">
        <v>5222</v>
      </c>
      <c r="EA1337" s="835">
        <v>5316</v>
      </c>
      <c r="EB1337" s="835">
        <v>5654</v>
      </c>
      <c r="EC1337" s="835">
        <v>5910</v>
      </c>
      <c r="ED1337" s="835">
        <v>5863</v>
      </c>
      <c r="EE1337" s="835">
        <v>6294</v>
      </c>
      <c r="EF1337" s="835">
        <v>6329</v>
      </c>
      <c r="EG1337" s="835">
        <v>6430</v>
      </c>
      <c r="EH1337" s="835">
        <v>6305</v>
      </c>
      <c r="EI1337" s="835">
        <v>6754</v>
      </c>
      <c r="EJ1337" s="835">
        <v>6280</v>
      </c>
      <c r="EK1337" s="835">
        <v>6342</v>
      </c>
      <c r="EL1337" s="835">
        <v>6424</v>
      </c>
      <c r="EM1337" s="835">
        <v>5995</v>
      </c>
      <c r="EN1337" s="835">
        <v>6316</v>
      </c>
      <c r="EO1337" s="835">
        <v>6191</v>
      </c>
      <c r="EP1337" s="835">
        <v>6133</v>
      </c>
      <c r="EQ1337" s="835">
        <v>6099</v>
      </c>
      <c r="ER1337" s="835">
        <v>6038</v>
      </c>
      <c r="ES1337" s="835">
        <v>5723</v>
      </c>
      <c r="ET1337" s="835">
        <v>5676</v>
      </c>
      <c r="EU1337" s="835">
        <v>5725</v>
      </c>
      <c r="EV1337" s="835">
        <v>6188</v>
      </c>
      <c r="EW1337" s="835">
        <v>6328</v>
      </c>
      <c r="EX1337" s="835">
        <v>6666</v>
      </c>
      <c r="EY1337" s="835">
        <v>6467</v>
      </c>
      <c r="EZ1337" s="835">
        <v>6831</v>
      </c>
      <c r="FA1337" s="835">
        <v>6705</v>
      </c>
      <c r="FB1337" s="835">
        <v>6802</v>
      </c>
      <c r="FC1337" s="835">
        <v>7051</v>
      </c>
      <c r="FD1337" s="835">
        <v>7034</v>
      </c>
      <c r="FE1337" s="835">
        <v>6862</v>
      </c>
      <c r="FF1337" s="835">
        <v>7004</v>
      </c>
      <c r="FG1337" s="835">
        <v>6690</v>
      </c>
      <c r="FH1337" s="835">
        <v>6647</v>
      </c>
      <c r="FI1337" s="835">
        <v>6662</v>
      </c>
      <c r="FJ1337" s="835">
        <v>6120</v>
      </c>
      <c r="FK1337" s="835">
        <v>5959</v>
      </c>
      <c r="FL1337" s="835">
        <v>5778</v>
      </c>
      <c r="FM1337" s="835">
        <v>5562</v>
      </c>
      <c r="FN1337" s="835">
        <v>5369</v>
      </c>
      <c r="FO1337" s="835">
        <v>5178</v>
      </c>
      <c r="FP1337" s="835">
        <v>5029</v>
      </c>
      <c r="FQ1337" s="835">
        <v>5175</v>
      </c>
      <c r="FR1337" s="835">
        <v>4921</v>
      </c>
      <c r="FS1337" s="835">
        <v>4769</v>
      </c>
      <c r="FT1337" s="835">
        <v>4774</v>
      </c>
      <c r="FU1337" s="835">
        <v>4911</v>
      </c>
      <c r="FV1337" s="835">
        <v>5048</v>
      </c>
      <c r="FW1337" s="835">
        <v>5069</v>
      </c>
      <c r="FX1337" s="835">
        <v>5634</v>
      </c>
      <c r="FY1337" s="835">
        <v>4367</v>
      </c>
      <c r="FZ1337" s="835">
        <v>4146</v>
      </c>
      <c r="GA1337" s="835">
        <v>3937</v>
      </c>
      <c r="GB1337" s="835">
        <v>3626</v>
      </c>
      <c r="GC1337" s="835">
        <v>3111</v>
      </c>
      <c r="GD1337" s="835">
        <v>2748</v>
      </c>
      <c r="GE1337" s="835">
        <v>2778</v>
      </c>
      <c r="GF1337" s="835">
        <v>2638</v>
      </c>
      <c r="GG1337" s="835">
        <v>2379</v>
      </c>
      <c r="GH1337" s="835">
        <v>2175</v>
      </c>
      <c r="GI1337" s="835">
        <v>2016</v>
      </c>
      <c r="GJ1337" s="835">
        <v>1754</v>
      </c>
      <c r="GK1337" s="835">
        <v>1482</v>
      </c>
      <c r="GL1337" s="832">
        <v>6645</v>
      </c>
    </row>
    <row r="1338" spans="1:194" s="1" customFormat="1" x14ac:dyDescent="0.25">
      <c r="A1338" s="100" t="s">
        <v>17</v>
      </c>
      <c r="B1338" s="488" t="s">
        <v>1372</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100" t="s">
        <v>17</v>
      </c>
      <c r="B1339" s="488" t="s">
        <v>1373</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100" t="s">
        <v>17</v>
      </c>
      <c r="B1340" s="488" t="s">
        <v>1374</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25">
      <c r="A1341" s="100" t="s">
        <v>17</v>
      </c>
      <c r="B1341" s="488" t="s">
        <v>1375</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25">
      <c r="A1342" s="100" t="s">
        <v>17</v>
      </c>
      <c r="B1342" s="488" t="s">
        <v>1376</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25">
      <c r="A1343" s="100" t="s">
        <v>17</v>
      </c>
      <c r="B1343" s="488" t="s">
        <v>1377</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25">
      <c r="A1344" s="100" t="s">
        <v>17</v>
      </c>
      <c r="B1344" s="488" t="s">
        <v>1378</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25">
      <c r="A1345" s="100" t="s">
        <v>17</v>
      </c>
      <c r="B1345" s="488" t="s">
        <v>1379</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25">
      <c r="A1346" s="100" t="s">
        <v>17</v>
      </c>
      <c r="B1346" s="488" t="s">
        <v>1380</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25">
      <c r="A1347" s="100" t="s">
        <v>17</v>
      </c>
      <c r="B1347" s="488" t="s">
        <v>1381</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25">
      <c r="A1348" s="100" t="s">
        <v>17</v>
      </c>
      <c r="B1348" s="488" t="s">
        <v>1382</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25">
      <c r="A1349" s="100" t="s">
        <v>17</v>
      </c>
      <c r="B1349" s="488" t="s">
        <v>1383</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25">
      <c r="A1350" s="100" t="s">
        <v>17</v>
      </c>
      <c r="B1350" s="488" t="s">
        <v>1384</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25">
      <c r="A1351" s="100" t="s">
        <v>17</v>
      </c>
      <c r="B1351" s="488" t="s">
        <v>1385</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25">
      <c r="A1352" s="100" t="s">
        <v>17</v>
      </c>
      <c r="B1352" s="488" t="s">
        <v>1386</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25">
      <c r="A1353" s="100" t="s">
        <v>17</v>
      </c>
      <c r="B1353" s="488" t="s">
        <v>1387</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25">
      <c r="A1354" s="100" t="s">
        <v>17</v>
      </c>
      <c r="B1354" s="488" t="s">
        <v>1388</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25">
      <c r="A1355" s="100" t="s">
        <v>17</v>
      </c>
      <c r="B1355" s="488" t="s">
        <v>1389</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25">
      <c r="A1356" s="100" t="s">
        <v>17</v>
      </c>
      <c r="B1356" s="488" t="s">
        <v>1390</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25">
      <c r="A1357" s="100" t="s">
        <v>17</v>
      </c>
      <c r="B1357" s="488" t="s">
        <v>1391</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25">
      <c r="A1358" s="100" t="s">
        <v>17</v>
      </c>
      <c r="B1358" s="488" t="s">
        <v>1392</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25">
      <c r="A1359" s="100" t="s">
        <v>17</v>
      </c>
      <c r="B1359" s="488" t="s">
        <v>1393</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25">
      <c r="A1360" s="100" t="s">
        <v>17</v>
      </c>
      <c r="B1360" s="488" t="s">
        <v>1394</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25">
      <c r="A1361" s="100" t="s">
        <v>17</v>
      </c>
      <c r="B1361" s="488" t="s">
        <v>1395</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25">
      <c r="A1362" s="100" t="s">
        <v>17</v>
      </c>
      <c r="B1362" s="488" t="s">
        <v>1396</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25">
      <c r="A1363" s="100" t="s">
        <v>17</v>
      </c>
      <c r="B1363" s="488" t="s">
        <v>1397</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25">
      <c r="A1364" s="100" t="s">
        <v>17</v>
      </c>
      <c r="B1364" s="488" t="s">
        <v>1398</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25">
      <c r="A1365" s="100" t="s">
        <v>17</v>
      </c>
      <c r="B1365" s="488" t="s">
        <v>1399</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25">
      <c r="A1366" s="100" t="s">
        <v>17</v>
      </c>
      <c r="B1366" s="488" t="s">
        <v>1400</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25">
      <c r="A1367" s="100" t="s">
        <v>17</v>
      </c>
      <c r="B1367" s="488" t="s">
        <v>1401</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25">
      <c r="A1368" s="100" t="s">
        <v>17</v>
      </c>
      <c r="B1368" s="488" t="s">
        <v>1402</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25">
      <c r="A1369" s="100" t="s">
        <v>17</v>
      </c>
      <c r="B1369" s="488" t="s">
        <v>1403</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25">
      <c r="A1370" s="100" t="s">
        <v>17</v>
      </c>
      <c r="B1370" s="488" t="s">
        <v>1404</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25">
      <c r="A1371" s="100" t="s">
        <v>17</v>
      </c>
      <c r="B1371" s="488" t="s">
        <v>1405</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25">
      <c r="A1372" s="100" t="s">
        <v>17</v>
      </c>
      <c r="B1372" s="488" t="s">
        <v>1406</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25">
      <c r="A1373" s="100" t="s">
        <v>17</v>
      </c>
      <c r="B1373" s="488" t="s">
        <v>1407</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25">
      <c r="A1374" s="100" t="s">
        <v>17</v>
      </c>
      <c r="B1374" s="488" t="s">
        <v>1408</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100" t="s">
        <v>17</v>
      </c>
      <c r="B1375" s="488" t="s">
        <v>1409</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100" t="s">
        <v>17</v>
      </c>
      <c r="B1376" s="488" t="s">
        <v>1410</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100" t="s">
        <v>17</v>
      </c>
      <c r="B1377" s="488" t="s">
        <v>1411</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100" t="s">
        <v>17</v>
      </c>
      <c r="B1378" s="488" t="s">
        <v>1412</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25">
      <c r="A1379" s="103"/>
      <c r="B1379" s="489"/>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5">
      <c r="A1380" s="30" t="s">
        <v>46</v>
      </c>
      <c r="B1380" s="1" t="s">
        <v>1413</v>
      </c>
      <c r="C1380" s="68" t="str">
        <f>CONCATENATE(A1380," - ",B1380)</f>
        <v>LA England - Adur</v>
      </c>
      <c r="D1380" s="832">
        <f t="shared" ref="D1380:D1444" si="283">I1380</f>
        <v>24508</v>
      </c>
      <c r="E1380" s="832">
        <f t="shared" ref="E1380:E1444" si="284">J1380</f>
        <v>27095</v>
      </c>
      <c r="F1380" s="833">
        <f t="shared" ref="F1380:F1444" si="285">G1380+H1380</f>
        <v>64687</v>
      </c>
      <c r="G1380" s="833">
        <f t="shared" ref="G1380:G1444" si="286">SUM(M1380:CY1380)</f>
        <v>31332</v>
      </c>
      <c r="H1380" s="834">
        <f t="shared" ref="H1380:H1444" si="287">SUM(CZ1380:GL1380)</f>
        <v>33355</v>
      </c>
      <c r="I1380" s="834">
        <f t="shared" ref="I1380:I1444" si="288">SUM(AE1380:CY1380)</f>
        <v>24508</v>
      </c>
      <c r="J1380" s="834">
        <f t="shared" ref="J1380:J1444" si="289">SUM(DR1380:GL1380)</f>
        <v>27095</v>
      </c>
      <c r="K1380" s="49">
        <f t="shared" ref="K1380:K1444" si="290">SUM(M1380:AD1380)</f>
        <v>6824</v>
      </c>
      <c r="L1380" s="832">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46</v>
      </c>
      <c r="B1382" s="1" t="s">
        <v>1415</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46</v>
      </c>
      <c r="B1383" s="1" t="s">
        <v>1416</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5">
      <c r="A1384" s="30" t="s">
        <v>46</v>
      </c>
      <c r="B1384" s="1" t="s">
        <v>1417</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5">
      <c r="A1385" s="30" t="s">
        <v>46</v>
      </c>
      <c r="B1385" s="1" t="s">
        <v>1418</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5">
      <c r="A1386" s="30" t="s">
        <v>46</v>
      </c>
      <c r="B1386" s="1" t="s">
        <v>1419</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5">
      <c r="A1387" s="30" t="s">
        <v>46</v>
      </c>
      <c r="B1387" s="1" t="s">
        <v>1420</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5">
      <c r="A1388" s="30" t="s">
        <v>46</v>
      </c>
      <c r="B1388" s="1" t="s">
        <v>1421</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5">
      <c r="A1389" s="30" t="s">
        <v>46</v>
      </c>
      <c r="B1389" s="1" t="s">
        <v>1422</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5">
      <c r="A1390" s="30" t="s">
        <v>46</v>
      </c>
      <c r="B1390" s="1" t="s">
        <v>1423</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5">
      <c r="A1391" s="30" t="s">
        <v>46</v>
      </c>
      <c r="B1391" s="1" t="s">
        <v>1424</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5">
      <c r="A1392" s="30" t="s">
        <v>46</v>
      </c>
      <c r="B1392" s="1" t="s">
        <v>1425</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5">
      <c r="A1393" s="30" t="s">
        <v>46</v>
      </c>
      <c r="B1393" s="1" t="s">
        <v>1426</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5">
      <c r="A1394" s="30" t="s">
        <v>46</v>
      </c>
      <c r="B1394" s="1" t="s">
        <v>1427</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5">
      <c r="A1395" s="30" t="s">
        <v>46</v>
      </c>
      <c r="B1395" s="1" t="s">
        <v>1428</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5">
      <c r="A1396" s="30" t="s">
        <v>46</v>
      </c>
      <c r="B1396" s="1" t="s">
        <v>1429</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5">
      <c r="A1397" s="30" t="s">
        <v>46</v>
      </c>
      <c r="B1397" s="1" t="s">
        <v>1430</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5">
      <c r="A1398" s="30" t="s">
        <v>46</v>
      </c>
      <c r="B1398" s="1" t="s">
        <v>1431</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5">
      <c r="A1399" s="30" t="s">
        <v>46</v>
      </c>
      <c r="B1399" s="1" t="s">
        <v>1432</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5">
      <c r="A1400" s="30" t="s">
        <v>46</v>
      </c>
      <c r="B1400" s="1" t="s">
        <v>1433</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5">
      <c r="A1401" s="30" t="s">
        <v>46</v>
      </c>
      <c r="B1401" s="1" t="s">
        <v>1434</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5">
      <c r="A1402" s="30" t="s">
        <v>46</v>
      </c>
      <c r="B1402" s="1" t="s">
        <v>1435</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5">
      <c r="A1403" s="30" t="s">
        <v>46</v>
      </c>
      <c r="B1403" s="1" t="s">
        <v>1436</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5">
      <c r="A1404" s="30" t="s">
        <v>46</v>
      </c>
      <c r="B1404" s="1" t="s">
        <v>1437</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5">
      <c r="A1405" s="30" t="s">
        <v>46</v>
      </c>
      <c r="B1405" s="1" t="s">
        <v>1438</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5">
      <c r="A1406" s="30" t="s">
        <v>46</v>
      </c>
      <c r="B1406" s="1" t="s">
        <v>1439</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5">
      <c r="A1407" s="30" t="s">
        <v>46</v>
      </c>
      <c r="B1407" s="1" t="s">
        <v>1440</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5">
      <c r="A1408" s="30" t="s">
        <v>46</v>
      </c>
      <c r="B1408" s="1" t="s">
        <v>1441</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5">
      <c r="A1409" s="30" t="s">
        <v>46</v>
      </c>
      <c r="B1409" s="1" t="s">
        <v>1442</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5">
      <c r="A1410" s="30" t="s">
        <v>46</v>
      </c>
      <c r="B1410" s="1" t="s">
        <v>1443</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5">
      <c r="A1411" s="30" t="s">
        <v>46</v>
      </c>
      <c r="B1411" s="1" t="s">
        <v>1444</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5">
      <c r="A1412" s="30" t="s">
        <v>46</v>
      </c>
      <c r="B1412" s="1" t="s">
        <v>1445</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5">
      <c r="A1413" s="30" t="s">
        <v>46</v>
      </c>
      <c r="B1413" s="1" t="s">
        <v>1446</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5">
      <c r="A1414" s="30" t="s">
        <v>46</v>
      </c>
      <c r="B1414" s="1" t="s">
        <v>1447</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5">
      <c r="A1415" s="30" t="s">
        <v>46</v>
      </c>
      <c r="B1415" s="1" t="s">
        <v>1448</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5">
      <c r="A1416" s="30" t="s">
        <v>46</v>
      </c>
      <c r="B1416" s="1" t="s">
        <v>1449</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5">
      <c r="A1417" s="30" t="s">
        <v>46</v>
      </c>
      <c r="B1417" s="1" t="s">
        <v>1450</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5">
      <c r="A1418" s="30" t="s">
        <v>46</v>
      </c>
      <c r="B1418" s="1" t="s">
        <v>1451</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5">
      <c r="A1419" s="30" t="s">
        <v>46</v>
      </c>
      <c r="B1419" s="1" t="s">
        <v>1452</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5">
      <c r="A1420" s="30" t="s">
        <v>46</v>
      </c>
      <c r="B1420" s="1" t="s">
        <v>1453</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5">
      <c r="A1421" s="30" t="s">
        <v>46</v>
      </c>
      <c r="B1421" s="1" t="s">
        <v>1454</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5">
      <c r="A1422" s="30" t="s">
        <v>46</v>
      </c>
      <c r="B1422" s="1" t="s">
        <v>1455</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5">
      <c r="A1423" s="30" t="s">
        <v>46</v>
      </c>
      <c r="B1423" s="1" t="s">
        <v>1456</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5">
      <c r="A1424" s="30" t="s">
        <v>46</v>
      </c>
      <c r="B1424" s="1" t="s">
        <v>1457</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5">
      <c r="A1425" s="30" t="s">
        <v>46</v>
      </c>
      <c r="B1425" s="1" t="s">
        <v>1458</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5">
      <c r="A1426" s="30" t="s">
        <v>46</v>
      </c>
      <c r="B1426" s="1" t="s">
        <v>1459</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5">
      <c r="A1427" s="30" t="s">
        <v>46</v>
      </c>
      <c r="B1427" s="1" t="s">
        <v>1460</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5">
      <c r="A1428" s="30" t="s">
        <v>46</v>
      </c>
      <c r="B1428" s="1" t="s">
        <v>1461</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5">
      <c r="A1429" s="30" t="s">
        <v>46</v>
      </c>
      <c r="B1429" s="1" t="s">
        <v>1462</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5">
      <c r="A1430" s="30" t="s">
        <v>46</v>
      </c>
      <c r="B1430" s="1" t="s">
        <v>1463</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5">
      <c r="A1431" s="30" t="s">
        <v>46</v>
      </c>
      <c r="B1431" s="1" t="s">
        <v>1464</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5">
      <c r="A1432" s="30" t="s">
        <v>46</v>
      </c>
      <c r="B1432" s="1" t="s">
        <v>1465</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5">
      <c r="A1433" s="30" t="s">
        <v>46</v>
      </c>
      <c r="B1433" s="1" t="s">
        <v>1466</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5">
      <c r="A1434" s="30" t="s">
        <v>46</v>
      </c>
      <c r="B1434" s="1" t="s">
        <v>1467</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5">
      <c r="A1435" s="30" t="s">
        <v>46</v>
      </c>
      <c r="B1435" s="1" t="s">
        <v>1468</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5">
      <c r="A1436" s="30" t="s">
        <v>46</v>
      </c>
      <c r="B1436" s="1" t="s">
        <v>1469</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5">
      <c r="A1437" s="30" t="s">
        <v>46</v>
      </c>
      <c r="B1437" s="1" t="s">
        <v>1470</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5">
      <c r="A1438" s="30" t="s">
        <v>46</v>
      </c>
      <c r="B1438" s="1" t="s">
        <v>1471</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5">
      <c r="A1439" s="30" t="s">
        <v>46</v>
      </c>
      <c r="B1439" s="1" t="s">
        <v>1472</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5">
      <c r="A1440" s="30" t="s">
        <v>46</v>
      </c>
      <c r="B1440" s="1" t="s">
        <v>1473</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5">
      <c r="A1441" s="30" t="s">
        <v>46</v>
      </c>
      <c r="B1441" s="1" t="s">
        <v>1474</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5">
      <c r="A1442" s="30" t="s">
        <v>46</v>
      </c>
      <c r="B1442" s="1" t="s">
        <v>1475</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5">
      <c r="A1443" s="30" t="s">
        <v>46</v>
      </c>
      <c r="B1443" s="1" t="s">
        <v>1476</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5">
      <c r="A1444" s="30" t="s">
        <v>46</v>
      </c>
      <c r="B1444" s="1" t="s">
        <v>1477</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5">
      <c r="A1445" s="30" t="s">
        <v>46</v>
      </c>
      <c r="B1445" s="1" t="s">
        <v>1478</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5">
      <c r="A1446" s="30" t="s">
        <v>46</v>
      </c>
      <c r="B1446" s="1" t="s">
        <v>1479</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5">
      <c r="A1447" s="30" t="s">
        <v>46</v>
      </c>
      <c r="B1447" s="1" t="s">
        <v>1480</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5">
      <c r="A1448" s="30" t="s">
        <v>46</v>
      </c>
      <c r="B1448" s="1" t="s">
        <v>1481</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5">
      <c r="A1449" s="30" t="s">
        <v>46</v>
      </c>
      <c r="B1449" s="1" t="s">
        <v>1482</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5">
      <c r="A1450" s="30" t="s">
        <v>46</v>
      </c>
      <c r="B1450" s="1" t="s">
        <v>1483</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5">
      <c r="A1451" s="30" t="s">
        <v>46</v>
      </c>
      <c r="B1451" s="1" t="s">
        <v>1484</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5">
      <c r="A1452" s="30" t="s">
        <v>46</v>
      </c>
      <c r="B1452" s="1" t="s">
        <v>1485</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5">
      <c r="A1453" s="30" t="s">
        <v>46</v>
      </c>
      <c r="B1453" s="1" t="s">
        <v>1486</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5">
      <c r="A1454" s="30" t="s">
        <v>46</v>
      </c>
      <c r="B1454" s="1" t="s">
        <v>1487</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5">
      <c r="A1455" s="30" t="s">
        <v>46</v>
      </c>
      <c r="B1455" s="1" t="s">
        <v>1488</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5">
      <c r="A1456" s="30" t="s">
        <v>46</v>
      </c>
      <c r="B1456" s="1" t="s">
        <v>1489</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5">
      <c r="A1457" s="30" t="s">
        <v>46</v>
      </c>
      <c r="B1457" s="1" t="s">
        <v>1490</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5">
      <c r="A1458" s="30" t="s">
        <v>46</v>
      </c>
      <c r="B1458" s="1" t="s">
        <v>1491</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5">
      <c r="A1459" s="30" t="s">
        <v>46</v>
      </c>
      <c r="B1459" s="1" t="s">
        <v>1492</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5">
      <c r="A1460" s="30" t="s">
        <v>46</v>
      </c>
      <c r="B1460" s="1" t="s">
        <v>1493</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5">
      <c r="A1461" s="30" t="s">
        <v>46</v>
      </c>
      <c r="B1461" s="1" t="s">
        <v>1494</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5">
      <c r="A1462" s="30" t="s">
        <v>46</v>
      </c>
      <c r="B1462" s="1" t="s">
        <v>1495</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5">
      <c r="A1463" s="30" t="s">
        <v>46</v>
      </c>
      <c r="B1463" s="1" t="s">
        <v>1496</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5">
      <c r="A1464" s="30" t="s">
        <v>46</v>
      </c>
      <c r="B1464" s="1" t="s">
        <v>1497</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5">
      <c r="A1465" s="30" t="s">
        <v>46</v>
      </c>
      <c r="B1465" s="1" t="s">
        <v>1498</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5">
      <c r="A1466" s="30" t="s">
        <v>46</v>
      </c>
      <c r="B1466" s="1" t="s">
        <v>1499</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5">
      <c r="A1467" s="30" t="s">
        <v>46</v>
      </c>
      <c r="B1467" s="1" t="s">
        <v>1500</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5">
      <c r="A1468" s="30" t="s">
        <v>46</v>
      </c>
      <c r="B1468" s="1" t="s">
        <v>1501</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5">
      <c r="A1469" s="30" t="s">
        <v>46</v>
      </c>
      <c r="B1469" s="1" t="s">
        <v>1502</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5">
      <c r="A1470" s="30" t="s">
        <v>46</v>
      </c>
      <c r="B1470" s="1" t="s">
        <v>1503</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5">
      <c r="A1471" s="30" t="s">
        <v>46</v>
      </c>
      <c r="B1471" s="1" t="s">
        <v>1504</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5">
      <c r="A1472" s="30" t="s">
        <v>46</v>
      </c>
      <c r="B1472" s="1" t="s">
        <v>1505</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5">
      <c r="A1473" s="30" t="s">
        <v>46</v>
      </c>
      <c r="B1473" s="1" t="s">
        <v>1506</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5">
      <c r="A1474" s="30" t="s">
        <v>46</v>
      </c>
      <c r="B1474" s="1" t="s">
        <v>1507</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5">
      <c r="A1475" s="30" t="s">
        <v>46</v>
      </c>
      <c r="B1475" s="1" t="s">
        <v>1508</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5">
      <c r="A1476" s="30" t="s">
        <v>46</v>
      </c>
      <c r="B1476" s="1" t="s">
        <v>1509</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5">
      <c r="A1477" s="30" t="s">
        <v>46</v>
      </c>
      <c r="B1477" s="1" t="s">
        <v>1510</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5">
      <c r="A1478" s="30" t="s">
        <v>46</v>
      </c>
      <c r="B1478" s="1" t="s">
        <v>1511</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5">
      <c r="A1479" s="30" t="s">
        <v>46</v>
      </c>
      <c r="B1479" s="1" t="s">
        <v>1512</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5">
      <c r="A1480" s="30" t="s">
        <v>46</v>
      </c>
      <c r="B1480" s="1" t="s">
        <v>1513</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5">
      <c r="A1481" s="30" t="s">
        <v>46</v>
      </c>
      <c r="B1481" s="1" t="s">
        <v>1514</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5">
      <c r="A1482" s="30" t="s">
        <v>46</v>
      </c>
      <c r="B1482" s="1" t="s">
        <v>1515</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5">
      <c r="A1483" s="30" t="s">
        <v>46</v>
      </c>
      <c r="B1483" s="1" t="s">
        <v>1516</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5">
      <c r="A1484" s="30" t="s">
        <v>46</v>
      </c>
      <c r="B1484" s="1" t="s">
        <v>1517</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5">
      <c r="A1485" s="30" t="s">
        <v>46</v>
      </c>
      <c r="B1485" s="1" t="s">
        <v>1518</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5">
      <c r="A1486" s="30" t="s">
        <v>46</v>
      </c>
      <c r="B1486" s="1" t="s">
        <v>1519</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5">
      <c r="A1487" s="30" t="s">
        <v>46</v>
      </c>
      <c r="B1487" s="1" t="s">
        <v>1520</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5">
      <c r="A1488" s="30" t="s">
        <v>46</v>
      </c>
      <c r="B1488" s="1" t="s">
        <v>1521</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5">
      <c r="A1489" s="30" t="s">
        <v>46</v>
      </c>
      <c r="B1489" s="1" t="s">
        <v>1522</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5">
      <c r="A1490" s="30" t="s">
        <v>46</v>
      </c>
      <c r="B1490" s="1" t="s">
        <v>1523</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5">
      <c r="A1491" s="30" t="s">
        <v>46</v>
      </c>
      <c r="B1491" s="1" t="s">
        <v>1524</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5">
      <c r="A1492" s="30" t="s">
        <v>46</v>
      </c>
      <c r="B1492" s="1" t="s">
        <v>1525</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5">
      <c r="A1493" s="30" t="s">
        <v>46</v>
      </c>
      <c r="B1493" s="1" t="s">
        <v>1526</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5">
      <c r="A1494" s="30" t="s">
        <v>46</v>
      </c>
      <c r="B1494" s="1" t="s">
        <v>1527</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5">
      <c r="A1495" s="30" t="s">
        <v>46</v>
      </c>
      <c r="B1495" s="1" t="s">
        <v>1528</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5">
      <c r="A1496" s="30" t="s">
        <v>46</v>
      </c>
      <c r="B1496" s="1" t="s">
        <v>1529</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5">
      <c r="A1497" s="30" t="s">
        <v>46</v>
      </c>
      <c r="B1497" s="1" t="s">
        <v>1530</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5">
      <c r="A1498" s="30" t="s">
        <v>46</v>
      </c>
      <c r="B1498" s="1" t="s">
        <v>1531</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5">
      <c r="A1499" s="30" t="s">
        <v>46</v>
      </c>
      <c r="B1499" s="1" t="s">
        <v>1532</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5">
      <c r="A1500" s="30" t="s">
        <v>46</v>
      </c>
      <c r="B1500" s="1" t="s">
        <v>1533</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5">
      <c r="A1501" s="30" t="s">
        <v>46</v>
      </c>
      <c r="B1501" s="1" t="s">
        <v>1534</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5">
      <c r="A1502" s="30" t="s">
        <v>46</v>
      </c>
      <c r="B1502" s="1" t="s">
        <v>1535</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5">
      <c r="A1503" s="30" t="s">
        <v>46</v>
      </c>
      <c r="B1503" s="1" t="s">
        <v>1536</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5">
      <c r="A1504" s="30" t="s">
        <v>46</v>
      </c>
      <c r="B1504" s="1" t="s">
        <v>1537</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5">
      <c r="A1505" s="30" t="s">
        <v>46</v>
      </c>
      <c r="B1505" s="1" t="s">
        <v>1538</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5">
      <c r="A1506" s="30" t="s">
        <v>46</v>
      </c>
      <c r="B1506" s="1" t="s">
        <v>1539</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5">
      <c r="A1507" s="30" t="s">
        <v>46</v>
      </c>
      <c r="B1507" s="1" t="s">
        <v>1540</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5">
      <c r="A1508" s="30" t="s">
        <v>46</v>
      </c>
      <c r="B1508" s="1" t="s">
        <v>1541</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5">
      <c r="A1509" s="30" t="s">
        <v>46</v>
      </c>
      <c r="B1509" s="1" t="s">
        <v>1542</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5">
      <c r="A1510" s="30" t="s">
        <v>46</v>
      </c>
      <c r="B1510" s="1" t="s">
        <v>1543</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5">
      <c r="A1511" s="30" t="s">
        <v>46</v>
      </c>
      <c r="B1511" s="1" t="s">
        <v>1544</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5">
      <c r="A1512" s="30" t="s">
        <v>46</v>
      </c>
      <c r="B1512" s="1" t="s">
        <v>1545</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5">
      <c r="A1513" s="30" t="s">
        <v>46</v>
      </c>
      <c r="B1513" s="1" t="s">
        <v>1546</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5">
      <c r="A1514" s="30" t="s">
        <v>46</v>
      </c>
      <c r="B1514" s="1" t="s">
        <v>1547</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5">
      <c r="A1515" s="30" t="s">
        <v>46</v>
      </c>
      <c r="B1515" s="1" t="s">
        <v>1548</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5">
      <c r="A1516" s="30" t="s">
        <v>46</v>
      </c>
      <c r="B1516" s="1" t="s">
        <v>1549</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5">
      <c r="A1517" s="30" t="s">
        <v>46</v>
      </c>
      <c r="B1517" s="1" t="s">
        <v>1550</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5">
      <c r="A1518" s="30" t="s">
        <v>46</v>
      </c>
      <c r="B1518" s="1" t="s">
        <v>1551</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5">
      <c r="A1519" s="30" t="s">
        <v>46</v>
      </c>
      <c r="B1519" s="1" t="s">
        <v>1552</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5">
      <c r="A1520" s="30" t="s">
        <v>46</v>
      </c>
      <c r="B1520" s="1" t="s">
        <v>1553</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5">
      <c r="A1521" s="30" t="s">
        <v>46</v>
      </c>
      <c r="B1521" s="1" t="s">
        <v>1554</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5">
      <c r="A1522" s="30" t="s">
        <v>46</v>
      </c>
      <c r="B1522" s="1" t="s">
        <v>1555</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5">
      <c r="A1523" s="30" t="s">
        <v>46</v>
      </c>
      <c r="B1523" s="1" t="s">
        <v>1556</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5">
      <c r="A1524" s="30" t="s">
        <v>46</v>
      </c>
      <c r="B1524" s="1" t="s">
        <v>1557</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5">
      <c r="A1525" s="30" t="s">
        <v>46</v>
      </c>
      <c r="B1525" s="1" t="s">
        <v>1558</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5">
      <c r="A1526" s="30" t="s">
        <v>46</v>
      </c>
      <c r="B1526" s="1" t="s">
        <v>1559</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5">
      <c r="A1527" s="30" t="s">
        <v>46</v>
      </c>
      <c r="B1527" s="1" t="s">
        <v>1560</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5">
      <c r="A1528" s="30" t="s">
        <v>46</v>
      </c>
      <c r="B1528" s="1" t="s">
        <v>1561</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5">
      <c r="A1529" s="30" t="s">
        <v>46</v>
      </c>
      <c r="B1529" s="1" t="s">
        <v>1562</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5">
      <c r="A1530" s="30" t="s">
        <v>46</v>
      </c>
      <c r="B1530" s="1" t="s">
        <v>1563</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5">
      <c r="A1531" s="30" t="s">
        <v>46</v>
      </c>
      <c r="B1531" s="1" t="s">
        <v>1564</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5">
      <c r="A1532" s="30" t="s">
        <v>46</v>
      </c>
      <c r="B1532" s="1" t="s">
        <v>1565</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5">
      <c r="A1533" s="30" t="s">
        <v>46</v>
      </c>
      <c r="B1533" s="1" t="s">
        <v>1566</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5">
      <c r="A1534" s="30" t="s">
        <v>46</v>
      </c>
      <c r="B1534" s="1" t="s">
        <v>1567</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5">
      <c r="A1535" s="30" t="s">
        <v>46</v>
      </c>
      <c r="B1535" s="1" t="s">
        <v>1568</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5">
      <c r="A1536" s="30" t="s">
        <v>46</v>
      </c>
      <c r="B1536" s="1" t="s">
        <v>1569</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5">
      <c r="A1537" s="30" t="s">
        <v>46</v>
      </c>
      <c r="B1537" s="1" t="s">
        <v>1570</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5">
      <c r="A1538" s="30" t="s">
        <v>46</v>
      </c>
      <c r="B1538" s="1" t="s">
        <v>1571</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5">
      <c r="A1539" s="30" t="s">
        <v>46</v>
      </c>
      <c r="B1539" s="1" t="s">
        <v>1572</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5">
      <c r="A1540" s="30" t="s">
        <v>46</v>
      </c>
      <c r="B1540" s="1" t="s">
        <v>1573</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5">
      <c r="A1541" s="30" t="s">
        <v>46</v>
      </c>
      <c r="B1541" s="1" t="s">
        <v>1574</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5">
      <c r="A1542" s="30" t="s">
        <v>46</v>
      </c>
      <c r="B1542" s="1" t="s">
        <v>1575</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5">
      <c r="A1543" s="30" t="s">
        <v>46</v>
      </c>
      <c r="B1543" s="1" t="s">
        <v>1576</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5">
      <c r="A1544" s="30" t="s">
        <v>46</v>
      </c>
      <c r="B1544" s="1" t="s">
        <v>1577</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5">
      <c r="A1545" s="30" t="s">
        <v>46</v>
      </c>
      <c r="B1545" s="1" t="s">
        <v>1578</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5">
      <c r="A1546" s="30" t="s">
        <v>46</v>
      </c>
      <c r="B1546" s="1" t="s">
        <v>1579</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5">
      <c r="A1547" s="30" t="s">
        <v>46</v>
      </c>
      <c r="B1547" s="1" t="s">
        <v>1580</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5">
      <c r="A1548" s="30" t="s">
        <v>46</v>
      </c>
      <c r="B1548" s="1" t="s">
        <v>1581</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5">
      <c r="A1549" s="30" t="s">
        <v>46</v>
      </c>
      <c r="B1549" s="1" t="s">
        <v>1582</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5">
      <c r="A1550" s="30" t="s">
        <v>46</v>
      </c>
      <c r="B1550" s="1" t="s">
        <v>1583</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5">
      <c r="A1551" s="30" t="s">
        <v>46</v>
      </c>
      <c r="B1551" s="1" t="s">
        <v>1584</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5">
      <c r="A1552" s="30" t="s">
        <v>46</v>
      </c>
      <c r="B1552" s="1" t="s">
        <v>1585</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5">
      <c r="A1553" s="30" t="s">
        <v>46</v>
      </c>
      <c r="B1553" s="1" t="s">
        <v>1586</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5">
      <c r="A1554" s="30" t="s">
        <v>46</v>
      </c>
      <c r="B1554" s="1" t="s">
        <v>1587</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5">
      <c r="A1555" s="30" t="s">
        <v>46</v>
      </c>
      <c r="B1555" s="1" t="s">
        <v>1588</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5">
      <c r="A1556" s="30" t="s">
        <v>46</v>
      </c>
      <c r="B1556" s="1" t="s">
        <v>1589</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5">
      <c r="A1557" s="30" t="s">
        <v>46</v>
      </c>
      <c r="B1557" s="1" t="s">
        <v>1590</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5">
      <c r="A1558" s="30" t="s">
        <v>46</v>
      </c>
      <c r="B1558" s="1" t="s">
        <v>1591</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5">
      <c r="A1559" s="30" t="s">
        <v>46</v>
      </c>
      <c r="B1559" s="1" t="s">
        <v>1592</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5">
      <c r="A1560" s="30" t="s">
        <v>46</v>
      </c>
      <c r="B1560" s="1" t="s">
        <v>1593</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5">
      <c r="A1561" s="30" t="s">
        <v>46</v>
      </c>
      <c r="B1561" s="1" t="s">
        <v>1594</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5">
      <c r="A1562" s="30" t="s">
        <v>46</v>
      </c>
      <c r="B1562" s="1" t="s">
        <v>1595</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5">
      <c r="A1563" s="30" t="s">
        <v>46</v>
      </c>
      <c r="B1563" s="1" t="s">
        <v>1596</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5">
      <c r="A1564" s="30" t="s">
        <v>46</v>
      </c>
      <c r="B1564" s="1" t="s">
        <v>1597</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5">
      <c r="A1565" s="30" t="s">
        <v>46</v>
      </c>
      <c r="B1565" s="1" t="s">
        <v>1598</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5">
      <c r="A1566" s="30" t="s">
        <v>46</v>
      </c>
      <c r="B1566" s="1" t="s">
        <v>1599</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5">
      <c r="A1567" s="30" t="s">
        <v>46</v>
      </c>
      <c r="B1567" s="1" t="s">
        <v>1600</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5">
      <c r="A1568" s="30" t="s">
        <v>46</v>
      </c>
      <c r="B1568" s="1" t="s">
        <v>1601</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5">
      <c r="A1569" s="30" t="s">
        <v>46</v>
      </c>
      <c r="B1569" s="1" t="s">
        <v>1602</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5">
      <c r="A1570" s="30" t="s">
        <v>46</v>
      </c>
      <c r="B1570" s="1" t="s">
        <v>1603</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5">
      <c r="A1571" s="30" t="s">
        <v>46</v>
      </c>
      <c r="B1571" s="1" t="s">
        <v>1604</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5">
      <c r="A1572" s="30" t="s">
        <v>46</v>
      </c>
      <c r="B1572" s="1" t="s">
        <v>1605</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5">
      <c r="A1573" s="30" t="s">
        <v>46</v>
      </c>
      <c r="B1573" s="1" t="s">
        <v>1606</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5">
      <c r="A1574" s="30" t="s">
        <v>46</v>
      </c>
      <c r="B1574" s="1" t="s">
        <v>1607</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5">
      <c r="A1575" s="30" t="s">
        <v>46</v>
      </c>
      <c r="B1575" s="1" t="s">
        <v>1608</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5">
      <c r="A1576" s="30" t="s">
        <v>46</v>
      </c>
      <c r="B1576" s="1" t="s">
        <v>1609</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5">
      <c r="A1577" s="30" t="s">
        <v>46</v>
      </c>
      <c r="B1577" s="1" t="s">
        <v>1610</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5">
      <c r="A1578" s="30" t="s">
        <v>46</v>
      </c>
      <c r="B1578" s="1" t="s">
        <v>1611</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5">
      <c r="A1579" s="30" t="s">
        <v>46</v>
      </c>
      <c r="B1579" s="1" t="s">
        <v>1612</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5">
      <c r="A1580" s="30" t="s">
        <v>46</v>
      </c>
      <c r="B1580" s="1" t="s">
        <v>1613</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5">
      <c r="A1581" s="30" t="s">
        <v>46</v>
      </c>
      <c r="B1581" s="1" t="s">
        <v>1614</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5">
      <c r="A1582" s="30" t="s">
        <v>46</v>
      </c>
      <c r="B1582" s="1" t="s">
        <v>1615</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5">
      <c r="A1583" s="30" t="s">
        <v>46</v>
      </c>
      <c r="B1583" s="1" t="s">
        <v>1616</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5">
      <c r="A1584" s="30" t="s">
        <v>46</v>
      </c>
      <c r="B1584" s="1" t="s">
        <v>1617</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5">
      <c r="A1585" s="30" t="s">
        <v>46</v>
      </c>
      <c r="B1585" s="1" t="s">
        <v>1618</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5">
      <c r="A1586" s="30" t="s">
        <v>46</v>
      </c>
      <c r="B1586" s="1" t="s">
        <v>1619</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5">
      <c r="A1587" s="30" t="s">
        <v>46</v>
      </c>
      <c r="B1587" s="1" t="s">
        <v>1620</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5">
      <c r="A1588" s="30" t="s">
        <v>46</v>
      </c>
      <c r="B1588" s="1" t="s">
        <v>1621</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5">
      <c r="A1589" s="30" t="s">
        <v>46</v>
      </c>
      <c r="B1589" s="1" t="s">
        <v>1622</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5">
      <c r="A1590" s="30" t="s">
        <v>46</v>
      </c>
      <c r="B1590" s="1" t="s">
        <v>1623</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5">
      <c r="A1591" s="30" t="s">
        <v>46</v>
      </c>
      <c r="B1591" s="1" t="s">
        <v>1624</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5">
      <c r="A1592" s="30" t="s">
        <v>46</v>
      </c>
      <c r="B1592" s="1" t="s">
        <v>1625</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5">
      <c r="A1593" s="30" t="s">
        <v>46</v>
      </c>
      <c r="B1593" s="1" t="s">
        <v>1626</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5">
      <c r="A1594" s="30" t="s">
        <v>46</v>
      </c>
      <c r="B1594" s="1" t="s">
        <v>1627</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5">
      <c r="A1595" s="30" t="s">
        <v>46</v>
      </c>
      <c r="B1595" s="1" t="s">
        <v>1628</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5">
      <c r="A1596" s="30" t="s">
        <v>46</v>
      </c>
      <c r="B1596" s="1" t="s">
        <v>1629</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5">
      <c r="A1597" s="30" t="s">
        <v>46</v>
      </c>
      <c r="B1597" s="1" t="s">
        <v>1630</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5">
      <c r="A1598" s="30" t="s">
        <v>46</v>
      </c>
      <c r="B1598" s="1" t="s">
        <v>1631</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5">
      <c r="A1599" s="30" t="s">
        <v>46</v>
      </c>
      <c r="B1599" s="1" t="s">
        <v>1632</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5">
      <c r="A1600" s="30" t="s">
        <v>46</v>
      </c>
      <c r="B1600" s="1" t="s">
        <v>1633</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5">
      <c r="A1601" s="30" t="s">
        <v>46</v>
      </c>
      <c r="B1601" s="1" t="s">
        <v>1634</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5">
      <c r="A1602" s="30" t="s">
        <v>46</v>
      </c>
      <c r="B1602" s="1" t="s">
        <v>1635</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5">
      <c r="A1603" s="30" t="s">
        <v>46</v>
      </c>
      <c r="B1603" s="1" t="s">
        <v>1636</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5">
      <c r="A1604" s="30" t="s">
        <v>46</v>
      </c>
      <c r="B1604" s="1" t="s">
        <v>1637</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5">
      <c r="A1605" s="30" t="s">
        <v>46</v>
      </c>
      <c r="B1605" s="1" t="s">
        <v>1638</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5">
      <c r="A1606" s="30" t="s">
        <v>46</v>
      </c>
      <c r="B1606" s="1" t="s">
        <v>1639</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5">
      <c r="A1607" s="30" t="s">
        <v>46</v>
      </c>
      <c r="B1607" s="1" t="s">
        <v>1640</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5">
      <c r="A1608" s="30" t="s">
        <v>46</v>
      </c>
      <c r="B1608" s="1" t="s">
        <v>1641</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5">
      <c r="A1609" s="30" t="s">
        <v>46</v>
      </c>
      <c r="B1609" s="1" t="s">
        <v>1642</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5">
      <c r="A1610" s="30" t="s">
        <v>46</v>
      </c>
      <c r="B1610" s="1" t="s">
        <v>1643</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5">
      <c r="A1611" s="30" t="s">
        <v>46</v>
      </c>
      <c r="B1611" s="1" t="s">
        <v>1644</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5">
      <c r="A1612" s="30" t="s">
        <v>46</v>
      </c>
      <c r="B1612" s="1" t="s">
        <v>1645</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5">
      <c r="A1613" s="30" t="s">
        <v>46</v>
      </c>
      <c r="B1613" s="1" t="s">
        <v>1646</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5">
      <c r="A1614" s="30" t="s">
        <v>46</v>
      </c>
      <c r="B1614" s="1" t="s">
        <v>1647</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5">
      <c r="A1615" s="30" t="s">
        <v>46</v>
      </c>
      <c r="B1615" s="1" t="s">
        <v>1648</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5">
      <c r="A1616" s="30" t="s">
        <v>46</v>
      </c>
      <c r="B1616" s="1" t="s">
        <v>1649</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5">
      <c r="A1617" s="30" t="s">
        <v>46</v>
      </c>
      <c r="B1617" s="1" t="s">
        <v>1650</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5">
      <c r="A1618" s="30" t="s">
        <v>46</v>
      </c>
      <c r="B1618" s="1" t="s">
        <v>1651</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5">
      <c r="A1619" s="30" t="s">
        <v>46</v>
      </c>
      <c r="B1619" s="1" t="s">
        <v>1652</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5">
      <c r="A1620" s="30" t="s">
        <v>46</v>
      </c>
      <c r="B1620" s="1" t="s">
        <v>1653</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5">
      <c r="A1621" s="30" t="s">
        <v>46</v>
      </c>
      <c r="B1621" s="1" t="s">
        <v>1654</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5">
      <c r="A1622" s="30" t="s">
        <v>46</v>
      </c>
      <c r="B1622" s="1" t="s">
        <v>1655</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5">
      <c r="A1623" s="30" t="s">
        <v>46</v>
      </c>
      <c r="B1623" s="1" t="s">
        <v>1656</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5">
      <c r="A1624" s="30" t="s">
        <v>46</v>
      </c>
      <c r="B1624" s="1" t="s">
        <v>1657</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5">
      <c r="A1625" s="30" t="s">
        <v>46</v>
      </c>
      <c r="B1625" s="1" t="s">
        <v>1658</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5">
      <c r="A1626" s="30" t="s">
        <v>46</v>
      </c>
      <c r="B1626" s="1" t="s">
        <v>1659</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5">
      <c r="A1627" s="30" t="s">
        <v>46</v>
      </c>
      <c r="B1627" s="1" t="s">
        <v>1660</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5">
      <c r="A1628" s="30" t="s">
        <v>46</v>
      </c>
      <c r="B1628" s="1" t="s">
        <v>1661</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5">
      <c r="A1629" s="30" t="s">
        <v>46</v>
      </c>
      <c r="B1629" s="1" t="s">
        <v>1662</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5">
      <c r="A1630" s="30" t="s">
        <v>46</v>
      </c>
      <c r="B1630" s="1" t="s">
        <v>1663</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5">
      <c r="A1631" s="30" t="s">
        <v>46</v>
      </c>
      <c r="B1631" s="1" t="s">
        <v>1664</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5">
      <c r="A1632" s="30" t="s">
        <v>46</v>
      </c>
      <c r="B1632" s="1" t="s">
        <v>1665</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5">
      <c r="A1633" s="30" t="s">
        <v>46</v>
      </c>
      <c r="B1633" s="1" t="s">
        <v>1666</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5">
      <c r="A1634" s="30" t="s">
        <v>46</v>
      </c>
      <c r="B1634" s="1" t="s">
        <v>1667</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5">
      <c r="A1635" s="30" t="s">
        <v>46</v>
      </c>
      <c r="B1635" s="1" t="s">
        <v>1668</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5">
      <c r="A1636" s="30" t="s">
        <v>46</v>
      </c>
      <c r="B1636" s="1" t="s">
        <v>1669</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5">
      <c r="A1637" s="30" t="s">
        <v>46</v>
      </c>
      <c r="B1637" s="1" t="s">
        <v>1670</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5">
      <c r="A1638" s="30" t="s">
        <v>46</v>
      </c>
      <c r="B1638" s="1" t="s">
        <v>1671</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5">
      <c r="A1639" s="30" t="s">
        <v>46</v>
      </c>
      <c r="B1639" s="1" t="s">
        <v>1672</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5">
      <c r="A1640" s="30" t="s">
        <v>46</v>
      </c>
      <c r="B1640" s="1" t="s">
        <v>1673</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5">
      <c r="A1641" s="30" t="s">
        <v>46</v>
      </c>
      <c r="B1641" s="1" t="s">
        <v>1674</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5">
      <c r="A1642" s="30" t="s">
        <v>46</v>
      </c>
      <c r="B1642" s="1" t="s">
        <v>1675</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5">
      <c r="A1643" s="30" t="s">
        <v>46</v>
      </c>
      <c r="B1643" s="1" t="s">
        <v>1676</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5">
      <c r="A1644" s="30" t="s">
        <v>46</v>
      </c>
      <c r="B1644" s="1" t="s">
        <v>1677</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5">
      <c r="A1645" s="30" t="s">
        <v>46</v>
      </c>
      <c r="B1645" s="1" t="s">
        <v>1678</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5">
      <c r="A1646" s="30" t="s">
        <v>46</v>
      </c>
      <c r="B1646" s="1" t="s">
        <v>1679</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5">
      <c r="A1647" s="30" t="s">
        <v>46</v>
      </c>
      <c r="B1647" s="1" t="s">
        <v>1680</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5">
      <c r="A1648" s="30" t="s">
        <v>46</v>
      </c>
      <c r="B1648" s="1" t="s">
        <v>1681</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5">
      <c r="A1649" s="30" t="s">
        <v>46</v>
      </c>
      <c r="B1649" s="1" t="s">
        <v>1682</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5">
      <c r="A1650" s="30" t="s">
        <v>46</v>
      </c>
      <c r="B1650" s="1" t="s">
        <v>1683</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5">
      <c r="A1651" s="30" t="s">
        <v>46</v>
      </c>
      <c r="B1651" s="1" t="s">
        <v>1684</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5">
      <c r="A1652" s="30" t="s">
        <v>46</v>
      </c>
      <c r="B1652" s="1" t="s">
        <v>1685</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5">
      <c r="A1653" s="30" t="s">
        <v>46</v>
      </c>
      <c r="B1653" s="1" t="s">
        <v>1686</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5">
      <c r="A1654" s="30" t="s">
        <v>46</v>
      </c>
      <c r="B1654" s="1" t="s">
        <v>1687</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5">
      <c r="A1655" s="30" t="s">
        <v>46</v>
      </c>
      <c r="B1655" s="1" t="s">
        <v>1688</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5">
      <c r="A1656" s="30" t="s">
        <v>46</v>
      </c>
      <c r="B1656" s="1" t="s">
        <v>1689</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5">
      <c r="A1657" s="30" t="s">
        <v>46</v>
      </c>
      <c r="B1657" s="1" t="s">
        <v>1690</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5">
      <c r="A1658" s="30" t="s">
        <v>46</v>
      </c>
      <c r="B1658" s="1" t="s">
        <v>1691</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5">
      <c r="A1659" s="30" t="s">
        <v>46</v>
      </c>
      <c r="B1659" s="1" t="s">
        <v>1692</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5">
      <c r="A1660" s="30" t="s">
        <v>46</v>
      </c>
      <c r="B1660" s="1" t="s">
        <v>1693</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5">
      <c r="A1661" s="30" t="s">
        <v>46</v>
      </c>
      <c r="B1661" s="1" t="s">
        <v>1694</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5">
      <c r="A1662" s="30" t="s">
        <v>46</v>
      </c>
      <c r="B1662" s="1" t="s">
        <v>1695</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5">
      <c r="A1663" s="30" t="s">
        <v>46</v>
      </c>
      <c r="B1663" s="1" t="s">
        <v>1696</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5">
      <c r="A1664" s="30" t="s">
        <v>46</v>
      </c>
      <c r="B1664" s="1" t="s">
        <v>1697</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5">
      <c r="A1665" s="30" t="s">
        <v>46</v>
      </c>
      <c r="B1665" s="1" t="s">
        <v>1698</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5">
      <c r="A1666" s="30" t="s">
        <v>46</v>
      </c>
      <c r="B1666" s="1" t="s">
        <v>1699</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5">
      <c r="A1667" s="30" t="s">
        <v>46</v>
      </c>
      <c r="B1667" s="1" t="s">
        <v>1700</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5">
      <c r="A1668" s="30" t="s">
        <v>46</v>
      </c>
      <c r="B1668" s="1" t="s">
        <v>1701</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5">
      <c r="A1669" s="30" t="s">
        <v>46</v>
      </c>
      <c r="B1669" s="1" t="s">
        <v>1702</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5">
      <c r="A1670" s="30" t="s">
        <v>46</v>
      </c>
      <c r="B1670" s="1" t="s">
        <v>1703</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5">
      <c r="A1671" s="30" t="s">
        <v>46</v>
      </c>
      <c r="B1671" s="1" t="s">
        <v>1704</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46</v>
      </c>
      <c r="B1672" s="1" t="s">
        <v>1705</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46</v>
      </c>
      <c r="B1673" s="1" t="s">
        <v>1706</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46</v>
      </c>
      <c r="B1674" s="1" t="s">
        <v>1707</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46</v>
      </c>
      <c r="B1675" s="1" t="s">
        <v>1708</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25">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5">
      <c r="A1677" s="30" t="s">
        <v>1709</v>
      </c>
      <c r="B1677" s="1" t="s">
        <v>1710</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74">
        <v>336</v>
      </c>
      <c r="N1677" s="474">
        <v>399</v>
      </c>
      <c r="O1677" s="474">
        <v>349</v>
      </c>
      <c r="P1677" s="474">
        <v>382</v>
      </c>
      <c r="Q1677" s="474">
        <v>397</v>
      </c>
      <c r="R1677" s="474">
        <v>382</v>
      </c>
      <c r="S1677" s="474">
        <v>334</v>
      </c>
      <c r="T1677" s="474">
        <v>370</v>
      </c>
      <c r="U1677" s="474">
        <v>382</v>
      </c>
      <c r="V1677" s="474">
        <v>393</v>
      </c>
      <c r="W1677" s="474">
        <v>402</v>
      </c>
      <c r="X1677" s="474">
        <v>376</v>
      </c>
      <c r="Y1677" s="474">
        <v>426</v>
      </c>
      <c r="Z1677" s="474">
        <v>413</v>
      </c>
      <c r="AA1677" s="474">
        <v>438</v>
      </c>
      <c r="AB1677" s="474">
        <v>396</v>
      </c>
      <c r="AC1677" s="474">
        <v>329</v>
      </c>
      <c r="AD1677" s="474">
        <v>345</v>
      </c>
      <c r="AE1677" s="474">
        <v>361</v>
      </c>
      <c r="AF1677" s="474">
        <v>348</v>
      </c>
      <c r="AG1677" s="474">
        <v>313</v>
      </c>
      <c r="AH1677" s="474">
        <v>306</v>
      </c>
      <c r="AI1677" s="474">
        <v>367</v>
      </c>
      <c r="AJ1677" s="474">
        <v>383</v>
      </c>
      <c r="AK1677" s="474">
        <v>374</v>
      </c>
      <c r="AL1677" s="474">
        <v>407</v>
      </c>
      <c r="AM1677" s="474">
        <v>421</v>
      </c>
      <c r="AN1677" s="474">
        <v>360</v>
      </c>
      <c r="AO1677" s="474">
        <v>366</v>
      </c>
      <c r="AP1677" s="474">
        <v>456</v>
      </c>
      <c r="AQ1677" s="474">
        <v>450</v>
      </c>
      <c r="AR1677" s="474">
        <v>476</v>
      </c>
      <c r="AS1677" s="474">
        <v>463</v>
      </c>
      <c r="AT1677" s="474">
        <v>434</v>
      </c>
      <c r="AU1677" s="474">
        <v>482</v>
      </c>
      <c r="AV1677" s="474">
        <v>412</v>
      </c>
      <c r="AW1677" s="474">
        <v>433</v>
      </c>
      <c r="AX1677" s="474">
        <v>442</v>
      </c>
      <c r="AY1677" s="474">
        <v>438</v>
      </c>
      <c r="AZ1677" s="474">
        <v>396</v>
      </c>
      <c r="BA1677" s="474">
        <v>427</v>
      </c>
      <c r="BB1677" s="474">
        <v>360</v>
      </c>
      <c r="BC1677" s="474">
        <v>384</v>
      </c>
      <c r="BD1677" s="474">
        <v>378</v>
      </c>
      <c r="BE1677" s="474">
        <v>366</v>
      </c>
      <c r="BF1677" s="474">
        <v>352</v>
      </c>
      <c r="BG1677" s="474">
        <v>300</v>
      </c>
      <c r="BH1677" s="474">
        <v>338</v>
      </c>
      <c r="BI1677" s="474">
        <v>409</v>
      </c>
      <c r="BJ1677" s="474">
        <v>382</v>
      </c>
      <c r="BK1677" s="474">
        <v>432</v>
      </c>
      <c r="BL1677" s="474">
        <v>488</v>
      </c>
      <c r="BM1677" s="474">
        <v>474</v>
      </c>
      <c r="BN1677" s="474">
        <v>478</v>
      </c>
      <c r="BO1677" s="474">
        <v>516</v>
      </c>
      <c r="BP1677" s="474">
        <v>504</v>
      </c>
      <c r="BQ1677" s="474">
        <v>497</v>
      </c>
      <c r="BR1677" s="474">
        <v>519</v>
      </c>
      <c r="BS1677" s="474">
        <v>526</v>
      </c>
      <c r="BT1677" s="474">
        <v>509</v>
      </c>
      <c r="BU1677" s="474">
        <v>487</v>
      </c>
      <c r="BV1677" s="474">
        <v>492</v>
      </c>
      <c r="BW1677" s="474">
        <v>426</v>
      </c>
      <c r="BX1677" s="474">
        <v>434</v>
      </c>
      <c r="BY1677" s="474">
        <v>423</v>
      </c>
      <c r="BZ1677" s="474">
        <v>361</v>
      </c>
      <c r="CA1677" s="474">
        <v>439</v>
      </c>
      <c r="CB1677" s="474">
        <v>391</v>
      </c>
      <c r="CC1677" s="474">
        <v>372</v>
      </c>
      <c r="CD1677" s="474">
        <v>348</v>
      </c>
      <c r="CE1677" s="474">
        <v>371</v>
      </c>
      <c r="CF1677" s="474">
        <v>333</v>
      </c>
      <c r="CG1677" s="474">
        <v>348</v>
      </c>
      <c r="CH1677" s="474">
        <v>344</v>
      </c>
      <c r="CI1677" s="474">
        <v>346</v>
      </c>
      <c r="CJ1677" s="474">
        <v>334</v>
      </c>
      <c r="CK1677" s="474">
        <v>378</v>
      </c>
      <c r="CL1677" s="474">
        <v>278</v>
      </c>
      <c r="CM1677" s="474">
        <v>249</v>
      </c>
      <c r="CN1677" s="474">
        <v>228</v>
      </c>
      <c r="CO1677" s="474">
        <v>248</v>
      </c>
      <c r="CP1677" s="474">
        <v>192</v>
      </c>
      <c r="CQ1677" s="474">
        <v>169</v>
      </c>
      <c r="CR1677" s="474">
        <v>139</v>
      </c>
      <c r="CS1677" s="474">
        <v>153</v>
      </c>
      <c r="CT1677" s="474">
        <v>108</v>
      </c>
      <c r="CU1677" s="474">
        <v>90</v>
      </c>
      <c r="CV1677" s="474">
        <v>95</v>
      </c>
      <c r="CW1677" s="474">
        <v>75</v>
      </c>
      <c r="CX1677" s="474">
        <v>40</v>
      </c>
      <c r="CY1677" s="474">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1711</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74">
        <v>678</v>
      </c>
      <c r="N1678" s="474">
        <v>735</v>
      </c>
      <c r="O1678" s="474">
        <v>694</v>
      </c>
      <c r="P1678" s="474">
        <v>730</v>
      </c>
      <c r="Q1678" s="474">
        <v>759</v>
      </c>
      <c r="R1678" s="474">
        <v>792</v>
      </c>
      <c r="S1678" s="474">
        <v>821</v>
      </c>
      <c r="T1678" s="474">
        <v>821</v>
      </c>
      <c r="U1678" s="474">
        <v>863</v>
      </c>
      <c r="V1678" s="474">
        <v>873</v>
      </c>
      <c r="W1678" s="474">
        <v>876</v>
      </c>
      <c r="X1678" s="474">
        <v>873</v>
      </c>
      <c r="Y1678" s="474">
        <v>977</v>
      </c>
      <c r="Z1678" s="474">
        <v>892</v>
      </c>
      <c r="AA1678" s="474">
        <v>927</v>
      </c>
      <c r="AB1678" s="474">
        <v>890</v>
      </c>
      <c r="AC1678" s="474">
        <v>873</v>
      </c>
      <c r="AD1678" s="474">
        <v>842</v>
      </c>
      <c r="AE1678" s="474">
        <v>884</v>
      </c>
      <c r="AF1678" s="474">
        <v>708</v>
      </c>
      <c r="AG1678" s="474">
        <v>645</v>
      </c>
      <c r="AH1678" s="474">
        <v>652</v>
      </c>
      <c r="AI1678" s="474">
        <v>698</v>
      </c>
      <c r="AJ1678" s="474">
        <v>769</v>
      </c>
      <c r="AK1678" s="474">
        <v>835</v>
      </c>
      <c r="AL1678" s="474">
        <v>874</v>
      </c>
      <c r="AM1678" s="474">
        <v>965</v>
      </c>
      <c r="AN1678" s="474">
        <v>892</v>
      </c>
      <c r="AO1678" s="474">
        <v>834</v>
      </c>
      <c r="AP1678" s="474">
        <v>965</v>
      </c>
      <c r="AQ1678" s="474">
        <v>852</v>
      </c>
      <c r="AR1678" s="474">
        <v>987</v>
      </c>
      <c r="AS1678" s="474">
        <v>930</v>
      </c>
      <c r="AT1678" s="474">
        <v>976</v>
      </c>
      <c r="AU1678" s="474">
        <v>1027</v>
      </c>
      <c r="AV1678" s="474">
        <v>1005</v>
      </c>
      <c r="AW1678" s="474">
        <v>992</v>
      </c>
      <c r="AX1678" s="474">
        <v>957</v>
      </c>
      <c r="AY1678" s="474">
        <v>959</v>
      </c>
      <c r="AZ1678" s="474">
        <v>877</v>
      </c>
      <c r="BA1678" s="474">
        <v>888</v>
      </c>
      <c r="BB1678" s="474">
        <v>884</v>
      </c>
      <c r="BC1678" s="474">
        <v>931</v>
      </c>
      <c r="BD1678" s="474">
        <v>952</v>
      </c>
      <c r="BE1678" s="474">
        <v>878</v>
      </c>
      <c r="BF1678" s="474">
        <v>811</v>
      </c>
      <c r="BG1678" s="474">
        <v>774</v>
      </c>
      <c r="BH1678" s="474">
        <v>826</v>
      </c>
      <c r="BI1678" s="474">
        <v>824</v>
      </c>
      <c r="BJ1678" s="474">
        <v>896</v>
      </c>
      <c r="BK1678" s="474">
        <v>894</v>
      </c>
      <c r="BL1678" s="474">
        <v>1000</v>
      </c>
      <c r="BM1678" s="474">
        <v>1085</v>
      </c>
      <c r="BN1678" s="474">
        <v>960</v>
      </c>
      <c r="BO1678" s="474">
        <v>1020</v>
      </c>
      <c r="BP1678" s="474">
        <v>1073</v>
      </c>
      <c r="BQ1678" s="474">
        <v>1054</v>
      </c>
      <c r="BR1678" s="474">
        <v>1090</v>
      </c>
      <c r="BS1678" s="474">
        <v>1053</v>
      </c>
      <c r="BT1678" s="474">
        <v>1076</v>
      </c>
      <c r="BU1678" s="474">
        <v>996</v>
      </c>
      <c r="BV1678" s="474">
        <v>1035</v>
      </c>
      <c r="BW1678" s="474">
        <v>973</v>
      </c>
      <c r="BX1678" s="474">
        <v>921</v>
      </c>
      <c r="BY1678" s="474">
        <v>918</v>
      </c>
      <c r="BZ1678" s="474">
        <v>897</v>
      </c>
      <c r="CA1678" s="474">
        <v>829</v>
      </c>
      <c r="CB1678" s="474">
        <v>815</v>
      </c>
      <c r="CC1678" s="474">
        <v>750</v>
      </c>
      <c r="CD1678" s="474">
        <v>727</v>
      </c>
      <c r="CE1678" s="474">
        <v>766</v>
      </c>
      <c r="CF1678" s="474">
        <v>718</v>
      </c>
      <c r="CG1678" s="474">
        <v>762</v>
      </c>
      <c r="CH1678" s="474">
        <v>709</v>
      </c>
      <c r="CI1678" s="474">
        <v>749</v>
      </c>
      <c r="CJ1678" s="474">
        <v>735</v>
      </c>
      <c r="CK1678" s="474">
        <v>786</v>
      </c>
      <c r="CL1678" s="474">
        <v>615</v>
      </c>
      <c r="CM1678" s="474">
        <v>590</v>
      </c>
      <c r="CN1678" s="474">
        <v>566</v>
      </c>
      <c r="CO1678" s="474">
        <v>476</v>
      </c>
      <c r="CP1678" s="474">
        <v>419</v>
      </c>
      <c r="CQ1678" s="474">
        <v>422</v>
      </c>
      <c r="CR1678" s="474">
        <v>337</v>
      </c>
      <c r="CS1678" s="474">
        <v>305</v>
      </c>
      <c r="CT1678" s="474">
        <v>281</v>
      </c>
      <c r="CU1678" s="474">
        <v>231</v>
      </c>
      <c r="CV1678" s="474">
        <v>208</v>
      </c>
      <c r="CW1678" s="474">
        <v>200</v>
      </c>
      <c r="CX1678" s="474">
        <v>138</v>
      </c>
      <c r="CY1678" s="474">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1712</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74">
        <v>868</v>
      </c>
      <c r="N1679" s="474">
        <v>851</v>
      </c>
      <c r="O1679" s="474">
        <v>826</v>
      </c>
      <c r="P1679" s="474">
        <v>910</v>
      </c>
      <c r="Q1679" s="474">
        <v>954</v>
      </c>
      <c r="R1679" s="474">
        <v>1019</v>
      </c>
      <c r="S1679" s="474">
        <v>993</v>
      </c>
      <c r="T1679" s="474">
        <v>1030</v>
      </c>
      <c r="U1679" s="474">
        <v>1081</v>
      </c>
      <c r="V1679" s="474">
        <v>1074</v>
      </c>
      <c r="W1679" s="474">
        <v>1059</v>
      </c>
      <c r="X1679" s="474">
        <v>1089</v>
      </c>
      <c r="Y1679" s="474">
        <v>1091</v>
      </c>
      <c r="Z1679" s="474">
        <v>1150</v>
      </c>
      <c r="AA1679" s="474">
        <v>1135</v>
      </c>
      <c r="AB1679" s="474">
        <v>1140</v>
      </c>
      <c r="AC1679" s="474">
        <v>1045</v>
      </c>
      <c r="AD1679" s="474">
        <v>1023</v>
      </c>
      <c r="AE1679" s="474">
        <v>1015</v>
      </c>
      <c r="AF1679" s="474">
        <v>998</v>
      </c>
      <c r="AG1679" s="474">
        <v>832</v>
      </c>
      <c r="AH1679" s="474">
        <v>814</v>
      </c>
      <c r="AI1679" s="474">
        <v>945</v>
      </c>
      <c r="AJ1679" s="474">
        <v>990</v>
      </c>
      <c r="AK1679" s="474">
        <v>934</v>
      </c>
      <c r="AL1679" s="474">
        <v>911</v>
      </c>
      <c r="AM1679" s="474">
        <v>1132</v>
      </c>
      <c r="AN1679" s="474">
        <v>1016</v>
      </c>
      <c r="AO1679" s="474">
        <v>1027</v>
      </c>
      <c r="AP1679" s="474">
        <v>1031</v>
      </c>
      <c r="AQ1679" s="474">
        <v>1036</v>
      </c>
      <c r="AR1679" s="474">
        <v>1101</v>
      </c>
      <c r="AS1679" s="474">
        <v>1195</v>
      </c>
      <c r="AT1679" s="474">
        <v>1142</v>
      </c>
      <c r="AU1679" s="474">
        <v>1164</v>
      </c>
      <c r="AV1679" s="474">
        <v>1156</v>
      </c>
      <c r="AW1679" s="474">
        <v>1077</v>
      </c>
      <c r="AX1679" s="474">
        <v>1169</v>
      </c>
      <c r="AY1679" s="474">
        <v>1084</v>
      </c>
      <c r="AZ1679" s="474">
        <v>1094</v>
      </c>
      <c r="BA1679" s="474">
        <v>1056</v>
      </c>
      <c r="BB1679" s="474">
        <v>1014</v>
      </c>
      <c r="BC1679" s="474">
        <v>1068</v>
      </c>
      <c r="BD1679" s="474">
        <v>1083</v>
      </c>
      <c r="BE1679" s="474">
        <v>1005</v>
      </c>
      <c r="BF1679" s="474">
        <v>959</v>
      </c>
      <c r="BG1679" s="474">
        <v>992</v>
      </c>
      <c r="BH1679" s="474">
        <v>980</v>
      </c>
      <c r="BI1679" s="474">
        <v>981</v>
      </c>
      <c r="BJ1679" s="474">
        <v>1080</v>
      </c>
      <c r="BK1679" s="474">
        <v>1114</v>
      </c>
      <c r="BL1679" s="474">
        <v>1156</v>
      </c>
      <c r="BM1679" s="474">
        <v>1242</v>
      </c>
      <c r="BN1679" s="474">
        <v>1119</v>
      </c>
      <c r="BO1679" s="474">
        <v>1281</v>
      </c>
      <c r="BP1679" s="474">
        <v>1265</v>
      </c>
      <c r="BQ1679" s="474">
        <v>1199</v>
      </c>
      <c r="BR1679" s="474">
        <v>1256</v>
      </c>
      <c r="BS1679" s="474">
        <v>1267</v>
      </c>
      <c r="BT1679" s="474">
        <v>1254</v>
      </c>
      <c r="BU1679" s="474">
        <v>1261</v>
      </c>
      <c r="BV1679" s="474">
        <v>1173</v>
      </c>
      <c r="BW1679" s="474">
        <v>1128</v>
      </c>
      <c r="BX1679" s="474">
        <v>1099</v>
      </c>
      <c r="BY1679" s="474">
        <v>1047</v>
      </c>
      <c r="BZ1679" s="474">
        <v>1036</v>
      </c>
      <c r="CA1679" s="474">
        <v>1023</v>
      </c>
      <c r="CB1679" s="474">
        <v>907</v>
      </c>
      <c r="CC1679" s="474">
        <v>853</v>
      </c>
      <c r="CD1679" s="474">
        <v>981</v>
      </c>
      <c r="CE1679" s="474">
        <v>926</v>
      </c>
      <c r="CF1679" s="474">
        <v>837</v>
      </c>
      <c r="CG1679" s="474">
        <v>891</v>
      </c>
      <c r="CH1679" s="474">
        <v>914</v>
      </c>
      <c r="CI1679" s="474">
        <v>798</v>
      </c>
      <c r="CJ1679" s="474">
        <v>935</v>
      </c>
      <c r="CK1679" s="474">
        <v>955</v>
      </c>
      <c r="CL1679" s="474">
        <v>710</v>
      </c>
      <c r="CM1679" s="474">
        <v>643</v>
      </c>
      <c r="CN1679" s="474">
        <v>613</v>
      </c>
      <c r="CO1679" s="474">
        <v>541</v>
      </c>
      <c r="CP1679" s="474">
        <v>548</v>
      </c>
      <c r="CQ1679" s="474">
        <v>393</v>
      </c>
      <c r="CR1679" s="474">
        <v>410</v>
      </c>
      <c r="CS1679" s="474">
        <v>361</v>
      </c>
      <c r="CT1679" s="474">
        <v>311</v>
      </c>
      <c r="CU1679" s="474">
        <v>265</v>
      </c>
      <c r="CV1679" s="474">
        <v>230</v>
      </c>
      <c r="CW1679" s="474">
        <v>175</v>
      </c>
      <c r="CX1679" s="474">
        <v>149</v>
      </c>
      <c r="CY1679" s="474">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1713</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74">
        <v>1856</v>
      </c>
      <c r="N1680" s="474">
        <v>1981</v>
      </c>
      <c r="O1680" s="474">
        <v>1941</v>
      </c>
      <c r="P1680" s="474">
        <v>1924</v>
      </c>
      <c r="Q1680" s="474">
        <v>2013</v>
      </c>
      <c r="R1680" s="474">
        <v>2084</v>
      </c>
      <c r="S1680" s="474">
        <v>2131</v>
      </c>
      <c r="T1680" s="474">
        <v>2257</v>
      </c>
      <c r="U1680" s="474">
        <v>2209</v>
      </c>
      <c r="V1680" s="474">
        <v>2249</v>
      </c>
      <c r="W1680" s="474">
        <v>2197</v>
      </c>
      <c r="X1680" s="474">
        <v>2330</v>
      </c>
      <c r="Y1680" s="474">
        <v>2393</v>
      </c>
      <c r="Z1680" s="474">
        <v>2289</v>
      </c>
      <c r="AA1680" s="474">
        <v>2194</v>
      </c>
      <c r="AB1680" s="474">
        <v>2219</v>
      </c>
      <c r="AC1680" s="474">
        <v>2176</v>
      </c>
      <c r="AD1680" s="474">
        <v>2235</v>
      </c>
      <c r="AE1680" s="474">
        <v>2618</v>
      </c>
      <c r="AF1680" s="474">
        <v>4372</v>
      </c>
      <c r="AG1680" s="474">
        <v>4993</v>
      </c>
      <c r="AH1680" s="474">
        <v>5046</v>
      </c>
      <c r="AI1680" s="474">
        <v>4466</v>
      </c>
      <c r="AJ1680" s="474">
        <v>3868</v>
      </c>
      <c r="AK1680" s="474">
        <v>3679</v>
      </c>
      <c r="AL1680" s="474">
        <v>3544</v>
      </c>
      <c r="AM1680" s="474">
        <v>3562</v>
      </c>
      <c r="AN1680" s="474">
        <v>3432</v>
      </c>
      <c r="AO1680" s="474">
        <v>3283</v>
      </c>
      <c r="AP1680" s="474">
        <v>3098</v>
      </c>
      <c r="AQ1680" s="474">
        <v>3028</v>
      </c>
      <c r="AR1680" s="474">
        <v>2908</v>
      </c>
      <c r="AS1680" s="474">
        <v>2962</v>
      </c>
      <c r="AT1680" s="474">
        <v>2878</v>
      </c>
      <c r="AU1680" s="474">
        <v>2611</v>
      </c>
      <c r="AV1680" s="474">
        <v>2747</v>
      </c>
      <c r="AW1680" s="474">
        <v>2688</v>
      </c>
      <c r="AX1680" s="474">
        <v>2713</v>
      </c>
      <c r="AY1680" s="474">
        <v>2504</v>
      </c>
      <c r="AZ1680" s="474">
        <v>2555</v>
      </c>
      <c r="BA1680" s="474">
        <v>2597</v>
      </c>
      <c r="BB1680" s="474">
        <v>2352</v>
      </c>
      <c r="BC1680" s="474">
        <v>2384</v>
      </c>
      <c r="BD1680" s="474">
        <v>2348</v>
      </c>
      <c r="BE1680" s="474">
        <v>2293</v>
      </c>
      <c r="BF1680" s="474">
        <v>2065</v>
      </c>
      <c r="BG1680" s="474">
        <v>2157</v>
      </c>
      <c r="BH1680" s="474">
        <v>2018</v>
      </c>
      <c r="BI1680" s="474">
        <v>2024</v>
      </c>
      <c r="BJ1680" s="474">
        <v>2075</v>
      </c>
      <c r="BK1680" s="474">
        <v>1911</v>
      </c>
      <c r="BL1680" s="474">
        <v>1963</v>
      </c>
      <c r="BM1680" s="474">
        <v>2087</v>
      </c>
      <c r="BN1680" s="474">
        <v>2050</v>
      </c>
      <c r="BO1680" s="474">
        <v>2082</v>
      </c>
      <c r="BP1680" s="474">
        <v>1988</v>
      </c>
      <c r="BQ1680" s="474">
        <v>2060</v>
      </c>
      <c r="BR1680" s="474">
        <v>1882</v>
      </c>
      <c r="BS1680" s="474">
        <v>1987</v>
      </c>
      <c r="BT1680" s="474">
        <v>1923</v>
      </c>
      <c r="BU1680" s="474">
        <v>1878</v>
      </c>
      <c r="BV1680" s="474">
        <v>1984</v>
      </c>
      <c r="BW1680" s="474">
        <v>1780</v>
      </c>
      <c r="BX1680" s="474">
        <v>1797</v>
      </c>
      <c r="BY1680" s="474">
        <v>1770</v>
      </c>
      <c r="BZ1680" s="474">
        <v>1628</v>
      </c>
      <c r="CA1680" s="474">
        <v>1634</v>
      </c>
      <c r="CB1680" s="474">
        <v>1479</v>
      </c>
      <c r="CC1680" s="474">
        <v>1405</v>
      </c>
      <c r="CD1680" s="474">
        <v>1424</v>
      </c>
      <c r="CE1680" s="474">
        <v>1332</v>
      </c>
      <c r="CF1680" s="474">
        <v>1261</v>
      </c>
      <c r="CG1680" s="474">
        <v>1299</v>
      </c>
      <c r="CH1680" s="474">
        <v>1316</v>
      </c>
      <c r="CI1680" s="474">
        <v>1261</v>
      </c>
      <c r="CJ1680" s="474">
        <v>1222</v>
      </c>
      <c r="CK1680" s="474">
        <v>1315</v>
      </c>
      <c r="CL1680" s="474">
        <v>948</v>
      </c>
      <c r="CM1680" s="474">
        <v>898</v>
      </c>
      <c r="CN1680" s="474">
        <v>876</v>
      </c>
      <c r="CO1680" s="474">
        <v>706</v>
      </c>
      <c r="CP1680" s="474">
        <v>637</v>
      </c>
      <c r="CQ1680" s="474">
        <v>577</v>
      </c>
      <c r="CR1680" s="474">
        <v>553</v>
      </c>
      <c r="CS1680" s="474">
        <v>492</v>
      </c>
      <c r="CT1680" s="474">
        <v>451</v>
      </c>
      <c r="CU1680" s="474">
        <v>405</v>
      </c>
      <c r="CV1680" s="474">
        <v>355</v>
      </c>
      <c r="CW1680" s="474">
        <v>306</v>
      </c>
      <c r="CX1680" s="474">
        <v>234</v>
      </c>
      <c r="CY1680" s="474">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1714</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74">
        <v>813</v>
      </c>
      <c r="N1681" s="474">
        <v>875</v>
      </c>
      <c r="O1681" s="474">
        <v>870</v>
      </c>
      <c r="P1681" s="474">
        <v>874</v>
      </c>
      <c r="Q1681" s="474">
        <v>965</v>
      </c>
      <c r="R1681" s="474">
        <v>984</v>
      </c>
      <c r="S1681" s="474">
        <v>1020</v>
      </c>
      <c r="T1681" s="474">
        <v>1090</v>
      </c>
      <c r="U1681" s="474">
        <v>1073</v>
      </c>
      <c r="V1681" s="474">
        <v>1049</v>
      </c>
      <c r="W1681" s="474">
        <v>1095</v>
      </c>
      <c r="X1681" s="474">
        <v>1193</v>
      </c>
      <c r="Y1681" s="474">
        <v>1195</v>
      </c>
      <c r="Z1681" s="474">
        <v>1160</v>
      </c>
      <c r="AA1681" s="474">
        <v>1127</v>
      </c>
      <c r="AB1681" s="474">
        <v>1143</v>
      </c>
      <c r="AC1681" s="474">
        <v>1159</v>
      </c>
      <c r="AD1681" s="474">
        <v>1162</v>
      </c>
      <c r="AE1681" s="474">
        <v>1080</v>
      </c>
      <c r="AF1681" s="474">
        <v>871</v>
      </c>
      <c r="AG1681" s="474">
        <v>868</v>
      </c>
      <c r="AH1681" s="474">
        <v>842</v>
      </c>
      <c r="AI1681" s="474">
        <v>881</v>
      </c>
      <c r="AJ1681" s="474">
        <v>890</v>
      </c>
      <c r="AK1681" s="474">
        <v>925</v>
      </c>
      <c r="AL1681" s="474">
        <v>951</v>
      </c>
      <c r="AM1681" s="474">
        <v>1027</v>
      </c>
      <c r="AN1681" s="474">
        <v>1012</v>
      </c>
      <c r="AO1681" s="474">
        <v>940</v>
      </c>
      <c r="AP1681" s="474">
        <v>998</v>
      </c>
      <c r="AQ1681" s="474">
        <v>980</v>
      </c>
      <c r="AR1681" s="474">
        <v>1008</v>
      </c>
      <c r="AS1681" s="474">
        <v>1055</v>
      </c>
      <c r="AT1681" s="474">
        <v>1088</v>
      </c>
      <c r="AU1681" s="474">
        <v>1044</v>
      </c>
      <c r="AV1681" s="474">
        <v>1134</v>
      </c>
      <c r="AW1681" s="474">
        <v>1071</v>
      </c>
      <c r="AX1681" s="474">
        <v>1049</v>
      </c>
      <c r="AY1681" s="474">
        <v>1012</v>
      </c>
      <c r="AZ1681" s="474">
        <v>1042</v>
      </c>
      <c r="BA1681" s="474">
        <v>1020</v>
      </c>
      <c r="BB1681" s="474">
        <v>1028</v>
      </c>
      <c r="BC1681" s="474">
        <v>1069</v>
      </c>
      <c r="BD1681" s="474">
        <v>1059</v>
      </c>
      <c r="BE1681" s="474">
        <v>1009</v>
      </c>
      <c r="BF1681" s="474">
        <v>928</v>
      </c>
      <c r="BG1681" s="474">
        <v>925</v>
      </c>
      <c r="BH1681" s="474">
        <v>1017</v>
      </c>
      <c r="BI1681" s="474">
        <v>1045</v>
      </c>
      <c r="BJ1681" s="474">
        <v>1084</v>
      </c>
      <c r="BK1681" s="474">
        <v>1138</v>
      </c>
      <c r="BL1681" s="474">
        <v>1215</v>
      </c>
      <c r="BM1681" s="474">
        <v>1302</v>
      </c>
      <c r="BN1681" s="474">
        <v>1248</v>
      </c>
      <c r="BO1681" s="474">
        <v>1240</v>
      </c>
      <c r="BP1681" s="474">
        <v>1273</v>
      </c>
      <c r="BQ1681" s="474">
        <v>1377</v>
      </c>
      <c r="BR1681" s="474">
        <v>1389</v>
      </c>
      <c r="BS1681" s="474">
        <v>1431</v>
      </c>
      <c r="BT1681" s="474">
        <v>1476</v>
      </c>
      <c r="BU1681" s="474">
        <v>1334</v>
      </c>
      <c r="BV1681" s="474">
        <v>1428</v>
      </c>
      <c r="BW1681" s="474">
        <v>1363</v>
      </c>
      <c r="BX1681" s="474">
        <v>1341</v>
      </c>
      <c r="BY1681" s="474">
        <v>1270</v>
      </c>
      <c r="BZ1681" s="474">
        <v>1293</v>
      </c>
      <c r="CA1681" s="474">
        <v>1258</v>
      </c>
      <c r="CB1681" s="474">
        <v>1171</v>
      </c>
      <c r="CC1681" s="474">
        <v>1265</v>
      </c>
      <c r="CD1681" s="474">
        <v>1215</v>
      </c>
      <c r="CE1681" s="474">
        <v>1179</v>
      </c>
      <c r="CF1681" s="474">
        <v>1140</v>
      </c>
      <c r="CG1681" s="474">
        <v>1091</v>
      </c>
      <c r="CH1681" s="474">
        <v>1125</v>
      </c>
      <c r="CI1681" s="474">
        <v>1143</v>
      </c>
      <c r="CJ1681" s="474">
        <v>1158</v>
      </c>
      <c r="CK1681" s="474">
        <v>1139</v>
      </c>
      <c r="CL1681" s="474">
        <v>969</v>
      </c>
      <c r="CM1681" s="474">
        <v>884</v>
      </c>
      <c r="CN1681" s="474">
        <v>813</v>
      </c>
      <c r="CO1681" s="474">
        <v>736</v>
      </c>
      <c r="CP1681" s="474">
        <v>695</v>
      </c>
      <c r="CQ1681" s="474">
        <v>569</v>
      </c>
      <c r="CR1681" s="474">
        <v>515</v>
      </c>
      <c r="CS1681" s="474">
        <v>476</v>
      </c>
      <c r="CT1681" s="474">
        <v>405</v>
      </c>
      <c r="CU1681" s="474">
        <v>407</v>
      </c>
      <c r="CV1681" s="474">
        <v>308</v>
      </c>
      <c r="CW1681" s="474">
        <v>277</v>
      </c>
      <c r="CX1681" s="474">
        <v>234</v>
      </c>
      <c r="CY1681" s="474">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1715</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74">
        <v>259</v>
      </c>
      <c r="N1682" s="474">
        <v>275</v>
      </c>
      <c r="O1682" s="474">
        <v>247</v>
      </c>
      <c r="P1682" s="474">
        <v>281</v>
      </c>
      <c r="Q1682" s="474">
        <v>292</v>
      </c>
      <c r="R1682" s="474">
        <v>288</v>
      </c>
      <c r="S1682" s="474">
        <v>308</v>
      </c>
      <c r="T1682" s="474">
        <v>347</v>
      </c>
      <c r="U1682" s="474">
        <v>314</v>
      </c>
      <c r="V1682" s="474">
        <v>312</v>
      </c>
      <c r="W1682" s="474">
        <v>369</v>
      </c>
      <c r="X1682" s="474">
        <v>366</v>
      </c>
      <c r="Y1682" s="474">
        <v>382</v>
      </c>
      <c r="Z1682" s="474">
        <v>357</v>
      </c>
      <c r="AA1682" s="474">
        <v>331</v>
      </c>
      <c r="AB1682" s="474">
        <v>335</v>
      </c>
      <c r="AC1682" s="474">
        <v>346</v>
      </c>
      <c r="AD1682" s="474">
        <v>372</v>
      </c>
      <c r="AE1682" s="474">
        <v>487</v>
      </c>
      <c r="AF1682" s="474">
        <v>987</v>
      </c>
      <c r="AG1682" s="474">
        <v>1016</v>
      </c>
      <c r="AH1682" s="474">
        <v>855</v>
      </c>
      <c r="AI1682" s="474">
        <v>757</v>
      </c>
      <c r="AJ1682" s="474">
        <v>576</v>
      </c>
      <c r="AK1682" s="474">
        <v>509</v>
      </c>
      <c r="AL1682" s="474">
        <v>407</v>
      </c>
      <c r="AM1682" s="474">
        <v>332</v>
      </c>
      <c r="AN1682" s="474">
        <v>338</v>
      </c>
      <c r="AO1682" s="474">
        <v>349</v>
      </c>
      <c r="AP1682" s="474">
        <v>360</v>
      </c>
      <c r="AQ1682" s="474">
        <v>311</v>
      </c>
      <c r="AR1682" s="474">
        <v>358</v>
      </c>
      <c r="AS1682" s="474">
        <v>364</v>
      </c>
      <c r="AT1682" s="474">
        <v>347</v>
      </c>
      <c r="AU1682" s="474">
        <v>351</v>
      </c>
      <c r="AV1682" s="474">
        <v>367</v>
      </c>
      <c r="AW1682" s="474">
        <v>326</v>
      </c>
      <c r="AX1682" s="474">
        <v>306</v>
      </c>
      <c r="AY1682" s="474">
        <v>324</v>
      </c>
      <c r="AZ1682" s="474">
        <v>304</v>
      </c>
      <c r="BA1682" s="474">
        <v>337</v>
      </c>
      <c r="BB1682" s="474">
        <v>365</v>
      </c>
      <c r="BC1682" s="474">
        <v>344</v>
      </c>
      <c r="BD1682" s="474">
        <v>319</v>
      </c>
      <c r="BE1682" s="474">
        <v>319</v>
      </c>
      <c r="BF1682" s="474">
        <v>275</v>
      </c>
      <c r="BG1682" s="474">
        <v>308</v>
      </c>
      <c r="BH1682" s="474">
        <v>348</v>
      </c>
      <c r="BI1682" s="474">
        <v>359</v>
      </c>
      <c r="BJ1682" s="474">
        <v>358</v>
      </c>
      <c r="BK1682" s="474">
        <v>350</v>
      </c>
      <c r="BL1682" s="474">
        <v>407</v>
      </c>
      <c r="BM1682" s="474">
        <v>444</v>
      </c>
      <c r="BN1682" s="474">
        <v>443</v>
      </c>
      <c r="BO1682" s="474">
        <v>507</v>
      </c>
      <c r="BP1682" s="474">
        <v>487</v>
      </c>
      <c r="BQ1682" s="474">
        <v>523</v>
      </c>
      <c r="BR1682" s="474">
        <v>523</v>
      </c>
      <c r="BS1682" s="474">
        <v>497</v>
      </c>
      <c r="BT1682" s="474">
        <v>551</v>
      </c>
      <c r="BU1682" s="474">
        <v>557</v>
      </c>
      <c r="BV1682" s="474">
        <v>547</v>
      </c>
      <c r="BW1682" s="474">
        <v>531</v>
      </c>
      <c r="BX1682" s="474">
        <v>504</v>
      </c>
      <c r="BY1682" s="474">
        <v>519</v>
      </c>
      <c r="BZ1682" s="474">
        <v>519</v>
      </c>
      <c r="CA1682" s="474">
        <v>491</v>
      </c>
      <c r="CB1682" s="474">
        <v>513</v>
      </c>
      <c r="CC1682" s="474">
        <v>480</v>
      </c>
      <c r="CD1682" s="474">
        <v>477</v>
      </c>
      <c r="CE1682" s="474">
        <v>452</v>
      </c>
      <c r="CF1682" s="474">
        <v>473</v>
      </c>
      <c r="CG1682" s="474">
        <v>434</v>
      </c>
      <c r="CH1682" s="474">
        <v>460</v>
      </c>
      <c r="CI1682" s="474">
        <v>492</v>
      </c>
      <c r="CJ1682" s="474">
        <v>510</v>
      </c>
      <c r="CK1682" s="474">
        <v>479</v>
      </c>
      <c r="CL1682" s="474">
        <v>356</v>
      </c>
      <c r="CM1682" s="474">
        <v>364</v>
      </c>
      <c r="CN1682" s="474">
        <v>341</v>
      </c>
      <c r="CO1682" s="474">
        <v>332</v>
      </c>
      <c r="CP1682" s="474">
        <v>269</v>
      </c>
      <c r="CQ1682" s="474">
        <v>203</v>
      </c>
      <c r="CR1682" s="474">
        <v>233</v>
      </c>
      <c r="CS1682" s="474">
        <v>180</v>
      </c>
      <c r="CT1682" s="474">
        <v>172</v>
      </c>
      <c r="CU1682" s="474">
        <v>148</v>
      </c>
      <c r="CV1682" s="474">
        <v>118</v>
      </c>
      <c r="CW1682" s="474">
        <v>108</v>
      </c>
      <c r="CX1682" s="474">
        <v>91</v>
      </c>
      <c r="CY1682" s="474">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1716</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74">
        <v>461</v>
      </c>
      <c r="N1683" s="474">
        <v>495</v>
      </c>
      <c r="O1683" s="474">
        <v>470</v>
      </c>
      <c r="P1683" s="474">
        <v>532</v>
      </c>
      <c r="Q1683" s="474">
        <v>535</v>
      </c>
      <c r="R1683" s="474">
        <v>561</v>
      </c>
      <c r="S1683" s="474">
        <v>542</v>
      </c>
      <c r="T1683" s="474">
        <v>575</v>
      </c>
      <c r="U1683" s="474">
        <v>612</v>
      </c>
      <c r="V1683" s="474">
        <v>596</v>
      </c>
      <c r="W1683" s="474">
        <v>620</v>
      </c>
      <c r="X1683" s="474">
        <v>614</v>
      </c>
      <c r="Y1683" s="474">
        <v>704</v>
      </c>
      <c r="Z1683" s="474">
        <v>632</v>
      </c>
      <c r="AA1683" s="474">
        <v>632</v>
      </c>
      <c r="AB1683" s="474">
        <v>607</v>
      </c>
      <c r="AC1683" s="474">
        <v>643</v>
      </c>
      <c r="AD1683" s="474">
        <v>622</v>
      </c>
      <c r="AE1683" s="474">
        <v>611</v>
      </c>
      <c r="AF1683" s="474">
        <v>476</v>
      </c>
      <c r="AG1683" s="474">
        <v>402</v>
      </c>
      <c r="AH1683" s="474">
        <v>411</v>
      </c>
      <c r="AI1683" s="474">
        <v>460</v>
      </c>
      <c r="AJ1683" s="474">
        <v>540</v>
      </c>
      <c r="AK1683" s="474">
        <v>534</v>
      </c>
      <c r="AL1683" s="474">
        <v>614</v>
      </c>
      <c r="AM1683" s="474">
        <v>583</v>
      </c>
      <c r="AN1683" s="474">
        <v>477</v>
      </c>
      <c r="AO1683" s="474">
        <v>568</v>
      </c>
      <c r="AP1683" s="474">
        <v>536</v>
      </c>
      <c r="AQ1683" s="474">
        <v>539</v>
      </c>
      <c r="AR1683" s="474">
        <v>585</v>
      </c>
      <c r="AS1683" s="474">
        <v>621</v>
      </c>
      <c r="AT1683" s="474">
        <v>565</v>
      </c>
      <c r="AU1683" s="474">
        <v>617</v>
      </c>
      <c r="AV1683" s="474">
        <v>578</v>
      </c>
      <c r="AW1683" s="474">
        <v>604</v>
      </c>
      <c r="AX1683" s="474">
        <v>542</v>
      </c>
      <c r="AY1683" s="474">
        <v>582</v>
      </c>
      <c r="AZ1683" s="474">
        <v>560</v>
      </c>
      <c r="BA1683" s="474">
        <v>536</v>
      </c>
      <c r="BB1683" s="474">
        <v>554</v>
      </c>
      <c r="BC1683" s="474">
        <v>611</v>
      </c>
      <c r="BD1683" s="474">
        <v>635</v>
      </c>
      <c r="BE1683" s="474">
        <v>572</v>
      </c>
      <c r="BF1683" s="474">
        <v>480</v>
      </c>
      <c r="BG1683" s="474">
        <v>557</v>
      </c>
      <c r="BH1683" s="474">
        <v>553</v>
      </c>
      <c r="BI1683" s="474">
        <v>568</v>
      </c>
      <c r="BJ1683" s="474">
        <v>609</v>
      </c>
      <c r="BK1683" s="474">
        <v>686</v>
      </c>
      <c r="BL1683" s="474">
        <v>796</v>
      </c>
      <c r="BM1683" s="474">
        <v>785</v>
      </c>
      <c r="BN1683" s="474">
        <v>751</v>
      </c>
      <c r="BO1683" s="474">
        <v>815</v>
      </c>
      <c r="BP1683" s="474">
        <v>781</v>
      </c>
      <c r="BQ1683" s="474">
        <v>835</v>
      </c>
      <c r="BR1683" s="474">
        <v>891</v>
      </c>
      <c r="BS1683" s="474">
        <v>894</v>
      </c>
      <c r="BT1683" s="474">
        <v>874</v>
      </c>
      <c r="BU1683" s="474">
        <v>890</v>
      </c>
      <c r="BV1683" s="474">
        <v>891</v>
      </c>
      <c r="BW1683" s="474">
        <v>898</v>
      </c>
      <c r="BX1683" s="474">
        <v>890</v>
      </c>
      <c r="BY1683" s="474">
        <v>826</v>
      </c>
      <c r="BZ1683" s="474">
        <v>798</v>
      </c>
      <c r="CA1683" s="474">
        <v>792</v>
      </c>
      <c r="CB1683" s="474">
        <v>749</v>
      </c>
      <c r="CC1683" s="474">
        <v>712</v>
      </c>
      <c r="CD1683" s="474">
        <v>775</v>
      </c>
      <c r="CE1683" s="474">
        <v>742</v>
      </c>
      <c r="CF1683" s="474">
        <v>726</v>
      </c>
      <c r="CG1683" s="474">
        <v>759</v>
      </c>
      <c r="CH1683" s="474">
        <v>718</v>
      </c>
      <c r="CI1683" s="474">
        <v>807</v>
      </c>
      <c r="CJ1683" s="474">
        <v>844</v>
      </c>
      <c r="CK1683" s="474">
        <v>825</v>
      </c>
      <c r="CL1683" s="474">
        <v>658</v>
      </c>
      <c r="CM1683" s="474">
        <v>602</v>
      </c>
      <c r="CN1683" s="474">
        <v>563</v>
      </c>
      <c r="CO1683" s="474">
        <v>509</v>
      </c>
      <c r="CP1683" s="474">
        <v>456</v>
      </c>
      <c r="CQ1683" s="474">
        <v>381</v>
      </c>
      <c r="CR1683" s="474">
        <v>343</v>
      </c>
      <c r="CS1683" s="474">
        <v>344</v>
      </c>
      <c r="CT1683" s="474">
        <v>264</v>
      </c>
      <c r="CU1683" s="474">
        <v>245</v>
      </c>
      <c r="CV1683" s="474">
        <v>228</v>
      </c>
      <c r="CW1683" s="474">
        <v>226</v>
      </c>
      <c r="CX1683" s="474">
        <v>166</v>
      </c>
      <c r="CY1683" s="474">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1717</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74">
        <v>401</v>
      </c>
      <c r="N1684" s="474">
        <v>464</v>
      </c>
      <c r="O1684" s="474">
        <v>512</v>
      </c>
      <c r="P1684" s="474">
        <v>526</v>
      </c>
      <c r="Q1684" s="474">
        <v>494</v>
      </c>
      <c r="R1684" s="474">
        <v>503</v>
      </c>
      <c r="S1684" s="474">
        <v>548</v>
      </c>
      <c r="T1684" s="474">
        <v>535</v>
      </c>
      <c r="U1684" s="474">
        <v>564</v>
      </c>
      <c r="V1684" s="474">
        <v>534</v>
      </c>
      <c r="W1684" s="474">
        <v>578</v>
      </c>
      <c r="X1684" s="474">
        <v>560</v>
      </c>
      <c r="Y1684" s="474">
        <v>600</v>
      </c>
      <c r="Z1684" s="474">
        <v>625</v>
      </c>
      <c r="AA1684" s="474">
        <v>616</v>
      </c>
      <c r="AB1684" s="474">
        <v>624</v>
      </c>
      <c r="AC1684" s="474">
        <v>599</v>
      </c>
      <c r="AD1684" s="474">
        <v>600</v>
      </c>
      <c r="AE1684" s="474">
        <v>622</v>
      </c>
      <c r="AF1684" s="474">
        <v>448</v>
      </c>
      <c r="AG1684" s="474">
        <v>447</v>
      </c>
      <c r="AH1684" s="474">
        <v>401</v>
      </c>
      <c r="AI1684" s="474">
        <v>463</v>
      </c>
      <c r="AJ1684" s="474">
        <v>442</v>
      </c>
      <c r="AK1684" s="474">
        <v>460</v>
      </c>
      <c r="AL1684" s="474">
        <v>490</v>
      </c>
      <c r="AM1684" s="474">
        <v>505</v>
      </c>
      <c r="AN1684" s="474">
        <v>514</v>
      </c>
      <c r="AO1684" s="474">
        <v>484</v>
      </c>
      <c r="AP1684" s="474">
        <v>524</v>
      </c>
      <c r="AQ1684" s="474">
        <v>480</v>
      </c>
      <c r="AR1684" s="474">
        <v>514</v>
      </c>
      <c r="AS1684" s="474">
        <v>537</v>
      </c>
      <c r="AT1684" s="474">
        <v>539</v>
      </c>
      <c r="AU1684" s="474">
        <v>492</v>
      </c>
      <c r="AV1684" s="474">
        <v>534</v>
      </c>
      <c r="AW1684" s="474">
        <v>529</v>
      </c>
      <c r="AX1684" s="474">
        <v>505</v>
      </c>
      <c r="AY1684" s="474">
        <v>491</v>
      </c>
      <c r="AZ1684" s="474">
        <v>520</v>
      </c>
      <c r="BA1684" s="474">
        <v>453</v>
      </c>
      <c r="BB1684" s="474">
        <v>497</v>
      </c>
      <c r="BC1684" s="474">
        <v>492</v>
      </c>
      <c r="BD1684" s="474">
        <v>506</v>
      </c>
      <c r="BE1684" s="474">
        <v>470</v>
      </c>
      <c r="BF1684" s="474">
        <v>424</v>
      </c>
      <c r="BG1684" s="474">
        <v>467</v>
      </c>
      <c r="BH1684" s="474">
        <v>512</v>
      </c>
      <c r="BI1684" s="474">
        <v>538</v>
      </c>
      <c r="BJ1684" s="474">
        <v>533</v>
      </c>
      <c r="BK1684" s="474">
        <v>551</v>
      </c>
      <c r="BL1684" s="474">
        <v>641</v>
      </c>
      <c r="BM1684" s="474">
        <v>668</v>
      </c>
      <c r="BN1684" s="474">
        <v>666</v>
      </c>
      <c r="BO1684" s="474">
        <v>668</v>
      </c>
      <c r="BP1684" s="474">
        <v>655</v>
      </c>
      <c r="BQ1684" s="474">
        <v>730</v>
      </c>
      <c r="BR1684" s="474">
        <v>672</v>
      </c>
      <c r="BS1684" s="474">
        <v>765</v>
      </c>
      <c r="BT1684" s="474">
        <v>757</v>
      </c>
      <c r="BU1684" s="474">
        <v>717</v>
      </c>
      <c r="BV1684" s="474">
        <v>753</v>
      </c>
      <c r="BW1684" s="474">
        <v>656</v>
      </c>
      <c r="BX1684" s="474">
        <v>699</v>
      </c>
      <c r="BY1684" s="474">
        <v>663</v>
      </c>
      <c r="BZ1684" s="474">
        <v>644</v>
      </c>
      <c r="CA1684" s="474">
        <v>637</v>
      </c>
      <c r="CB1684" s="474">
        <v>610</v>
      </c>
      <c r="CC1684" s="474">
        <v>595</v>
      </c>
      <c r="CD1684" s="474">
        <v>599</v>
      </c>
      <c r="CE1684" s="474">
        <v>582</v>
      </c>
      <c r="CF1684" s="474">
        <v>534</v>
      </c>
      <c r="CG1684" s="474">
        <v>543</v>
      </c>
      <c r="CH1684" s="474">
        <v>590</v>
      </c>
      <c r="CI1684" s="474">
        <v>638</v>
      </c>
      <c r="CJ1684" s="474">
        <v>658</v>
      </c>
      <c r="CK1684" s="474">
        <v>651</v>
      </c>
      <c r="CL1684" s="474">
        <v>445</v>
      </c>
      <c r="CM1684" s="474">
        <v>418</v>
      </c>
      <c r="CN1684" s="474">
        <v>441</v>
      </c>
      <c r="CO1684" s="474">
        <v>416</v>
      </c>
      <c r="CP1684" s="474">
        <v>329</v>
      </c>
      <c r="CQ1684" s="474">
        <v>319</v>
      </c>
      <c r="CR1684" s="474">
        <v>263</v>
      </c>
      <c r="CS1684" s="474">
        <v>231</v>
      </c>
      <c r="CT1684" s="474">
        <v>211</v>
      </c>
      <c r="CU1684" s="474">
        <v>197</v>
      </c>
      <c r="CV1684" s="474">
        <v>160</v>
      </c>
      <c r="CW1684" s="474">
        <v>148</v>
      </c>
      <c r="CX1684" s="474">
        <v>105</v>
      </c>
      <c r="CY1684" s="474">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1718</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74">
        <v>698</v>
      </c>
      <c r="N1685" s="474">
        <v>720</v>
      </c>
      <c r="O1685" s="474">
        <v>806</v>
      </c>
      <c r="P1685" s="474">
        <v>775</v>
      </c>
      <c r="Q1685" s="474">
        <v>793</v>
      </c>
      <c r="R1685" s="474">
        <v>823</v>
      </c>
      <c r="S1685" s="474">
        <v>841</v>
      </c>
      <c r="T1685" s="474">
        <v>864</v>
      </c>
      <c r="U1685" s="474">
        <v>911</v>
      </c>
      <c r="V1685" s="474">
        <v>911</v>
      </c>
      <c r="W1685" s="474">
        <v>903</v>
      </c>
      <c r="X1685" s="474">
        <v>976</v>
      </c>
      <c r="Y1685" s="474">
        <v>949</v>
      </c>
      <c r="Z1685" s="474">
        <v>1013</v>
      </c>
      <c r="AA1685" s="474">
        <v>950</v>
      </c>
      <c r="AB1685" s="474">
        <v>1048</v>
      </c>
      <c r="AC1685" s="474">
        <v>976</v>
      </c>
      <c r="AD1685" s="474">
        <v>901</v>
      </c>
      <c r="AE1685" s="474">
        <v>898</v>
      </c>
      <c r="AF1685" s="474">
        <v>756</v>
      </c>
      <c r="AG1685" s="474">
        <v>647</v>
      </c>
      <c r="AH1685" s="474">
        <v>684</v>
      </c>
      <c r="AI1685" s="474">
        <v>712</v>
      </c>
      <c r="AJ1685" s="474">
        <v>744</v>
      </c>
      <c r="AK1685" s="474">
        <v>876</v>
      </c>
      <c r="AL1685" s="474">
        <v>855</v>
      </c>
      <c r="AM1685" s="474">
        <v>832</v>
      </c>
      <c r="AN1685" s="474">
        <v>824</v>
      </c>
      <c r="AO1685" s="474">
        <v>834</v>
      </c>
      <c r="AP1685" s="474">
        <v>859</v>
      </c>
      <c r="AQ1685" s="474">
        <v>913</v>
      </c>
      <c r="AR1685" s="474">
        <v>1003</v>
      </c>
      <c r="AS1685" s="474">
        <v>902</v>
      </c>
      <c r="AT1685" s="474">
        <v>907</v>
      </c>
      <c r="AU1685" s="474">
        <v>948</v>
      </c>
      <c r="AV1685" s="474">
        <v>984</v>
      </c>
      <c r="AW1685" s="474">
        <v>951</v>
      </c>
      <c r="AX1685" s="474">
        <v>993</v>
      </c>
      <c r="AY1685" s="474">
        <v>910</v>
      </c>
      <c r="AZ1685" s="474">
        <v>865</v>
      </c>
      <c r="BA1685" s="474">
        <v>894</v>
      </c>
      <c r="BB1685" s="474">
        <v>945</v>
      </c>
      <c r="BC1685" s="474">
        <v>931</v>
      </c>
      <c r="BD1685" s="474">
        <v>937</v>
      </c>
      <c r="BE1685" s="474">
        <v>899</v>
      </c>
      <c r="BF1685" s="474">
        <v>863</v>
      </c>
      <c r="BG1685" s="474">
        <v>807</v>
      </c>
      <c r="BH1685" s="474">
        <v>843</v>
      </c>
      <c r="BI1685" s="474">
        <v>929</v>
      </c>
      <c r="BJ1685" s="474">
        <v>962</v>
      </c>
      <c r="BK1685" s="474">
        <v>993</v>
      </c>
      <c r="BL1685" s="474">
        <v>1135</v>
      </c>
      <c r="BM1685" s="474">
        <v>1166</v>
      </c>
      <c r="BN1685" s="474">
        <v>1169</v>
      </c>
      <c r="BO1685" s="474">
        <v>1223</v>
      </c>
      <c r="BP1685" s="474">
        <v>1217</v>
      </c>
      <c r="BQ1685" s="474">
        <v>1120</v>
      </c>
      <c r="BR1685" s="474">
        <v>1125</v>
      </c>
      <c r="BS1685" s="474">
        <v>1152</v>
      </c>
      <c r="BT1685" s="474">
        <v>1196</v>
      </c>
      <c r="BU1685" s="474">
        <v>1088</v>
      </c>
      <c r="BV1685" s="474">
        <v>1143</v>
      </c>
      <c r="BW1685" s="474">
        <v>1056</v>
      </c>
      <c r="BX1685" s="474">
        <v>1016</v>
      </c>
      <c r="BY1685" s="474">
        <v>1023</v>
      </c>
      <c r="BZ1685" s="474">
        <v>899</v>
      </c>
      <c r="CA1685" s="474">
        <v>872</v>
      </c>
      <c r="CB1685" s="474">
        <v>867</v>
      </c>
      <c r="CC1685" s="474">
        <v>780</v>
      </c>
      <c r="CD1685" s="474">
        <v>796</v>
      </c>
      <c r="CE1685" s="474">
        <v>831</v>
      </c>
      <c r="CF1685" s="474">
        <v>750</v>
      </c>
      <c r="CG1685" s="474">
        <v>867</v>
      </c>
      <c r="CH1685" s="474">
        <v>820</v>
      </c>
      <c r="CI1685" s="474">
        <v>855</v>
      </c>
      <c r="CJ1685" s="474">
        <v>885</v>
      </c>
      <c r="CK1685" s="474">
        <v>975</v>
      </c>
      <c r="CL1685" s="474">
        <v>604</v>
      </c>
      <c r="CM1685" s="474">
        <v>620</v>
      </c>
      <c r="CN1685" s="474">
        <v>617</v>
      </c>
      <c r="CO1685" s="474">
        <v>525</v>
      </c>
      <c r="CP1685" s="474">
        <v>445</v>
      </c>
      <c r="CQ1685" s="474">
        <v>397</v>
      </c>
      <c r="CR1685" s="474">
        <v>393</v>
      </c>
      <c r="CS1685" s="474">
        <v>316</v>
      </c>
      <c r="CT1685" s="474">
        <v>324</v>
      </c>
      <c r="CU1685" s="474">
        <v>263</v>
      </c>
      <c r="CV1685" s="474">
        <v>217</v>
      </c>
      <c r="CW1685" s="474">
        <v>188</v>
      </c>
      <c r="CX1685" s="474">
        <v>137</v>
      </c>
      <c r="CY1685" s="474">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1719</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74">
        <v>505</v>
      </c>
      <c r="N1686" s="474">
        <v>565</v>
      </c>
      <c r="O1686" s="474">
        <v>523</v>
      </c>
      <c r="P1686" s="474">
        <v>553</v>
      </c>
      <c r="Q1686" s="474">
        <v>564</v>
      </c>
      <c r="R1686" s="474">
        <v>601</v>
      </c>
      <c r="S1686" s="474">
        <v>557</v>
      </c>
      <c r="T1686" s="474">
        <v>674</v>
      </c>
      <c r="U1686" s="474">
        <v>595</v>
      </c>
      <c r="V1686" s="474">
        <v>673</v>
      </c>
      <c r="W1686" s="474">
        <v>651</v>
      </c>
      <c r="X1686" s="474">
        <v>667</v>
      </c>
      <c r="Y1686" s="474">
        <v>658</v>
      </c>
      <c r="Z1686" s="474">
        <v>728</v>
      </c>
      <c r="AA1686" s="474">
        <v>669</v>
      </c>
      <c r="AB1686" s="474">
        <v>671</v>
      </c>
      <c r="AC1686" s="474">
        <v>676</v>
      </c>
      <c r="AD1686" s="474">
        <v>643</v>
      </c>
      <c r="AE1686" s="474">
        <v>629</v>
      </c>
      <c r="AF1686" s="474">
        <v>788</v>
      </c>
      <c r="AG1686" s="474">
        <v>949</v>
      </c>
      <c r="AH1686" s="474">
        <v>929</v>
      </c>
      <c r="AI1686" s="474">
        <v>902</v>
      </c>
      <c r="AJ1686" s="474">
        <v>887</v>
      </c>
      <c r="AK1686" s="474">
        <v>831</v>
      </c>
      <c r="AL1686" s="474">
        <v>730</v>
      </c>
      <c r="AM1686" s="474">
        <v>671</v>
      </c>
      <c r="AN1686" s="474">
        <v>661</v>
      </c>
      <c r="AO1686" s="474">
        <v>662</v>
      </c>
      <c r="AP1686" s="474">
        <v>665</v>
      </c>
      <c r="AQ1686" s="474">
        <v>662</v>
      </c>
      <c r="AR1686" s="474">
        <v>698</v>
      </c>
      <c r="AS1686" s="474">
        <v>676</v>
      </c>
      <c r="AT1686" s="474">
        <v>695</v>
      </c>
      <c r="AU1686" s="474">
        <v>693</v>
      </c>
      <c r="AV1686" s="474">
        <v>688</v>
      </c>
      <c r="AW1686" s="474">
        <v>703</v>
      </c>
      <c r="AX1686" s="474">
        <v>619</v>
      </c>
      <c r="AY1686" s="474">
        <v>613</v>
      </c>
      <c r="AZ1686" s="474">
        <v>586</v>
      </c>
      <c r="BA1686" s="474">
        <v>606</v>
      </c>
      <c r="BB1686" s="474">
        <v>606</v>
      </c>
      <c r="BC1686" s="474">
        <v>609</v>
      </c>
      <c r="BD1686" s="474">
        <v>613</v>
      </c>
      <c r="BE1686" s="474">
        <v>572</v>
      </c>
      <c r="BF1686" s="474">
        <v>558</v>
      </c>
      <c r="BG1686" s="474">
        <v>579</v>
      </c>
      <c r="BH1686" s="474">
        <v>617</v>
      </c>
      <c r="BI1686" s="474">
        <v>615</v>
      </c>
      <c r="BJ1686" s="474">
        <v>673</v>
      </c>
      <c r="BK1686" s="474">
        <v>721</v>
      </c>
      <c r="BL1686" s="474">
        <v>782</v>
      </c>
      <c r="BM1686" s="474">
        <v>832</v>
      </c>
      <c r="BN1686" s="474">
        <v>804</v>
      </c>
      <c r="BO1686" s="474">
        <v>784</v>
      </c>
      <c r="BP1686" s="474">
        <v>800</v>
      </c>
      <c r="BQ1686" s="474">
        <v>837</v>
      </c>
      <c r="BR1686" s="474">
        <v>872</v>
      </c>
      <c r="BS1686" s="474">
        <v>868</v>
      </c>
      <c r="BT1686" s="474">
        <v>882</v>
      </c>
      <c r="BU1686" s="474">
        <v>885</v>
      </c>
      <c r="BV1686" s="474">
        <v>876</v>
      </c>
      <c r="BW1686" s="474">
        <v>851</v>
      </c>
      <c r="BX1686" s="474">
        <v>774</v>
      </c>
      <c r="BY1686" s="474">
        <v>760</v>
      </c>
      <c r="BZ1686" s="474">
        <v>811</v>
      </c>
      <c r="CA1686" s="474">
        <v>751</v>
      </c>
      <c r="CB1686" s="474">
        <v>716</v>
      </c>
      <c r="CC1686" s="474">
        <v>721</v>
      </c>
      <c r="CD1686" s="474">
        <v>670</v>
      </c>
      <c r="CE1686" s="474">
        <v>707</v>
      </c>
      <c r="CF1686" s="474">
        <v>639</v>
      </c>
      <c r="CG1686" s="474">
        <v>622</v>
      </c>
      <c r="CH1686" s="474">
        <v>631</v>
      </c>
      <c r="CI1686" s="474">
        <v>708</v>
      </c>
      <c r="CJ1686" s="474">
        <v>740</v>
      </c>
      <c r="CK1686" s="474">
        <v>700</v>
      </c>
      <c r="CL1686" s="474">
        <v>565</v>
      </c>
      <c r="CM1686" s="474">
        <v>496</v>
      </c>
      <c r="CN1686" s="474">
        <v>504</v>
      </c>
      <c r="CO1686" s="474">
        <v>451</v>
      </c>
      <c r="CP1686" s="474">
        <v>360</v>
      </c>
      <c r="CQ1686" s="474">
        <v>283</v>
      </c>
      <c r="CR1686" s="474">
        <v>309</v>
      </c>
      <c r="CS1686" s="474">
        <v>303</v>
      </c>
      <c r="CT1686" s="474">
        <v>230</v>
      </c>
      <c r="CU1686" s="474">
        <v>233</v>
      </c>
      <c r="CV1686" s="474">
        <v>208</v>
      </c>
      <c r="CW1686" s="474">
        <v>169</v>
      </c>
      <c r="CX1686" s="474">
        <v>129</v>
      </c>
      <c r="CY1686" s="474">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1720</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74">
        <v>264</v>
      </c>
      <c r="N1687" s="474">
        <v>280</v>
      </c>
      <c r="O1687" s="474">
        <v>322</v>
      </c>
      <c r="P1687" s="474">
        <v>308</v>
      </c>
      <c r="Q1687" s="474">
        <v>320</v>
      </c>
      <c r="R1687" s="474">
        <v>344</v>
      </c>
      <c r="S1687" s="474">
        <v>395</v>
      </c>
      <c r="T1687" s="474">
        <v>401</v>
      </c>
      <c r="U1687" s="474">
        <v>365</v>
      </c>
      <c r="V1687" s="474">
        <v>394</v>
      </c>
      <c r="W1687" s="474">
        <v>421</v>
      </c>
      <c r="X1687" s="474">
        <v>400</v>
      </c>
      <c r="Y1687" s="474">
        <v>441</v>
      </c>
      <c r="Z1687" s="474">
        <v>413</v>
      </c>
      <c r="AA1687" s="474">
        <v>437</v>
      </c>
      <c r="AB1687" s="474">
        <v>381</v>
      </c>
      <c r="AC1687" s="474">
        <v>394</v>
      </c>
      <c r="AD1687" s="474">
        <v>397</v>
      </c>
      <c r="AE1687" s="474">
        <v>373</v>
      </c>
      <c r="AF1687" s="474">
        <v>298</v>
      </c>
      <c r="AG1687" s="474">
        <v>289</v>
      </c>
      <c r="AH1687" s="474">
        <v>327</v>
      </c>
      <c r="AI1687" s="474">
        <v>296</v>
      </c>
      <c r="AJ1687" s="474">
        <v>278</v>
      </c>
      <c r="AK1687" s="474">
        <v>364</v>
      </c>
      <c r="AL1687" s="474">
        <v>298</v>
      </c>
      <c r="AM1687" s="474">
        <v>306</v>
      </c>
      <c r="AN1687" s="474">
        <v>324</v>
      </c>
      <c r="AO1687" s="474">
        <v>329</v>
      </c>
      <c r="AP1687" s="474">
        <v>360</v>
      </c>
      <c r="AQ1687" s="474">
        <v>346</v>
      </c>
      <c r="AR1687" s="474">
        <v>341</v>
      </c>
      <c r="AS1687" s="474">
        <v>340</v>
      </c>
      <c r="AT1687" s="474">
        <v>357</v>
      </c>
      <c r="AU1687" s="474">
        <v>356</v>
      </c>
      <c r="AV1687" s="474">
        <v>390</v>
      </c>
      <c r="AW1687" s="474">
        <v>375</v>
      </c>
      <c r="AX1687" s="474">
        <v>326</v>
      </c>
      <c r="AY1687" s="474">
        <v>353</v>
      </c>
      <c r="AZ1687" s="474">
        <v>372</v>
      </c>
      <c r="BA1687" s="474">
        <v>339</v>
      </c>
      <c r="BB1687" s="474">
        <v>325</v>
      </c>
      <c r="BC1687" s="474">
        <v>345</v>
      </c>
      <c r="BD1687" s="474">
        <v>369</v>
      </c>
      <c r="BE1687" s="474">
        <v>381</v>
      </c>
      <c r="BF1687" s="474">
        <v>328</v>
      </c>
      <c r="BG1687" s="474">
        <v>317</v>
      </c>
      <c r="BH1687" s="474">
        <v>325</v>
      </c>
      <c r="BI1687" s="474">
        <v>353</v>
      </c>
      <c r="BJ1687" s="474">
        <v>370</v>
      </c>
      <c r="BK1687" s="474">
        <v>436</v>
      </c>
      <c r="BL1687" s="474">
        <v>456</v>
      </c>
      <c r="BM1687" s="474">
        <v>494</v>
      </c>
      <c r="BN1687" s="474">
        <v>445</v>
      </c>
      <c r="BO1687" s="474">
        <v>474</v>
      </c>
      <c r="BP1687" s="474">
        <v>484</v>
      </c>
      <c r="BQ1687" s="474">
        <v>523</v>
      </c>
      <c r="BR1687" s="474">
        <v>492</v>
      </c>
      <c r="BS1687" s="474">
        <v>546</v>
      </c>
      <c r="BT1687" s="474">
        <v>544</v>
      </c>
      <c r="BU1687" s="474">
        <v>582</v>
      </c>
      <c r="BV1687" s="474">
        <v>524</v>
      </c>
      <c r="BW1687" s="474">
        <v>519</v>
      </c>
      <c r="BX1687" s="474">
        <v>551</v>
      </c>
      <c r="BY1687" s="474">
        <v>529</v>
      </c>
      <c r="BZ1687" s="474">
        <v>489</v>
      </c>
      <c r="CA1687" s="474">
        <v>466</v>
      </c>
      <c r="CB1687" s="474">
        <v>489</v>
      </c>
      <c r="CC1687" s="474">
        <v>477</v>
      </c>
      <c r="CD1687" s="474">
        <v>463</v>
      </c>
      <c r="CE1687" s="474">
        <v>456</v>
      </c>
      <c r="CF1687" s="474">
        <v>448</v>
      </c>
      <c r="CG1687" s="474">
        <v>427</v>
      </c>
      <c r="CH1687" s="474">
        <v>465</v>
      </c>
      <c r="CI1687" s="474">
        <v>476</v>
      </c>
      <c r="CJ1687" s="474">
        <v>488</v>
      </c>
      <c r="CK1687" s="474">
        <v>474</v>
      </c>
      <c r="CL1687" s="474">
        <v>336</v>
      </c>
      <c r="CM1687" s="474">
        <v>344</v>
      </c>
      <c r="CN1687" s="474">
        <v>356</v>
      </c>
      <c r="CO1687" s="474">
        <v>322</v>
      </c>
      <c r="CP1687" s="474">
        <v>249</v>
      </c>
      <c r="CQ1687" s="474">
        <v>225</v>
      </c>
      <c r="CR1687" s="474">
        <v>215</v>
      </c>
      <c r="CS1687" s="474">
        <v>230</v>
      </c>
      <c r="CT1687" s="474">
        <v>174</v>
      </c>
      <c r="CU1687" s="474">
        <v>163</v>
      </c>
      <c r="CV1687" s="474">
        <v>124</v>
      </c>
      <c r="CW1687" s="474">
        <v>97</v>
      </c>
      <c r="CX1687" s="474">
        <v>73</v>
      </c>
      <c r="CY1687" s="474">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1721</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74">
        <v>324</v>
      </c>
      <c r="N1688" s="474">
        <v>330</v>
      </c>
      <c r="O1688" s="474">
        <v>336</v>
      </c>
      <c r="P1688" s="474">
        <v>335</v>
      </c>
      <c r="Q1688" s="474">
        <v>319</v>
      </c>
      <c r="R1688" s="474">
        <v>374</v>
      </c>
      <c r="S1688" s="474">
        <v>406</v>
      </c>
      <c r="T1688" s="474">
        <v>392</v>
      </c>
      <c r="U1688" s="474">
        <v>364</v>
      </c>
      <c r="V1688" s="474">
        <v>351</v>
      </c>
      <c r="W1688" s="474">
        <v>355</v>
      </c>
      <c r="X1688" s="474">
        <v>379</v>
      </c>
      <c r="Y1688" s="474">
        <v>408</v>
      </c>
      <c r="Z1688" s="474">
        <v>353</v>
      </c>
      <c r="AA1688" s="474">
        <v>367</v>
      </c>
      <c r="AB1688" s="474">
        <v>373</v>
      </c>
      <c r="AC1688" s="474">
        <v>375</v>
      </c>
      <c r="AD1688" s="474">
        <v>343</v>
      </c>
      <c r="AE1688" s="474">
        <v>298</v>
      </c>
      <c r="AF1688" s="474">
        <v>288</v>
      </c>
      <c r="AG1688" s="474">
        <v>325</v>
      </c>
      <c r="AH1688" s="474">
        <v>284</v>
      </c>
      <c r="AI1688" s="474">
        <v>281</v>
      </c>
      <c r="AJ1688" s="474">
        <v>335</v>
      </c>
      <c r="AK1688" s="474">
        <v>323</v>
      </c>
      <c r="AL1688" s="474">
        <v>328</v>
      </c>
      <c r="AM1688" s="474">
        <v>367</v>
      </c>
      <c r="AN1688" s="474">
        <v>351</v>
      </c>
      <c r="AO1688" s="474">
        <v>332</v>
      </c>
      <c r="AP1688" s="474">
        <v>370</v>
      </c>
      <c r="AQ1688" s="474">
        <v>364</v>
      </c>
      <c r="AR1688" s="474">
        <v>359</v>
      </c>
      <c r="AS1688" s="474">
        <v>386</v>
      </c>
      <c r="AT1688" s="474">
        <v>392</v>
      </c>
      <c r="AU1688" s="474">
        <v>365</v>
      </c>
      <c r="AV1688" s="474">
        <v>390</v>
      </c>
      <c r="AW1688" s="474">
        <v>400</v>
      </c>
      <c r="AX1688" s="474">
        <v>415</v>
      </c>
      <c r="AY1688" s="474">
        <v>443</v>
      </c>
      <c r="AZ1688" s="474">
        <v>404</v>
      </c>
      <c r="BA1688" s="474">
        <v>340</v>
      </c>
      <c r="BB1688" s="474">
        <v>352</v>
      </c>
      <c r="BC1688" s="474">
        <v>383</v>
      </c>
      <c r="BD1688" s="474">
        <v>384</v>
      </c>
      <c r="BE1688" s="474">
        <v>339</v>
      </c>
      <c r="BF1688" s="474">
        <v>282</v>
      </c>
      <c r="BG1688" s="474">
        <v>275</v>
      </c>
      <c r="BH1688" s="474">
        <v>319</v>
      </c>
      <c r="BI1688" s="474">
        <v>327</v>
      </c>
      <c r="BJ1688" s="474">
        <v>293</v>
      </c>
      <c r="BK1688" s="474">
        <v>329</v>
      </c>
      <c r="BL1688" s="474">
        <v>355</v>
      </c>
      <c r="BM1688" s="474">
        <v>387</v>
      </c>
      <c r="BN1688" s="474">
        <v>361</v>
      </c>
      <c r="BO1688" s="474">
        <v>411</v>
      </c>
      <c r="BP1688" s="474">
        <v>384</v>
      </c>
      <c r="BQ1688" s="474">
        <v>380</v>
      </c>
      <c r="BR1688" s="474">
        <v>420</v>
      </c>
      <c r="BS1688" s="474">
        <v>416</v>
      </c>
      <c r="BT1688" s="474">
        <v>425</v>
      </c>
      <c r="BU1688" s="474">
        <v>373</v>
      </c>
      <c r="BV1688" s="474">
        <v>394</v>
      </c>
      <c r="BW1688" s="474">
        <v>360</v>
      </c>
      <c r="BX1688" s="474">
        <v>376</v>
      </c>
      <c r="BY1688" s="474">
        <v>402</v>
      </c>
      <c r="BZ1688" s="474">
        <v>387</v>
      </c>
      <c r="CA1688" s="474">
        <v>318</v>
      </c>
      <c r="CB1688" s="474">
        <v>301</v>
      </c>
      <c r="CC1688" s="474">
        <v>292</v>
      </c>
      <c r="CD1688" s="474">
        <v>317</v>
      </c>
      <c r="CE1688" s="474">
        <v>281</v>
      </c>
      <c r="CF1688" s="474">
        <v>286</v>
      </c>
      <c r="CG1688" s="474">
        <v>288</v>
      </c>
      <c r="CH1688" s="474">
        <v>267</v>
      </c>
      <c r="CI1688" s="474">
        <v>309</v>
      </c>
      <c r="CJ1688" s="474">
        <v>297</v>
      </c>
      <c r="CK1688" s="474">
        <v>242</v>
      </c>
      <c r="CL1688" s="474">
        <v>195</v>
      </c>
      <c r="CM1688" s="474">
        <v>213</v>
      </c>
      <c r="CN1688" s="474">
        <v>203</v>
      </c>
      <c r="CO1688" s="474">
        <v>177</v>
      </c>
      <c r="CP1688" s="474">
        <v>164</v>
      </c>
      <c r="CQ1688" s="474">
        <v>109</v>
      </c>
      <c r="CR1688" s="474">
        <v>113</v>
      </c>
      <c r="CS1688" s="474">
        <v>109</v>
      </c>
      <c r="CT1688" s="474">
        <v>113</v>
      </c>
      <c r="CU1688" s="474">
        <v>76</v>
      </c>
      <c r="CV1688" s="474">
        <v>61</v>
      </c>
      <c r="CW1688" s="474">
        <v>67</v>
      </c>
      <c r="CX1688" s="474">
        <v>42</v>
      </c>
      <c r="CY1688" s="474">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1722</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74">
        <v>354</v>
      </c>
      <c r="N1689" s="474">
        <v>391</v>
      </c>
      <c r="O1689" s="474">
        <v>411</v>
      </c>
      <c r="P1689" s="474">
        <v>441</v>
      </c>
      <c r="Q1689" s="474">
        <v>402</v>
      </c>
      <c r="R1689" s="474">
        <v>455</v>
      </c>
      <c r="S1689" s="474">
        <v>488</v>
      </c>
      <c r="T1689" s="474">
        <v>496</v>
      </c>
      <c r="U1689" s="474">
        <v>504</v>
      </c>
      <c r="V1689" s="474">
        <v>507</v>
      </c>
      <c r="W1689" s="474">
        <v>510</v>
      </c>
      <c r="X1689" s="474">
        <v>540</v>
      </c>
      <c r="Y1689" s="474">
        <v>542</v>
      </c>
      <c r="Z1689" s="474">
        <v>520</v>
      </c>
      <c r="AA1689" s="474">
        <v>570</v>
      </c>
      <c r="AB1689" s="474">
        <v>571</v>
      </c>
      <c r="AC1689" s="474">
        <v>576</v>
      </c>
      <c r="AD1689" s="474">
        <v>517</v>
      </c>
      <c r="AE1689" s="474">
        <v>509</v>
      </c>
      <c r="AF1689" s="474">
        <v>359</v>
      </c>
      <c r="AG1689" s="474">
        <v>271</v>
      </c>
      <c r="AH1689" s="474">
        <v>359</v>
      </c>
      <c r="AI1689" s="474">
        <v>389</v>
      </c>
      <c r="AJ1689" s="474">
        <v>436</v>
      </c>
      <c r="AK1689" s="474">
        <v>476</v>
      </c>
      <c r="AL1689" s="474">
        <v>433</v>
      </c>
      <c r="AM1689" s="474">
        <v>508</v>
      </c>
      <c r="AN1689" s="474">
        <v>469</v>
      </c>
      <c r="AO1689" s="474">
        <v>470</v>
      </c>
      <c r="AP1689" s="474">
        <v>490</v>
      </c>
      <c r="AQ1689" s="474">
        <v>454</v>
      </c>
      <c r="AR1689" s="474">
        <v>531</v>
      </c>
      <c r="AS1689" s="474">
        <v>565</v>
      </c>
      <c r="AT1689" s="474">
        <v>516</v>
      </c>
      <c r="AU1689" s="474">
        <v>515</v>
      </c>
      <c r="AV1689" s="474">
        <v>485</v>
      </c>
      <c r="AW1689" s="474">
        <v>515</v>
      </c>
      <c r="AX1689" s="474">
        <v>481</v>
      </c>
      <c r="AY1689" s="474">
        <v>486</v>
      </c>
      <c r="AZ1689" s="474">
        <v>500</v>
      </c>
      <c r="BA1689" s="474">
        <v>512</v>
      </c>
      <c r="BB1689" s="474">
        <v>485</v>
      </c>
      <c r="BC1689" s="474">
        <v>470</v>
      </c>
      <c r="BD1689" s="474">
        <v>519</v>
      </c>
      <c r="BE1689" s="474">
        <v>521</v>
      </c>
      <c r="BF1689" s="474">
        <v>468</v>
      </c>
      <c r="BG1689" s="474">
        <v>528</v>
      </c>
      <c r="BH1689" s="474">
        <v>501</v>
      </c>
      <c r="BI1689" s="474">
        <v>548</v>
      </c>
      <c r="BJ1689" s="474">
        <v>544</v>
      </c>
      <c r="BK1689" s="474">
        <v>606</v>
      </c>
      <c r="BL1689" s="474">
        <v>670</v>
      </c>
      <c r="BM1689" s="474">
        <v>705</v>
      </c>
      <c r="BN1689" s="474">
        <v>652</v>
      </c>
      <c r="BO1689" s="474">
        <v>695</v>
      </c>
      <c r="BP1689" s="474">
        <v>766</v>
      </c>
      <c r="BQ1689" s="474">
        <v>752</v>
      </c>
      <c r="BR1689" s="474">
        <v>781</v>
      </c>
      <c r="BS1689" s="474">
        <v>754</v>
      </c>
      <c r="BT1689" s="474">
        <v>756</v>
      </c>
      <c r="BU1689" s="474">
        <v>776</v>
      </c>
      <c r="BV1689" s="474">
        <v>719</v>
      </c>
      <c r="BW1689" s="474">
        <v>715</v>
      </c>
      <c r="BX1689" s="474">
        <v>664</v>
      </c>
      <c r="BY1689" s="474">
        <v>631</v>
      </c>
      <c r="BZ1689" s="474">
        <v>679</v>
      </c>
      <c r="CA1689" s="474">
        <v>623</v>
      </c>
      <c r="CB1689" s="474">
        <v>575</v>
      </c>
      <c r="CC1689" s="474">
        <v>599</v>
      </c>
      <c r="CD1689" s="474">
        <v>561</v>
      </c>
      <c r="CE1689" s="474">
        <v>597</v>
      </c>
      <c r="CF1689" s="474">
        <v>600</v>
      </c>
      <c r="CG1689" s="474">
        <v>564</v>
      </c>
      <c r="CH1689" s="474">
        <v>619</v>
      </c>
      <c r="CI1689" s="474">
        <v>586</v>
      </c>
      <c r="CJ1689" s="474">
        <v>582</v>
      </c>
      <c r="CK1689" s="474">
        <v>641</v>
      </c>
      <c r="CL1689" s="474">
        <v>477</v>
      </c>
      <c r="CM1689" s="474">
        <v>455</v>
      </c>
      <c r="CN1689" s="474">
        <v>468</v>
      </c>
      <c r="CO1689" s="474">
        <v>410</v>
      </c>
      <c r="CP1689" s="474">
        <v>349</v>
      </c>
      <c r="CQ1689" s="474">
        <v>293</v>
      </c>
      <c r="CR1689" s="474">
        <v>318</v>
      </c>
      <c r="CS1689" s="474">
        <v>263</v>
      </c>
      <c r="CT1689" s="474">
        <v>221</v>
      </c>
      <c r="CU1689" s="474">
        <v>198</v>
      </c>
      <c r="CV1689" s="474">
        <v>191</v>
      </c>
      <c r="CW1689" s="474">
        <v>149</v>
      </c>
      <c r="CX1689" s="474">
        <v>137</v>
      </c>
      <c r="CY1689" s="474">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1723</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74">
        <v>619</v>
      </c>
      <c r="N1690" s="474">
        <v>647</v>
      </c>
      <c r="O1690" s="474">
        <v>662</v>
      </c>
      <c r="P1690" s="474">
        <v>656</v>
      </c>
      <c r="Q1690" s="474">
        <v>714</v>
      </c>
      <c r="R1690" s="474">
        <v>779</v>
      </c>
      <c r="S1690" s="474">
        <v>782</v>
      </c>
      <c r="T1690" s="474">
        <v>821</v>
      </c>
      <c r="U1690" s="474">
        <v>822</v>
      </c>
      <c r="V1690" s="474">
        <v>830</v>
      </c>
      <c r="W1690" s="474">
        <v>797</v>
      </c>
      <c r="X1690" s="474">
        <v>927</v>
      </c>
      <c r="Y1690" s="474">
        <v>928</v>
      </c>
      <c r="Z1690" s="474">
        <v>867</v>
      </c>
      <c r="AA1690" s="474">
        <v>870</v>
      </c>
      <c r="AB1690" s="474">
        <v>876</v>
      </c>
      <c r="AC1690" s="474">
        <v>850</v>
      </c>
      <c r="AD1690" s="474">
        <v>858</v>
      </c>
      <c r="AE1690" s="474">
        <v>1006</v>
      </c>
      <c r="AF1690" s="474">
        <v>1747</v>
      </c>
      <c r="AG1690" s="474">
        <v>932</v>
      </c>
      <c r="AH1690" s="474">
        <v>866</v>
      </c>
      <c r="AI1690" s="474">
        <v>586</v>
      </c>
      <c r="AJ1690" s="474">
        <v>608</v>
      </c>
      <c r="AK1690" s="474">
        <v>672</v>
      </c>
      <c r="AL1690" s="474">
        <v>707</v>
      </c>
      <c r="AM1690" s="474">
        <v>788</v>
      </c>
      <c r="AN1690" s="474">
        <v>800</v>
      </c>
      <c r="AO1690" s="474">
        <v>814</v>
      </c>
      <c r="AP1690" s="474">
        <v>799</v>
      </c>
      <c r="AQ1690" s="474">
        <v>859</v>
      </c>
      <c r="AR1690" s="474">
        <v>911</v>
      </c>
      <c r="AS1690" s="474">
        <v>868</v>
      </c>
      <c r="AT1690" s="474">
        <v>869</v>
      </c>
      <c r="AU1690" s="474">
        <v>859</v>
      </c>
      <c r="AV1690" s="474">
        <v>835</v>
      </c>
      <c r="AW1690" s="474">
        <v>847</v>
      </c>
      <c r="AX1690" s="474">
        <v>917</v>
      </c>
      <c r="AY1690" s="474">
        <v>882</v>
      </c>
      <c r="AZ1690" s="474">
        <v>884</v>
      </c>
      <c r="BA1690" s="474">
        <v>840</v>
      </c>
      <c r="BB1690" s="474">
        <v>830</v>
      </c>
      <c r="BC1690" s="474">
        <v>824</v>
      </c>
      <c r="BD1690" s="474">
        <v>817</v>
      </c>
      <c r="BE1690" s="474">
        <v>864</v>
      </c>
      <c r="BF1690" s="474">
        <v>816</v>
      </c>
      <c r="BG1690" s="474">
        <v>750</v>
      </c>
      <c r="BH1690" s="474">
        <v>734</v>
      </c>
      <c r="BI1690" s="474">
        <v>817</v>
      </c>
      <c r="BJ1690" s="474">
        <v>770</v>
      </c>
      <c r="BK1690" s="474">
        <v>857</v>
      </c>
      <c r="BL1690" s="474">
        <v>860</v>
      </c>
      <c r="BM1690" s="474">
        <v>958</v>
      </c>
      <c r="BN1690" s="474">
        <v>900</v>
      </c>
      <c r="BO1690" s="474">
        <v>942</v>
      </c>
      <c r="BP1690" s="474">
        <v>998</v>
      </c>
      <c r="BQ1690" s="474">
        <v>956</v>
      </c>
      <c r="BR1690" s="474">
        <v>991</v>
      </c>
      <c r="BS1690" s="474">
        <v>999</v>
      </c>
      <c r="BT1690" s="474">
        <v>1046</v>
      </c>
      <c r="BU1690" s="474">
        <v>982</v>
      </c>
      <c r="BV1690" s="474">
        <v>965</v>
      </c>
      <c r="BW1690" s="474">
        <v>934</v>
      </c>
      <c r="BX1690" s="474">
        <v>956</v>
      </c>
      <c r="BY1690" s="474">
        <v>878</v>
      </c>
      <c r="BZ1690" s="474">
        <v>985</v>
      </c>
      <c r="CA1690" s="474">
        <v>869</v>
      </c>
      <c r="CB1690" s="474">
        <v>790</v>
      </c>
      <c r="CC1690" s="474">
        <v>786</v>
      </c>
      <c r="CD1690" s="474">
        <v>774</v>
      </c>
      <c r="CE1690" s="474">
        <v>795</v>
      </c>
      <c r="CF1690" s="474">
        <v>752</v>
      </c>
      <c r="CG1690" s="474">
        <v>699</v>
      </c>
      <c r="CH1690" s="474">
        <v>763</v>
      </c>
      <c r="CI1690" s="474">
        <v>726</v>
      </c>
      <c r="CJ1690" s="474">
        <v>807</v>
      </c>
      <c r="CK1690" s="474">
        <v>778</v>
      </c>
      <c r="CL1690" s="474">
        <v>554</v>
      </c>
      <c r="CM1690" s="474">
        <v>548</v>
      </c>
      <c r="CN1690" s="474">
        <v>529</v>
      </c>
      <c r="CO1690" s="474">
        <v>478</v>
      </c>
      <c r="CP1690" s="474">
        <v>413</v>
      </c>
      <c r="CQ1690" s="474">
        <v>336</v>
      </c>
      <c r="CR1690" s="474">
        <v>345</v>
      </c>
      <c r="CS1690" s="474">
        <v>292</v>
      </c>
      <c r="CT1690" s="474">
        <v>260</v>
      </c>
      <c r="CU1690" s="474">
        <v>231</v>
      </c>
      <c r="CV1690" s="474">
        <v>207</v>
      </c>
      <c r="CW1690" s="474">
        <v>150</v>
      </c>
      <c r="CX1690" s="474">
        <v>147</v>
      </c>
      <c r="CY1690" s="474">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1724</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74">
        <v>935</v>
      </c>
      <c r="N1691" s="474">
        <v>1016</v>
      </c>
      <c r="O1691" s="474">
        <v>1007</v>
      </c>
      <c r="P1691" s="474">
        <v>1009</v>
      </c>
      <c r="Q1691" s="474">
        <v>1067</v>
      </c>
      <c r="R1691" s="474">
        <v>1039</v>
      </c>
      <c r="S1691" s="474">
        <v>1035</v>
      </c>
      <c r="T1691" s="474">
        <v>1224</v>
      </c>
      <c r="U1691" s="474">
        <v>1104</v>
      </c>
      <c r="V1691" s="474">
        <v>1054</v>
      </c>
      <c r="W1691" s="474">
        <v>1100</v>
      </c>
      <c r="X1691" s="474">
        <v>1042</v>
      </c>
      <c r="Y1691" s="474">
        <v>1081</v>
      </c>
      <c r="Z1691" s="474">
        <v>1049</v>
      </c>
      <c r="AA1691" s="474">
        <v>1137</v>
      </c>
      <c r="AB1691" s="474">
        <v>1129</v>
      </c>
      <c r="AC1691" s="474">
        <v>958</v>
      </c>
      <c r="AD1691" s="474">
        <v>957</v>
      </c>
      <c r="AE1691" s="474">
        <v>959</v>
      </c>
      <c r="AF1691" s="474">
        <v>850</v>
      </c>
      <c r="AG1691" s="474">
        <v>751</v>
      </c>
      <c r="AH1691" s="474">
        <v>735</v>
      </c>
      <c r="AI1691" s="474">
        <v>769</v>
      </c>
      <c r="AJ1691" s="474">
        <v>894</v>
      </c>
      <c r="AK1691" s="474">
        <v>1005</v>
      </c>
      <c r="AL1691" s="474">
        <v>1025</v>
      </c>
      <c r="AM1691" s="474">
        <v>1092</v>
      </c>
      <c r="AN1691" s="474">
        <v>1091</v>
      </c>
      <c r="AO1691" s="474">
        <v>1099</v>
      </c>
      <c r="AP1691" s="474">
        <v>1142</v>
      </c>
      <c r="AQ1691" s="474">
        <v>1308</v>
      </c>
      <c r="AR1691" s="474">
        <v>1286</v>
      </c>
      <c r="AS1691" s="474">
        <v>1324</v>
      </c>
      <c r="AT1691" s="474">
        <v>1217</v>
      </c>
      <c r="AU1691" s="474">
        <v>1325</v>
      </c>
      <c r="AV1691" s="474">
        <v>1387</v>
      </c>
      <c r="AW1691" s="474">
        <v>1245</v>
      </c>
      <c r="AX1691" s="474">
        <v>1190</v>
      </c>
      <c r="AY1691" s="474">
        <v>1291</v>
      </c>
      <c r="AZ1691" s="474">
        <v>1168</v>
      </c>
      <c r="BA1691" s="474">
        <v>1049</v>
      </c>
      <c r="BB1691" s="474">
        <v>1062</v>
      </c>
      <c r="BC1691" s="474">
        <v>1069</v>
      </c>
      <c r="BD1691" s="474">
        <v>1123</v>
      </c>
      <c r="BE1691" s="474">
        <v>1050</v>
      </c>
      <c r="BF1691" s="474">
        <v>962</v>
      </c>
      <c r="BG1691" s="474">
        <v>915</v>
      </c>
      <c r="BH1691" s="474">
        <v>925</v>
      </c>
      <c r="BI1691" s="474">
        <v>956</v>
      </c>
      <c r="BJ1691" s="474">
        <v>945</v>
      </c>
      <c r="BK1691" s="474">
        <v>1005</v>
      </c>
      <c r="BL1691" s="474">
        <v>980</v>
      </c>
      <c r="BM1691" s="474">
        <v>1087</v>
      </c>
      <c r="BN1691" s="474">
        <v>1072</v>
      </c>
      <c r="BO1691" s="474">
        <v>1118</v>
      </c>
      <c r="BP1691" s="474">
        <v>929</v>
      </c>
      <c r="BQ1691" s="474">
        <v>1068</v>
      </c>
      <c r="BR1691" s="474">
        <v>1043</v>
      </c>
      <c r="BS1691" s="474">
        <v>1035</v>
      </c>
      <c r="BT1691" s="474">
        <v>1016</v>
      </c>
      <c r="BU1691" s="474">
        <v>1017</v>
      </c>
      <c r="BV1691" s="474">
        <v>915</v>
      </c>
      <c r="BW1691" s="474">
        <v>967</v>
      </c>
      <c r="BX1691" s="474">
        <v>878</v>
      </c>
      <c r="BY1691" s="474">
        <v>955</v>
      </c>
      <c r="BZ1691" s="474">
        <v>826</v>
      </c>
      <c r="CA1691" s="474">
        <v>782</v>
      </c>
      <c r="CB1691" s="474">
        <v>662</v>
      </c>
      <c r="CC1691" s="474">
        <v>663</v>
      </c>
      <c r="CD1691" s="474">
        <v>706</v>
      </c>
      <c r="CE1691" s="474">
        <v>734</v>
      </c>
      <c r="CF1691" s="474">
        <v>662</v>
      </c>
      <c r="CG1691" s="474">
        <v>588</v>
      </c>
      <c r="CH1691" s="474">
        <v>632</v>
      </c>
      <c r="CI1691" s="474">
        <v>601</v>
      </c>
      <c r="CJ1691" s="474">
        <v>678</v>
      </c>
      <c r="CK1691" s="474">
        <v>722</v>
      </c>
      <c r="CL1691" s="474">
        <v>491</v>
      </c>
      <c r="CM1691" s="474">
        <v>489</v>
      </c>
      <c r="CN1691" s="474">
        <v>471</v>
      </c>
      <c r="CO1691" s="474">
        <v>428</v>
      </c>
      <c r="CP1691" s="474">
        <v>358</v>
      </c>
      <c r="CQ1691" s="474">
        <v>296</v>
      </c>
      <c r="CR1691" s="474">
        <v>291</v>
      </c>
      <c r="CS1691" s="474">
        <v>281</v>
      </c>
      <c r="CT1691" s="474">
        <v>226</v>
      </c>
      <c r="CU1691" s="474">
        <v>209</v>
      </c>
      <c r="CV1691" s="474">
        <v>199</v>
      </c>
      <c r="CW1691" s="474">
        <v>141</v>
      </c>
      <c r="CX1691" s="474">
        <v>118</v>
      </c>
      <c r="CY1691" s="474">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1725</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74">
        <v>527</v>
      </c>
      <c r="N1692" s="474">
        <v>557</v>
      </c>
      <c r="O1692" s="474">
        <v>555</v>
      </c>
      <c r="P1692" s="474">
        <v>581</v>
      </c>
      <c r="Q1692" s="474">
        <v>606</v>
      </c>
      <c r="R1692" s="474">
        <v>651</v>
      </c>
      <c r="S1692" s="474">
        <v>642</v>
      </c>
      <c r="T1692" s="474">
        <v>679</v>
      </c>
      <c r="U1692" s="474">
        <v>704</v>
      </c>
      <c r="V1692" s="474">
        <v>714</v>
      </c>
      <c r="W1692" s="474">
        <v>705</v>
      </c>
      <c r="X1692" s="474">
        <v>709</v>
      </c>
      <c r="Y1692" s="474">
        <v>757</v>
      </c>
      <c r="Z1692" s="474">
        <v>735</v>
      </c>
      <c r="AA1692" s="474">
        <v>698</v>
      </c>
      <c r="AB1692" s="474">
        <v>780</v>
      </c>
      <c r="AC1692" s="474">
        <v>696</v>
      </c>
      <c r="AD1692" s="474">
        <v>764</v>
      </c>
      <c r="AE1692" s="474">
        <v>721</v>
      </c>
      <c r="AF1692" s="474">
        <v>587</v>
      </c>
      <c r="AG1692" s="474">
        <v>490</v>
      </c>
      <c r="AH1692" s="474">
        <v>500</v>
      </c>
      <c r="AI1692" s="474">
        <v>596</v>
      </c>
      <c r="AJ1692" s="474">
        <v>641</v>
      </c>
      <c r="AK1692" s="474">
        <v>603</v>
      </c>
      <c r="AL1692" s="474">
        <v>650</v>
      </c>
      <c r="AM1692" s="474">
        <v>669</v>
      </c>
      <c r="AN1692" s="474">
        <v>616</v>
      </c>
      <c r="AO1692" s="474">
        <v>532</v>
      </c>
      <c r="AP1692" s="474">
        <v>583</v>
      </c>
      <c r="AQ1692" s="474">
        <v>655</v>
      </c>
      <c r="AR1692" s="474">
        <v>732</v>
      </c>
      <c r="AS1692" s="474">
        <v>702</v>
      </c>
      <c r="AT1692" s="474">
        <v>647</v>
      </c>
      <c r="AU1692" s="474">
        <v>607</v>
      </c>
      <c r="AV1692" s="474">
        <v>714</v>
      </c>
      <c r="AW1692" s="474">
        <v>658</v>
      </c>
      <c r="AX1692" s="474">
        <v>651</v>
      </c>
      <c r="AY1692" s="474">
        <v>619</v>
      </c>
      <c r="AZ1692" s="474">
        <v>628</v>
      </c>
      <c r="BA1692" s="474">
        <v>616</v>
      </c>
      <c r="BB1692" s="474">
        <v>626</v>
      </c>
      <c r="BC1692" s="474">
        <v>619</v>
      </c>
      <c r="BD1692" s="474">
        <v>667</v>
      </c>
      <c r="BE1692" s="474">
        <v>608</v>
      </c>
      <c r="BF1692" s="474">
        <v>582</v>
      </c>
      <c r="BG1692" s="474">
        <v>557</v>
      </c>
      <c r="BH1692" s="474">
        <v>583</v>
      </c>
      <c r="BI1692" s="474">
        <v>621</v>
      </c>
      <c r="BJ1692" s="474">
        <v>660</v>
      </c>
      <c r="BK1692" s="474">
        <v>725</v>
      </c>
      <c r="BL1692" s="474">
        <v>748</v>
      </c>
      <c r="BM1692" s="474">
        <v>771</v>
      </c>
      <c r="BN1692" s="474">
        <v>821</v>
      </c>
      <c r="BO1692" s="474">
        <v>820</v>
      </c>
      <c r="BP1692" s="474">
        <v>859</v>
      </c>
      <c r="BQ1692" s="474">
        <v>918</v>
      </c>
      <c r="BR1692" s="474">
        <v>929</v>
      </c>
      <c r="BS1692" s="474">
        <v>940</v>
      </c>
      <c r="BT1692" s="474">
        <v>906</v>
      </c>
      <c r="BU1692" s="474">
        <v>1025</v>
      </c>
      <c r="BV1692" s="474">
        <v>987</v>
      </c>
      <c r="BW1692" s="474">
        <v>922</v>
      </c>
      <c r="BX1692" s="474">
        <v>902</v>
      </c>
      <c r="BY1692" s="474">
        <v>979</v>
      </c>
      <c r="BZ1692" s="474">
        <v>904</v>
      </c>
      <c r="CA1692" s="474">
        <v>858</v>
      </c>
      <c r="CB1692" s="474">
        <v>861</v>
      </c>
      <c r="CC1692" s="474">
        <v>859</v>
      </c>
      <c r="CD1692" s="474">
        <v>881</v>
      </c>
      <c r="CE1692" s="474">
        <v>858</v>
      </c>
      <c r="CF1692" s="474">
        <v>788</v>
      </c>
      <c r="CG1692" s="474">
        <v>819</v>
      </c>
      <c r="CH1692" s="474">
        <v>819</v>
      </c>
      <c r="CI1692" s="474">
        <v>769</v>
      </c>
      <c r="CJ1692" s="474">
        <v>808</v>
      </c>
      <c r="CK1692" s="474">
        <v>861</v>
      </c>
      <c r="CL1692" s="474">
        <v>588</v>
      </c>
      <c r="CM1692" s="474">
        <v>613</v>
      </c>
      <c r="CN1692" s="474">
        <v>589</v>
      </c>
      <c r="CO1692" s="474">
        <v>511</v>
      </c>
      <c r="CP1692" s="474">
        <v>462</v>
      </c>
      <c r="CQ1692" s="474">
        <v>433</v>
      </c>
      <c r="CR1692" s="474">
        <v>384</v>
      </c>
      <c r="CS1692" s="474">
        <v>345</v>
      </c>
      <c r="CT1692" s="474">
        <v>297</v>
      </c>
      <c r="CU1692" s="474">
        <v>234</v>
      </c>
      <c r="CV1692" s="474">
        <v>223</v>
      </c>
      <c r="CW1692" s="474">
        <v>188</v>
      </c>
      <c r="CX1692" s="474">
        <v>113</v>
      </c>
      <c r="CY1692" s="474">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1726</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74">
        <v>500</v>
      </c>
      <c r="N1693" s="474">
        <v>567</v>
      </c>
      <c r="O1693" s="474">
        <v>567</v>
      </c>
      <c r="P1693" s="474">
        <v>565</v>
      </c>
      <c r="Q1693" s="474">
        <v>628</v>
      </c>
      <c r="R1693" s="474">
        <v>679</v>
      </c>
      <c r="S1693" s="474">
        <v>663</v>
      </c>
      <c r="T1693" s="474">
        <v>649</v>
      </c>
      <c r="U1693" s="474">
        <v>706</v>
      </c>
      <c r="V1693" s="474">
        <v>704</v>
      </c>
      <c r="W1693" s="474">
        <v>721</v>
      </c>
      <c r="X1693" s="474">
        <v>696</v>
      </c>
      <c r="Y1693" s="474">
        <v>721</v>
      </c>
      <c r="Z1693" s="474">
        <v>714</v>
      </c>
      <c r="AA1693" s="474">
        <v>729</v>
      </c>
      <c r="AB1693" s="474">
        <v>832</v>
      </c>
      <c r="AC1693" s="474">
        <v>724</v>
      </c>
      <c r="AD1693" s="474">
        <v>726</v>
      </c>
      <c r="AE1693" s="474">
        <v>743</v>
      </c>
      <c r="AF1693" s="474">
        <v>546</v>
      </c>
      <c r="AG1693" s="474">
        <v>499</v>
      </c>
      <c r="AH1693" s="474">
        <v>488</v>
      </c>
      <c r="AI1693" s="474">
        <v>542</v>
      </c>
      <c r="AJ1693" s="474">
        <v>618</v>
      </c>
      <c r="AK1693" s="474">
        <v>731</v>
      </c>
      <c r="AL1693" s="474">
        <v>629</v>
      </c>
      <c r="AM1693" s="474">
        <v>657</v>
      </c>
      <c r="AN1693" s="474">
        <v>702</v>
      </c>
      <c r="AO1693" s="474">
        <v>637</v>
      </c>
      <c r="AP1693" s="474">
        <v>685</v>
      </c>
      <c r="AQ1693" s="474">
        <v>668</v>
      </c>
      <c r="AR1693" s="474">
        <v>675</v>
      </c>
      <c r="AS1693" s="474">
        <v>697</v>
      </c>
      <c r="AT1693" s="474">
        <v>686</v>
      </c>
      <c r="AU1693" s="474">
        <v>676</v>
      </c>
      <c r="AV1693" s="474">
        <v>708</v>
      </c>
      <c r="AW1693" s="474">
        <v>618</v>
      </c>
      <c r="AX1693" s="474">
        <v>646</v>
      </c>
      <c r="AY1693" s="474">
        <v>707</v>
      </c>
      <c r="AZ1693" s="474">
        <v>646</v>
      </c>
      <c r="BA1693" s="474">
        <v>628</v>
      </c>
      <c r="BB1693" s="474">
        <v>688</v>
      </c>
      <c r="BC1693" s="474">
        <v>664</v>
      </c>
      <c r="BD1693" s="474">
        <v>683</v>
      </c>
      <c r="BE1693" s="474">
        <v>662</v>
      </c>
      <c r="BF1693" s="474">
        <v>629</v>
      </c>
      <c r="BG1693" s="474">
        <v>651</v>
      </c>
      <c r="BH1693" s="474">
        <v>664</v>
      </c>
      <c r="BI1693" s="474">
        <v>737</v>
      </c>
      <c r="BJ1693" s="474">
        <v>727</v>
      </c>
      <c r="BK1693" s="474">
        <v>742</v>
      </c>
      <c r="BL1693" s="474">
        <v>939</v>
      </c>
      <c r="BM1693" s="474">
        <v>931</v>
      </c>
      <c r="BN1693" s="474">
        <v>885</v>
      </c>
      <c r="BO1693" s="474">
        <v>995</v>
      </c>
      <c r="BP1693" s="474">
        <v>947</v>
      </c>
      <c r="BQ1693" s="474">
        <v>1071</v>
      </c>
      <c r="BR1693" s="474">
        <v>1051</v>
      </c>
      <c r="BS1693" s="474">
        <v>1105</v>
      </c>
      <c r="BT1693" s="474">
        <v>1052</v>
      </c>
      <c r="BU1693" s="474">
        <v>1097</v>
      </c>
      <c r="BV1693" s="474">
        <v>1105</v>
      </c>
      <c r="BW1693" s="474">
        <v>1093</v>
      </c>
      <c r="BX1693" s="474">
        <v>1092</v>
      </c>
      <c r="BY1693" s="474">
        <v>1073</v>
      </c>
      <c r="BZ1693" s="474">
        <v>974</v>
      </c>
      <c r="CA1693" s="474">
        <v>1011</v>
      </c>
      <c r="CB1693" s="474">
        <v>1034</v>
      </c>
      <c r="CC1693" s="474">
        <v>919</v>
      </c>
      <c r="CD1693" s="474">
        <v>973</v>
      </c>
      <c r="CE1693" s="474">
        <v>971</v>
      </c>
      <c r="CF1693" s="474">
        <v>935</v>
      </c>
      <c r="CG1693" s="474">
        <v>898</v>
      </c>
      <c r="CH1693" s="474">
        <v>940</v>
      </c>
      <c r="CI1693" s="474">
        <v>949</v>
      </c>
      <c r="CJ1693" s="474">
        <v>1019</v>
      </c>
      <c r="CK1693" s="474">
        <v>991</v>
      </c>
      <c r="CL1693" s="474">
        <v>736</v>
      </c>
      <c r="CM1693" s="474">
        <v>674</v>
      </c>
      <c r="CN1693" s="474">
        <v>776</v>
      </c>
      <c r="CO1693" s="474">
        <v>629</v>
      </c>
      <c r="CP1693" s="474">
        <v>531</v>
      </c>
      <c r="CQ1693" s="474">
        <v>455</v>
      </c>
      <c r="CR1693" s="474">
        <v>447</v>
      </c>
      <c r="CS1693" s="474">
        <v>377</v>
      </c>
      <c r="CT1693" s="474">
        <v>377</v>
      </c>
      <c r="CU1693" s="474">
        <v>326</v>
      </c>
      <c r="CV1693" s="474">
        <v>256</v>
      </c>
      <c r="CW1693" s="474">
        <v>251</v>
      </c>
      <c r="CX1693" s="474">
        <v>205</v>
      </c>
      <c r="CY1693" s="474">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1727</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74">
        <v>1140</v>
      </c>
      <c r="N1694" s="474">
        <v>1193</v>
      </c>
      <c r="O1694" s="474">
        <v>1210</v>
      </c>
      <c r="P1694" s="474">
        <v>1259</v>
      </c>
      <c r="Q1694" s="474">
        <v>1323</v>
      </c>
      <c r="R1694" s="474">
        <v>1394</v>
      </c>
      <c r="S1694" s="474">
        <v>1347</v>
      </c>
      <c r="T1694" s="474">
        <v>1353</v>
      </c>
      <c r="U1694" s="474">
        <v>1441</v>
      </c>
      <c r="V1694" s="474">
        <v>1459</v>
      </c>
      <c r="W1694" s="474">
        <v>1469</v>
      </c>
      <c r="X1694" s="474">
        <v>1475</v>
      </c>
      <c r="Y1694" s="474">
        <v>1526</v>
      </c>
      <c r="Z1694" s="474">
        <v>1426</v>
      </c>
      <c r="AA1694" s="474">
        <v>1603</v>
      </c>
      <c r="AB1694" s="474">
        <v>1474</v>
      </c>
      <c r="AC1694" s="474">
        <v>1488</v>
      </c>
      <c r="AD1694" s="474">
        <v>1401</v>
      </c>
      <c r="AE1694" s="474">
        <v>1439</v>
      </c>
      <c r="AF1694" s="474">
        <v>1327</v>
      </c>
      <c r="AG1694" s="474">
        <v>1440</v>
      </c>
      <c r="AH1694" s="474">
        <v>1440</v>
      </c>
      <c r="AI1694" s="474">
        <v>1500</v>
      </c>
      <c r="AJ1694" s="474">
        <v>1367</v>
      </c>
      <c r="AK1694" s="474">
        <v>1559</v>
      </c>
      <c r="AL1694" s="474">
        <v>1408</v>
      </c>
      <c r="AM1694" s="474">
        <v>1581</v>
      </c>
      <c r="AN1694" s="474">
        <v>1460</v>
      </c>
      <c r="AO1694" s="474">
        <v>1582</v>
      </c>
      <c r="AP1694" s="474">
        <v>1538</v>
      </c>
      <c r="AQ1694" s="474">
        <v>1616</v>
      </c>
      <c r="AR1694" s="474">
        <v>1610</v>
      </c>
      <c r="AS1694" s="474">
        <v>1537</v>
      </c>
      <c r="AT1694" s="474">
        <v>1739</v>
      </c>
      <c r="AU1694" s="474">
        <v>1696</v>
      </c>
      <c r="AV1694" s="474">
        <v>1559</v>
      </c>
      <c r="AW1694" s="474">
        <v>1589</v>
      </c>
      <c r="AX1694" s="474">
        <v>1564</v>
      </c>
      <c r="AY1694" s="474">
        <v>1593</v>
      </c>
      <c r="AZ1694" s="474">
        <v>1551</v>
      </c>
      <c r="BA1694" s="474">
        <v>1502</v>
      </c>
      <c r="BB1694" s="474">
        <v>1496</v>
      </c>
      <c r="BC1694" s="474">
        <v>1401</v>
      </c>
      <c r="BD1694" s="474">
        <v>1480</v>
      </c>
      <c r="BE1694" s="474">
        <v>1460</v>
      </c>
      <c r="BF1694" s="474">
        <v>1318</v>
      </c>
      <c r="BG1694" s="474">
        <v>1264</v>
      </c>
      <c r="BH1694" s="474">
        <v>1238</v>
      </c>
      <c r="BI1694" s="474">
        <v>1355</v>
      </c>
      <c r="BJ1694" s="474">
        <v>1271</v>
      </c>
      <c r="BK1694" s="474">
        <v>1523</v>
      </c>
      <c r="BL1694" s="474">
        <v>1620</v>
      </c>
      <c r="BM1694" s="474">
        <v>1690</v>
      </c>
      <c r="BN1694" s="474">
        <v>1562</v>
      </c>
      <c r="BO1694" s="474">
        <v>1621</v>
      </c>
      <c r="BP1694" s="474">
        <v>1659</v>
      </c>
      <c r="BQ1694" s="474">
        <v>1650</v>
      </c>
      <c r="BR1694" s="474">
        <v>1681</v>
      </c>
      <c r="BS1694" s="474">
        <v>1724</v>
      </c>
      <c r="BT1694" s="474">
        <v>1621</v>
      </c>
      <c r="BU1694" s="474">
        <v>1572</v>
      </c>
      <c r="BV1694" s="474">
        <v>1600</v>
      </c>
      <c r="BW1694" s="474">
        <v>1483</v>
      </c>
      <c r="BX1694" s="474">
        <v>1337</v>
      </c>
      <c r="BY1694" s="474">
        <v>1422</v>
      </c>
      <c r="BZ1694" s="474">
        <v>1370</v>
      </c>
      <c r="CA1694" s="474">
        <v>1353</v>
      </c>
      <c r="CB1694" s="474">
        <v>1253</v>
      </c>
      <c r="CC1694" s="474">
        <v>1168</v>
      </c>
      <c r="CD1694" s="474">
        <v>1192</v>
      </c>
      <c r="CE1694" s="474">
        <v>1131</v>
      </c>
      <c r="CF1694" s="474">
        <v>1211</v>
      </c>
      <c r="CG1694" s="474">
        <v>1146</v>
      </c>
      <c r="CH1694" s="474">
        <v>1188</v>
      </c>
      <c r="CI1694" s="474">
        <v>1207</v>
      </c>
      <c r="CJ1694" s="474">
        <v>1233</v>
      </c>
      <c r="CK1694" s="474">
        <v>1235</v>
      </c>
      <c r="CL1694" s="474">
        <v>1028</v>
      </c>
      <c r="CM1694" s="474">
        <v>956</v>
      </c>
      <c r="CN1694" s="474">
        <v>790</v>
      </c>
      <c r="CO1694" s="474">
        <v>668</v>
      </c>
      <c r="CP1694" s="474">
        <v>634</v>
      </c>
      <c r="CQ1694" s="474">
        <v>539</v>
      </c>
      <c r="CR1694" s="474">
        <v>489</v>
      </c>
      <c r="CS1694" s="474">
        <v>429</v>
      </c>
      <c r="CT1694" s="474">
        <v>400</v>
      </c>
      <c r="CU1694" s="474">
        <v>325</v>
      </c>
      <c r="CV1694" s="474">
        <v>310</v>
      </c>
      <c r="CW1694" s="474">
        <v>259</v>
      </c>
      <c r="CX1694" s="474">
        <v>199</v>
      </c>
      <c r="CY1694" s="474">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1728</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74">
        <v>1058</v>
      </c>
      <c r="N1695" s="474">
        <v>1165</v>
      </c>
      <c r="O1695" s="474">
        <v>1112</v>
      </c>
      <c r="P1695" s="474">
        <v>1172</v>
      </c>
      <c r="Q1695" s="474">
        <v>1276</v>
      </c>
      <c r="R1695" s="474">
        <v>1280</v>
      </c>
      <c r="S1695" s="474">
        <v>1294</v>
      </c>
      <c r="T1695" s="474">
        <v>1422</v>
      </c>
      <c r="U1695" s="474">
        <v>1400</v>
      </c>
      <c r="V1695" s="474">
        <v>1380</v>
      </c>
      <c r="W1695" s="474">
        <v>1437</v>
      </c>
      <c r="X1695" s="474">
        <v>1491</v>
      </c>
      <c r="Y1695" s="474">
        <v>1515</v>
      </c>
      <c r="Z1695" s="474">
        <v>1424</v>
      </c>
      <c r="AA1695" s="474">
        <v>1475</v>
      </c>
      <c r="AB1695" s="474">
        <v>1559</v>
      </c>
      <c r="AC1695" s="474">
        <v>1400</v>
      </c>
      <c r="AD1695" s="474">
        <v>1416</v>
      </c>
      <c r="AE1695" s="474">
        <v>1531</v>
      </c>
      <c r="AF1695" s="474">
        <v>1930</v>
      </c>
      <c r="AG1695" s="474">
        <v>2567</v>
      </c>
      <c r="AH1695" s="474">
        <v>2891</v>
      </c>
      <c r="AI1695" s="474">
        <v>2711</v>
      </c>
      <c r="AJ1695" s="474">
        <v>2259</v>
      </c>
      <c r="AK1695" s="474">
        <v>1905</v>
      </c>
      <c r="AL1695" s="474">
        <v>1512</v>
      </c>
      <c r="AM1695" s="474">
        <v>1601</v>
      </c>
      <c r="AN1695" s="474">
        <v>1579</v>
      </c>
      <c r="AO1695" s="474">
        <v>1461</v>
      </c>
      <c r="AP1695" s="474">
        <v>1487</v>
      </c>
      <c r="AQ1695" s="474">
        <v>1489</v>
      </c>
      <c r="AR1695" s="474">
        <v>1578</v>
      </c>
      <c r="AS1695" s="474">
        <v>1618</v>
      </c>
      <c r="AT1695" s="474">
        <v>1710</v>
      </c>
      <c r="AU1695" s="474">
        <v>1510</v>
      </c>
      <c r="AV1695" s="474">
        <v>1561</v>
      </c>
      <c r="AW1695" s="474">
        <v>1551</v>
      </c>
      <c r="AX1695" s="474">
        <v>1529</v>
      </c>
      <c r="AY1695" s="474">
        <v>1639</v>
      </c>
      <c r="AZ1695" s="474">
        <v>1427</v>
      </c>
      <c r="BA1695" s="474">
        <v>1494</v>
      </c>
      <c r="BB1695" s="474">
        <v>1424</v>
      </c>
      <c r="BC1695" s="474">
        <v>1458</v>
      </c>
      <c r="BD1695" s="474">
        <v>1607</v>
      </c>
      <c r="BE1695" s="474">
        <v>1342</v>
      </c>
      <c r="BF1695" s="474">
        <v>1281</v>
      </c>
      <c r="BG1695" s="474">
        <v>1291</v>
      </c>
      <c r="BH1695" s="474">
        <v>1360</v>
      </c>
      <c r="BI1695" s="474">
        <v>1382</v>
      </c>
      <c r="BJ1695" s="474">
        <v>1354</v>
      </c>
      <c r="BK1695" s="474">
        <v>1335</v>
      </c>
      <c r="BL1695" s="474">
        <v>1459</v>
      </c>
      <c r="BM1695" s="474">
        <v>1490</v>
      </c>
      <c r="BN1695" s="474">
        <v>1528</v>
      </c>
      <c r="BO1695" s="474">
        <v>1692</v>
      </c>
      <c r="BP1695" s="474">
        <v>1545</v>
      </c>
      <c r="BQ1695" s="474">
        <v>1520</v>
      </c>
      <c r="BR1695" s="474">
        <v>1533</v>
      </c>
      <c r="BS1695" s="474">
        <v>1670</v>
      </c>
      <c r="BT1695" s="474">
        <v>1629</v>
      </c>
      <c r="BU1695" s="474">
        <v>1477</v>
      </c>
      <c r="BV1695" s="474">
        <v>1504</v>
      </c>
      <c r="BW1695" s="474">
        <v>1450</v>
      </c>
      <c r="BX1695" s="474">
        <v>1418</v>
      </c>
      <c r="BY1695" s="474">
        <v>1382</v>
      </c>
      <c r="BZ1695" s="474">
        <v>1341</v>
      </c>
      <c r="CA1695" s="474">
        <v>1262</v>
      </c>
      <c r="CB1695" s="474">
        <v>1231</v>
      </c>
      <c r="CC1695" s="474">
        <v>1184</v>
      </c>
      <c r="CD1695" s="474">
        <v>1167</v>
      </c>
      <c r="CE1695" s="474">
        <v>1199</v>
      </c>
      <c r="CF1695" s="474">
        <v>1144</v>
      </c>
      <c r="CG1695" s="474">
        <v>1062</v>
      </c>
      <c r="CH1695" s="474">
        <v>1162</v>
      </c>
      <c r="CI1695" s="474">
        <v>1152</v>
      </c>
      <c r="CJ1695" s="474">
        <v>1198</v>
      </c>
      <c r="CK1695" s="474">
        <v>1296</v>
      </c>
      <c r="CL1695" s="474">
        <v>839</v>
      </c>
      <c r="CM1695" s="474">
        <v>878</v>
      </c>
      <c r="CN1695" s="474">
        <v>862</v>
      </c>
      <c r="CO1695" s="474">
        <v>807</v>
      </c>
      <c r="CP1695" s="474">
        <v>699</v>
      </c>
      <c r="CQ1695" s="474">
        <v>561</v>
      </c>
      <c r="CR1695" s="474">
        <v>554</v>
      </c>
      <c r="CS1695" s="474">
        <v>483</v>
      </c>
      <c r="CT1695" s="474">
        <v>465</v>
      </c>
      <c r="CU1695" s="474">
        <v>399</v>
      </c>
      <c r="CV1695" s="474">
        <v>354</v>
      </c>
      <c r="CW1695" s="474">
        <v>304</v>
      </c>
      <c r="CX1695" s="474">
        <v>227</v>
      </c>
      <c r="CY1695" s="474">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1729</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74">
        <v>488</v>
      </c>
      <c r="N1696" s="474">
        <v>536</v>
      </c>
      <c r="O1696" s="474">
        <v>477</v>
      </c>
      <c r="P1696" s="474">
        <v>559</v>
      </c>
      <c r="Q1696" s="474">
        <v>552</v>
      </c>
      <c r="R1696" s="474">
        <v>510</v>
      </c>
      <c r="S1696" s="474">
        <v>560</v>
      </c>
      <c r="T1696" s="474">
        <v>595</v>
      </c>
      <c r="U1696" s="474">
        <v>520</v>
      </c>
      <c r="V1696" s="474">
        <v>560</v>
      </c>
      <c r="W1696" s="474">
        <v>568</v>
      </c>
      <c r="X1696" s="474">
        <v>600</v>
      </c>
      <c r="Y1696" s="474">
        <v>617</v>
      </c>
      <c r="Z1696" s="474">
        <v>583</v>
      </c>
      <c r="AA1696" s="474">
        <v>632</v>
      </c>
      <c r="AB1696" s="474">
        <v>587</v>
      </c>
      <c r="AC1696" s="474">
        <v>566</v>
      </c>
      <c r="AD1696" s="474">
        <v>602</v>
      </c>
      <c r="AE1696" s="474">
        <v>574</v>
      </c>
      <c r="AF1696" s="474">
        <v>433</v>
      </c>
      <c r="AG1696" s="474">
        <v>417</v>
      </c>
      <c r="AH1696" s="474">
        <v>415</v>
      </c>
      <c r="AI1696" s="474">
        <v>426</v>
      </c>
      <c r="AJ1696" s="474">
        <v>473</v>
      </c>
      <c r="AK1696" s="474">
        <v>478</v>
      </c>
      <c r="AL1696" s="474">
        <v>522</v>
      </c>
      <c r="AM1696" s="474">
        <v>600</v>
      </c>
      <c r="AN1696" s="474">
        <v>548</v>
      </c>
      <c r="AO1696" s="474">
        <v>607</v>
      </c>
      <c r="AP1696" s="474">
        <v>562</v>
      </c>
      <c r="AQ1696" s="474">
        <v>542</v>
      </c>
      <c r="AR1696" s="474">
        <v>610</v>
      </c>
      <c r="AS1696" s="474">
        <v>637</v>
      </c>
      <c r="AT1696" s="474">
        <v>624</v>
      </c>
      <c r="AU1696" s="474">
        <v>628</v>
      </c>
      <c r="AV1696" s="474">
        <v>575</v>
      </c>
      <c r="AW1696" s="474">
        <v>605</v>
      </c>
      <c r="AX1696" s="474">
        <v>611</v>
      </c>
      <c r="AY1696" s="474">
        <v>580</v>
      </c>
      <c r="AZ1696" s="474">
        <v>541</v>
      </c>
      <c r="BA1696" s="474">
        <v>549</v>
      </c>
      <c r="BB1696" s="474">
        <v>563</v>
      </c>
      <c r="BC1696" s="474">
        <v>482</v>
      </c>
      <c r="BD1696" s="474">
        <v>532</v>
      </c>
      <c r="BE1696" s="474">
        <v>542</v>
      </c>
      <c r="BF1696" s="474">
        <v>440</v>
      </c>
      <c r="BG1696" s="474">
        <v>519</v>
      </c>
      <c r="BH1696" s="474">
        <v>436</v>
      </c>
      <c r="BI1696" s="474">
        <v>496</v>
      </c>
      <c r="BJ1696" s="474">
        <v>490</v>
      </c>
      <c r="BK1696" s="474">
        <v>555</v>
      </c>
      <c r="BL1696" s="474">
        <v>579</v>
      </c>
      <c r="BM1696" s="474">
        <v>638</v>
      </c>
      <c r="BN1696" s="474">
        <v>629</v>
      </c>
      <c r="BO1696" s="474">
        <v>591</v>
      </c>
      <c r="BP1696" s="474">
        <v>589</v>
      </c>
      <c r="BQ1696" s="474">
        <v>629</v>
      </c>
      <c r="BR1696" s="474">
        <v>632</v>
      </c>
      <c r="BS1696" s="474">
        <v>712</v>
      </c>
      <c r="BT1696" s="474">
        <v>639</v>
      </c>
      <c r="BU1696" s="474">
        <v>673</v>
      </c>
      <c r="BV1696" s="474">
        <v>662</v>
      </c>
      <c r="BW1696" s="474">
        <v>647</v>
      </c>
      <c r="BX1696" s="474">
        <v>569</v>
      </c>
      <c r="BY1696" s="474">
        <v>570</v>
      </c>
      <c r="BZ1696" s="474">
        <v>582</v>
      </c>
      <c r="CA1696" s="474">
        <v>509</v>
      </c>
      <c r="CB1696" s="474">
        <v>481</v>
      </c>
      <c r="CC1696" s="474">
        <v>468</v>
      </c>
      <c r="CD1696" s="474">
        <v>525</v>
      </c>
      <c r="CE1696" s="474">
        <v>460</v>
      </c>
      <c r="CF1696" s="474">
        <v>473</v>
      </c>
      <c r="CG1696" s="474">
        <v>453</v>
      </c>
      <c r="CH1696" s="474">
        <v>449</v>
      </c>
      <c r="CI1696" s="474">
        <v>461</v>
      </c>
      <c r="CJ1696" s="474">
        <v>450</v>
      </c>
      <c r="CK1696" s="474">
        <v>525</v>
      </c>
      <c r="CL1696" s="474">
        <v>373</v>
      </c>
      <c r="CM1696" s="474">
        <v>376</v>
      </c>
      <c r="CN1696" s="474">
        <v>334</v>
      </c>
      <c r="CO1696" s="474">
        <v>283</v>
      </c>
      <c r="CP1696" s="474">
        <v>254</v>
      </c>
      <c r="CQ1696" s="474">
        <v>226</v>
      </c>
      <c r="CR1696" s="474">
        <v>201</v>
      </c>
      <c r="CS1696" s="474">
        <v>207</v>
      </c>
      <c r="CT1696" s="474">
        <v>181</v>
      </c>
      <c r="CU1696" s="474">
        <v>135</v>
      </c>
      <c r="CV1696" s="474">
        <v>127</v>
      </c>
      <c r="CW1696" s="474">
        <v>100</v>
      </c>
      <c r="CX1696" s="474">
        <v>101</v>
      </c>
      <c r="CY1696" s="474">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1730</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74">
        <v>594</v>
      </c>
      <c r="N1697" s="474">
        <v>672</v>
      </c>
      <c r="O1697" s="474">
        <v>677</v>
      </c>
      <c r="P1697" s="474">
        <v>712</v>
      </c>
      <c r="Q1697" s="474">
        <v>754</v>
      </c>
      <c r="R1697" s="474">
        <v>738</v>
      </c>
      <c r="S1697" s="474">
        <v>825</v>
      </c>
      <c r="T1697" s="474">
        <v>782</v>
      </c>
      <c r="U1697" s="474">
        <v>774</v>
      </c>
      <c r="V1697" s="474">
        <v>814</v>
      </c>
      <c r="W1697" s="474">
        <v>875</v>
      </c>
      <c r="X1697" s="474">
        <v>899</v>
      </c>
      <c r="Y1697" s="474">
        <v>880</v>
      </c>
      <c r="Z1697" s="474">
        <v>900</v>
      </c>
      <c r="AA1697" s="474">
        <v>906</v>
      </c>
      <c r="AB1697" s="474">
        <v>863</v>
      </c>
      <c r="AC1697" s="474">
        <v>859</v>
      </c>
      <c r="AD1697" s="474">
        <v>772</v>
      </c>
      <c r="AE1697" s="474">
        <v>733</v>
      </c>
      <c r="AF1697" s="474">
        <v>597</v>
      </c>
      <c r="AG1697" s="474">
        <v>564</v>
      </c>
      <c r="AH1697" s="474">
        <v>512</v>
      </c>
      <c r="AI1697" s="474">
        <v>663</v>
      </c>
      <c r="AJ1697" s="474">
        <v>713</v>
      </c>
      <c r="AK1697" s="474">
        <v>713</v>
      </c>
      <c r="AL1697" s="474">
        <v>669</v>
      </c>
      <c r="AM1697" s="474">
        <v>723</v>
      </c>
      <c r="AN1697" s="474">
        <v>699</v>
      </c>
      <c r="AO1697" s="474">
        <v>711</v>
      </c>
      <c r="AP1697" s="474">
        <v>745</v>
      </c>
      <c r="AQ1697" s="474">
        <v>703</v>
      </c>
      <c r="AR1697" s="474">
        <v>734</v>
      </c>
      <c r="AS1697" s="474">
        <v>736</v>
      </c>
      <c r="AT1697" s="474">
        <v>729</v>
      </c>
      <c r="AU1697" s="474">
        <v>809</v>
      </c>
      <c r="AV1697" s="474">
        <v>846</v>
      </c>
      <c r="AW1697" s="474">
        <v>831</v>
      </c>
      <c r="AX1697" s="474">
        <v>887</v>
      </c>
      <c r="AY1697" s="474">
        <v>751</v>
      </c>
      <c r="AZ1697" s="474">
        <v>763</v>
      </c>
      <c r="BA1697" s="474">
        <v>823</v>
      </c>
      <c r="BB1697" s="474">
        <v>841</v>
      </c>
      <c r="BC1697" s="474">
        <v>930</v>
      </c>
      <c r="BD1697" s="474">
        <v>904</v>
      </c>
      <c r="BE1697" s="474">
        <v>833</v>
      </c>
      <c r="BF1697" s="474">
        <v>696</v>
      </c>
      <c r="BG1697" s="474">
        <v>730</v>
      </c>
      <c r="BH1697" s="474">
        <v>733</v>
      </c>
      <c r="BI1697" s="474">
        <v>808</v>
      </c>
      <c r="BJ1697" s="474">
        <v>779</v>
      </c>
      <c r="BK1697" s="474">
        <v>823</v>
      </c>
      <c r="BL1697" s="474">
        <v>856</v>
      </c>
      <c r="BM1697" s="474">
        <v>879</v>
      </c>
      <c r="BN1697" s="474">
        <v>870</v>
      </c>
      <c r="BO1697" s="474">
        <v>912</v>
      </c>
      <c r="BP1697" s="474">
        <v>884</v>
      </c>
      <c r="BQ1697" s="474">
        <v>932</v>
      </c>
      <c r="BR1697" s="474">
        <v>862</v>
      </c>
      <c r="BS1697" s="474">
        <v>889</v>
      </c>
      <c r="BT1697" s="474">
        <v>947</v>
      </c>
      <c r="BU1697" s="474">
        <v>906</v>
      </c>
      <c r="BV1697" s="474">
        <v>916</v>
      </c>
      <c r="BW1697" s="474">
        <v>915</v>
      </c>
      <c r="BX1697" s="474">
        <v>827</v>
      </c>
      <c r="BY1697" s="474">
        <v>849</v>
      </c>
      <c r="BZ1697" s="474">
        <v>747</v>
      </c>
      <c r="CA1697" s="474">
        <v>787</v>
      </c>
      <c r="CB1697" s="474">
        <v>746</v>
      </c>
      <c r="CC1697" s="474">
        <v>747</v>
      </c>
      <c r="CD1697" s="474">
        <v>737</v>
      </c>
      <c r="CE1697" s="474">
        <v>745</v>
      </c>
      <c r="CF1697" s="474">
        <v>680</v>
      </c>
      <c r="CG1697" s="474">
        <v>701</v>
      </c>
      <c r="CH1697" s="474">
        <v>697</v>
      </c>
      <c r="CI1697" s="474">
        <v>697</v>
      </c>
      <c r="CJ1697" s="474">
        <v>718</v>
      </c>
      <c r="CK1697" s="474">
        <v>744</v>
      </c>
      <c r="CL1697" s="474">
        <v>543</v>
      </c>
      <c r="CM1697" s="474">
        <v>528</v>
      </c>
      <c r="CN1697" s="474">
        <v>542</v>
      </c>
      <c r="CO1697" s="474">
        <v>437</v>
      </c>
      <c r="CP1697" s="474">
        <v>390</v>
      </c>
      <c r="CQ1697" s="474">
        <v>363</v>
      </c>
      <c r="CR1697" s="474">
        <v>328</v>
      </c>
      <c r="CS1697" s="474">
        <v>306</v>
      </c>
      <c r="CT1697" s="474">
        <v>271</v>
      </c>
      <c r="CU1697" s="474">
        <v>211</v>
      </c>
      <c r="CV1697" s="474">
        <v>208</v>
      </c>
      <c r="CW1697" s="474">
        <v>147</v>
      </c>
      <c r="CX1697" s="474">
        <v>131</v>
      </c>
      <c r="CY1697" s="474">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1731</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74">
        <v>645</v>
      </c>
      <c r="N1698" s="474">
        <v>694</v>
      </c>
      <c r="O1698" s="474">
        <v>669</v>
      </c>
      <c r="P1698" s="474">
        <v>760</v>
      </c>
      <c r="Q1698" s="474">
        <v>740</v>
      </c>
      <c r="R1698" s="474">
        <v>727</v>
      </c>
      <c r="S1698" s="474">
        <v>786</v>
      </c>
      <c r="T1698" s="474">
        <v>791</v>
      </c>
      <c r="U1698" s="474">
        <v>773</v>
      </c>
      <c r="V1698" s="474">
        <v>817</v>
      </c>
      <c r="W1698" s="474">
        <v>873</v>
      </c>
      <c r="X1698" s="474">
        <v>853</v>
      </c>
      <c r="Y1698" s="474">
        <v>858</v>
      </c>
      <c r="Z1698" s="474">
        <v>867</v>
      </c>
      <c r="AA1698" s="474">
        <v>882</v>
      </c>
      <c r="AB1698" s="474">
        <v>828</v>
      </c>
      <c r="AC1698" s="474">
        <v>852</v>
      </c>
      <c r="AD1698" s="474">
        <v>834</v>
      </c>
      <c r="AE1698" s="474">
        <v>822</v>
      </c>
      <c r="AF1698" s="474">
        <v>691</v>
      </c>
      <c r="AG1698" s="474">
        <v>622</v>
      </c>
      <c r="AH1698" s="474">
        <v>632</v>
      </c>
      <c r="AI1698" s="474">
        <v>665</v>
      </c>
      <c r="AJ1698" s="474">
        <v>726</v>
      </c>
      <c r="AK1698" s="474">
        <v>779</v>
      </c>
      <c r="AL1698" s="474">
        <v>786</v>
      </c>
      <c r="AM1698" s="474">
        <v>814</v>
      </c>
      <c r="AN1698" s="474">
        <v>776</v>
      </c>
      <c r="AO1698" s="474">
        <v>844</v>
      </c>
      <c r="AP1698" s="474">
        <v>828</v>
      </c>
      <c r="AQ1698" s="474">
        <v>844</v>
      </c>
      <c r="AR1698" s="474">
        <v>781</v>
      </c>
      <c r="AS1698" s="474">
        <v>903</v>
      </c>
      <c r="AT1698" s="474">
        <v>892</v>
      </c>
      <c r="AU1698" s="474">
        <v>864</v>
      </c>
      <c r="AV1698" s="474">
        <v>903</v>
      </c>
      <c r="AW1698" s="474">
        <v>886</v>
      </c>
      <c r="AX1698" s="474">
        <v>939</v>
      </c>
      <c r="AY1698" s="474">
        <v>912</v>
      </c>
      <c r="AZ1698" s="474">
        <v>855</v>
      </c>
      <c r="BA1698" s="474">
        <v>853</v>
      </c>
      <c r="BB1698" s="474">
        <v>823</v>
      </c>
      <c r="BC1698" s="474">
        <v>886</v>
      </c>
      <c r="BD1698" s="474">
        <v>921</v>
      </c>
      <c r="BE1698" s="474">
        <v>882</v>
      </c>
      <c r="BF1698" s="474">
        <v>726</v>
      </c>
      <c r="BG1698" s="474">
        <v>757</v>
      </c>
      <c r="BH1698" s="474">
        <v>801</v>
      </c>
      <c r="BI1698" s="474">
        <v>794</v>
      </c>
      <c r="BJ1698" s="474">
        <v>783</v>
      </c>
      <c r="BK1698" s="474">
        <v>908</v>
      </c>
      <c r="BL1698" s="474">
        <v>954</v>
      </c>
      <c r="BM1698" s="474">
        <v>1009</v>
      </c>
      <c r="BN1698" s="474">
        <v>1001</v>
      </c>
      <c r="BO1698" s="474">
        <v>1001</v>
      </c>
      <c r="BP1698" s="474">
        <v>969</v>
      </c>
      <c r="BQ1698" s="474">
        <v>962</v>
      </c>
      <c r="BR1698" s="474">
        <v>993</v>
      </c>
      <c r="BS1698" s="474">
        <v>983</v>
      </c>
      <c r="BT1698" s="474">
        <v>975</v>
      </c>
      <c r="BU1698" s="474">
        <v>962</v>
      </c>
      <c r="BV1698" s="474">
        <v>895</v>
      </c>
      <c r="BW1698" s="474">
        <v>892</v>
      </c>
      <c r="BX1698" s="474">
        <v>838</v>
      </c>
      <c r="BY1698" s="474">
        <v>735</v>
      </c>
      <c r="BZ1698" s="474">
        <v>787</v>
      </c>
      <c r="CA1698" s="474">
        <v>784</v>
      </c>
      <c r="CB1698" s="474">
        <v>763</v>
      </c>
      <c r="CC1698" s="474">
        <v>694</v>
      </c>
      <c r="CD1698" s="474">
        <v>683</v>
      </c>
      <c r="CE1698" s="474">
        <v>703</v>
      </c>
      <c r="CF1698" s="474">
        <v>668</v>
      </c>
      <c r="CG1698" s="474">
        <v>663</v>
      </c>
      <c r="CH1698" s="474">
        <v>662</v>
      </c>
      <c r="CI1698" s="474">
        <v>675</v>
      </c>
      <c r="CJ1698" s="474">
        <v>680</v>
      </c>
      <c r="CK1698" s="474">
        <v>725</v>
      </c>
      <c r="CL1698" s="474">
        <v>549</v>
      </c>
      <c r="CM1698" s="474">
        <v>478</v>
      </c>
      <c r="CN1698" s="474">
        <v>487</v>
      </c>
      <c r="CO1698" s="474">
        <v>472</v>
      </c>
      <c r="CP1698" s="474">
        <v>402</v>
      </c>
      <c r="CQ1698" s="474">
        <v>321</v>
      </c>
      <c r="CR1698" s="474">
        <v>281</v>
      </c>
      <c r="CS1698" s="474">
        <v>251</v>
      </c>
      <c r="CT1698" s="474">
        <v>253</v>
      </c>
      <c r="CU1698" s="474">
        <v>212</v>
      </c>
      <c r="CV1698" s="474">
        <v>195</v>
      </c>
      <c r="CW1698" s="474">
        <v>135</v>
      </c>
      <c r="CX1698" s="474">
        <v>112</v>
      </c>
      <c r="CY1698" s="474">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25">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5">
      <c r="A1700" s="30" t="s">
        <v>38</v>
      </c>
      <c r="B1700" s="1" t="s">
        <v>1732</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1733</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1734</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1735</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1736</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1737</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1738</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1739</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1740</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1741</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1742</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25">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5">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739" t="s">
        <v>1743</v>
      </c>
      <c r="B1714" s="740"/>
      <c r="C1714" s="741"/>
      <c r="D1714" s="738"/>
      <c r="E1714" s="738"/>
      <c r="F1714" s="738"/>
      <c r="G1714" s="738"/>
      <c r="H1714" s="738"/>
      <c r="I1714" s="738"/>
      <c r="J1714" s="738"/>
      <c r="K1714" s="738"/>
      <c r="L1714" s="738"/>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494" t="s">
        <v>1744</v>
      </c>
      <c r="E1716" s="495" t="s">
        <v>1745</v>
      </c>
      <c r="F1716" s="494"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496" t="s">
        <v>1747</v>
      </c>
      <c r="E1717" s="496" t="s">
        <v>1747</v>
      </c>
      <c r="F1717" s="496"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496">
        <v>2023</v>
      </c>
      <c r="E1718" s="497">
        <v>2024</v>
      </c>
      <c r="F1718" s="496">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1748</v>
      </c>
      <c r="D1719" s="498">
        <v>57690323</v>
      </c>
      <c r="E1719" s="499"/>
      <c r="F1719" s="500"/>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501" t="s">
        <v>1749</v>
      </c>
      <c r="D1720" s="502"/>
      <c r="E1720" s="503"/>
      <c r="F1720" s="498">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501" t="s">
        <v>1750</v>
      </c>
      <c r="D1721" s="502"/>
      <c r="E1721" s="504"/>
      <c r="F1721" s="719">
        <f>(F1720-D1719)/D1719</f>
        <v>2.5222393017282987E-2</v>
      </c>
      <c r="G1721" s="723">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501" t="s">
        <v>1751</v>
      </c>
      <c r="D1722" s="502"/>
      <c r="E1722" s="505"/>
      <c r="F1722" s="498">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501" t="s">
        <v>1752</v>
      </c>
      <c r="D1723" s="502"/>
      <c r="E1723" s="505"/>
      <c r="F1723" s="498">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5">
      <c r="A1726" s="739" t="s">
        <v>1753</v>
      </c>
      <c r="B1726" s="740"/>
      <c r="C1726" s="741"/>
      <c r="D1726" s="738"/>
      <c r="E1726" s="738"/>
      <c r="F1726" s="738"/>
      <c r="G1726" s="738"/>
      <c r="H1726" s="738"/>
      <c r="I1726" s="738"/>
      <c r="J1726" s="738"/>
      <c r="K1726" s="738"/>
      <c r="L1726" s="738"/>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5">
      <c r="D1727" s="81"/>
      <c r="E1727" s="81"/>
      <c r="F1727" s="81"/>
      <c r="G1727" s="81"/>
      <c r="H1727" s="81"/>
      <c r="I1727" s="81"/>
      <c r="J1727" s="506"/>
      <c r="K1727" s="507" t="s">
        <v>1754</v>
      </c>
      <c r="L1727" s="508"/>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5">
      <c r="A1728" s="490"/>
      <c r="B1728" s="491"/>
      <c r="C1728" s="20" t="s">
        <v>1755</v>
      </c>
      <c r="D1728" s="127" t="s">
        <v>1756</v>
      </c>
      <c r="E1728" s="127" t="s">
        <v>1757</v>
      </c>
      <c r="F1728" s="127" t="s">
        <v>1758</v>
      </c>
      <c r="G1728" s="127" t="s">
        <v>1759</v>
      </c>
      <c r="H1728" s="127" t="s">
        <v>1760</v>
      </c>
      <c r="I1728" s="127" t="s">
        <v>1761</v>
      </c>
      <c r="J1728" s="725" t="s">
        <v>1762</v>
      </c>
      <c r="K1728" s="726" t="s">
        <v>1763</v>
      </c>
      <c r="L1728" s="306"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5">
      <c r="A1729" s="492"/>
      <c r="C1729" s="20" t="s">
        <v>1765</v>
      </c>
      <c r="D1729" s="946" t="s">
        <v>1766</v>
      </c>
      <c r="E1729" s="947"/>
      <c r="F1729" s="947"/>
      <c r="G1729" s="947"/>
      <c r="H1729" s="947"/>
      <c r="I1729" s="948"/>
      <c r="J1729" s="727"/>
      <c r="K1729" s="727"/>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5">
      <c r="A1730" s="492"/>
      <c r="B1730" s="10">
        <v>0</v>
      </c>
      <c r="C1730" s="126" t="s">
        <v>1767</v>
      </c>
      <c r="D1730" s="130"/>
      <c r="E1730" s="130"/>
      <c r="F1730" s="130"/>
      <c r="G1730" s="130"/>
      <c r="H1730" s="130"/>
      <c r="I1730" s="130"/>
      <c r="J1730" s="727"/>
      <c r="K1730" s="727"/>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5">
      <c r="A1731" s="492"/>
      <c r="B1731" s="10">
        <v>1</v>
      </c>
      <c r="C1731" s="849" t="s">
        <v>1768</v>
      </c>
      <c r="D1731" s="436"/>
      <c r="E1731" s="436">
        <v>1.0083396326386167</v>
      </c>
      <c r="F1731" s="436">
        <v>1.0068144721288348</v>
      </c>
      <c r="G1731" s="436">
        <v>1.0052783852289084</v>
      </c>
      <c r="H1731" s="436">
        <v>1.005159569821475</v>
      </c>
      <c r="I1731" s="436">
        <v>1.005034244714381</v>
      </c>
      <c r="J1731" s="728">
        <f>(I1731-100%)/5</f>
        <v>1.0068489428761928E-3</v>
      </c>
      <c r="K1731" s="729">
        <f t="shared" ref="K1731:K1741" si="354">(I1731/100%)^(1/5)-1</f>
        <v>1.0048275559169095E-3</v>
      </c>
      <c r="L1731" s="493">
        <v>1.0048275559169095E-3</v>
      </c>
      <c r="M1731" s="12"/>
      <c r="N1731" s="437"/>
      <c r="O1731" s="438"/>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5">
      <c r="A1732" s="492" t="s">
        <v>1769</v>
      </c>
      <c r="B1732" s="10">
        <v>2</v>
      </c>
      <c r="C1732" s="184" t="s">
        <v>1770</v>
      </c>
      <c r="D1732" s="130"/>
      <c r="E1732" s="130">
        <v>0.99220867160133164</v>
      </c>
      <c r="F1732" s="130">
        <v>0.99099332816200558</v>
      </c>
      <c r="G1732" s="130">
        <v>0.99149832442765373</v>
      </c>
      <c r="H1732" s="130">
        <v>0.99306376744162606</v>
      </c>
      <c r="I1732" s="130">
        <v>0.99322960389630777</v>
      </c>
      <c r="J1732" s="728">
        <f t="shared" ref="J1732:J1741" si="355">(I1732-100%)/5</f>
        <v>-1.3540792207384466E-3</v>
      </c>
      <c r="K1732" s="729">
        <f t="shared" si="354"/>
        <v>-1.357761249247913E-3</v>
      </c>
      <c r="L1732" s="441">
        <v>-1.357761249247913E-3</v>
      </c>
      <c r="M1732" s="12"/>
      <c r="N1732" s="437"/>
      <c r="O1732" s="438"/>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5">
      <c r="A1733" s="492" t="s">
        <v>1769</v>
      </c>
      <c r="B1733" s="10">
        <v>3</v>
      </c>
      <c r="C1733" s="184" t="s">
        <v>1771</v>
      </c>
      <c r="D1733" s="130"/>
      <c r="E1733" s="130">
        <v>1.0143809141680851</v>
      </c>
      <c r="F1733" s="130">
        <v>1.0083971212477236</v>
      </c>
      <c r="G1733" s="130">
        <v>1.003626338830879</v>
      </c>
      <c r="H1733" s="130">
        <v>1.0019091820289452</v>
      </c>
      <c r="I1733" s="130">
        <v>1.0029969851890055</v>
      </c>
      <c r="J1733" s="728">
        <f t="shared" si="355"/>
        <v>5.993970378010971E-4</v>
      </c>
      <c r="K1733" s="729">
        <f t="shared" si="354"/>
        <v>5.9867977357552782E-4</v>
      </c>
      <c r="L1733" s="441">
        <v>5.9867977357552782E-4</v>
      </c>
      <c r="M1733" s="12"/>
      <c r="N1733" s="437"/>
      <c r="O1733" s="438"/>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5">
      <c r="A1734" s="492" t="s">
        <v>1769</v>
      </c>
      <c r="B1734" s="10">
        <v>4</v>
      </c>
      <c r="C1734" s="184" t="s">
        <v>1772</v>
      </c>
      <c r="D1734" s="130"/>
      <c r="E1734" s="130">
        <v>1.0119831388235714</v>
      </c>
      <c r="F1734" s="130">
        <v>1.0123152749187849</v>
      </c>
      <c r="G1734" s="130">
        <v>1.0092966846901532</v>
      </c>
      <c r="H1734" s="130">
        <v>1.0093024499843755</v>
      </c>
      <c r="I1734" s="130">
        <v>1.0058607612889943</v>
      </c>
      <c r="J1734" s="728">
        <f t="shared" si="355"/>
        <v>1.1721522577988531E-3</v>
      </c>
      <c r="K1734" s="729">
        <f t="shared" si="354"/>
        <v>1.1694139993094765E-3</v>
      </c>
      <c r="L1734" s="441">
        <v>1.1694139993094765E-3</v>
      </c>
      <c r="M1734" s="12"/>
      <c r="N1734" s="437"/>
      <c r="O1734" s="438"/>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5">
      <c r="A1735" s="492" t="s">
        <v>1769</v>
      </c>
      <c r="B1735" s="10">
        <v>5</v>
      </c>
      <c r="C1735" s="184" t="s">
        <v>1773</v>
      </c>
      <c r="D1735" s="130"/>
      <c r="E1735" s="130">
        <v>0.99868810197260138</v>
      </c>
      <c r="F1735" s="130">
        <v>0.99777419677997459</v>
      </c>
      <c r="G1735" s="130">
        <v>0.99863727568848948</v>
      </c>
      <c r="H1735" s="130">
        <v>0.99899133935284168</v>
      </c>
      <c r="I1735" s="130">
        <v>1.0032834988438057</v>
      </c>
      <c r="J1735" s="728">
        <f t="shared" si="355"/>
        <v>6.5669976876114866E-4</v>
      </c>
      <c r="K1735" s="729">
        <f t="shared" si="354"/>
        <v>6.5583895492138389E-4</v>
      </c>
      <c r="L1735" s="441">
        <v>6.5583895492138389E-4</v>
      </c>
      <c r="M1735" s="12"/>
      <c r="N1735" s="437"/>
      <c r="O1735" s="438"/>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5">
      <c r="A1736" s="492" t="s">
        <v>1769</v>
      </c>
      <c r="B1736" s="10">
        <v>6</v>
      </c>
      <c r="C1736" s="184" t="s">
        <v>1774</v>
      </c>
      <c r="D1736" s="130"/>
      <c r="E1736" s="130">
        <v>1.0185737392830623</v>
      </c>
      <c r="F1736" s="130">
        <v>1.018863566736369</v>
      </c>
      <c r="G1736" s="130">
        <v>1.0165082772965106</v>
      </c>
      <c r="H1736" s="130">
        <v>1.0156627003170711</v>
      </c>
      <c r="I1736" s="130">
        <v>1.0139248252188859</v>
      </c>
      <c r="J1736" s="728">
        <f t="shared" si="355"/>
        <v>2.784965043777188E-3</v>
      </c>
      <c r="K1736" s="729">
        <f t="shared" si="354"/>
        <v>2.7695813347723419E-3</v>
      </c>
      <c r="L1736" s="441">
        <v>2.7695813347723419E-3</v>
      </c>
      <c r="M1736" s="12"/>
      <c r="N1736" s="437"/>
      <c r="O1736" s="438"/>
      <c r="P1736" s="12"/>
      <c r="Q1736" s="439"/>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5">
      <c r="A1737" s="492" t="s">
        <v>1769</v>
      </c>
      <c r="B1737" s="10">
        <v>7</v>
      </c>
      <c r="C1737" s="184" t="s">
        <v>1775</v>
      </c>
      <c r="D1737" s="130"/>
      <c r="E1737" s="130">
        <v>1.0186430018515642</v>
      </c>
      <c r="F1737" s="130">
        <v>1.016281083830104</v>
      </c>
      <c r="G1737" s="130">
        <v>1.0168046783204194</v>
      </c>
      <c r="H1737" s="130">
        <v>1.0163751107042418</v>
      </c>
      <c r="I1737" s="130">
        <v>1.0143846521681685</v>
      </c>
      <c r="J1737" s="728">
        <f t="shared" si="355"/>
        <v>2.8769304336337064E-3</v>
      </c>
      <c r="K1737" s="729">
        <f t="shared" si="354"/>
        <v>2.8605184225896085E-3</v>
      </c>
      <c r="L1737" s="441">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5">
      <c r="A1738" s="492" t="s">
        <v>1769</v>
      </c>
      <c r="B1738" s="10">
        <v>8</v>
      </c>
      <c r="C1738" s="849" t="s">
        <v>1776</v>
      </c>
      <c r="D1738" s="436"/>
      <c r="E1738" s="436">
        <v>1.0115317316189907</v>
      </c>
      <c r="F1738" s="436">
        <v>1.0098854557273558</v>
      </c>
      <c r="G1738" s="436">
        <v>1.0079031437924768</v>
      </c>
      <c r="H1738" s="436">
        <v>1.0074260195736053</v>
      </c>
      <c r="I1738" s="436">
        <v>1.0072146044968846</v>
      </c>
      <c r="J1738" s="728">
        <f t="shared" si="355"/>
        <v>1.4429208993769205E-3</v>
      </c>
      <c r="K1738" s="729">
        <f t="shared" si="354"/>
        <v>1.4387747925457273E-3</v>
      </c>
      <c r="L1738" s="493">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5">
      <c r="A1739" s="492" t="s">
        <v>1769</v>
      </c>
      <c r="B1739" s="10">
        <v>9</v>
      </c>
      <c r="C1739" s="184" t="s">
        <v>1777</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728">
        <f t="shared" si="355"/>
        <v>-1.3540792207384466E-3</v>
      </c>
      <c r="K1739" s="729">
        <f t="shared" si="354"/>
        <v>-1.357761249247913E-3</v>
      </c>
      <c r="L1739" s="441">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5">
      <c r="A1740" s="492" t="s">
        <v>1769</v>
      </c>
      <c r="B1740" s="10">
        <v>10</v>
      </c>
      <c r="C1740" s="184" t="s">
        <v>1778</v>
      </c>
      <c r="D1740" s="130"/>
      <c r="E1740" s="130">
        <v>1.0101622336917053</v>
      </c>
      <c r="F1740" s="130">
        <v>1.0086801518353343</v>
      </c>
      <c r="G1740" s="130">
        <v>1.0069295256394797</v>
      </c>
      <c r="H1740" s="130">
        <v>1.0064889037252818</v>
      </c>
      <c r="I1740" s="130">
        <v>1.0062891385473149</v>
      </c>
      <c r="J1740" s="728">
        <f t="shared" si="355"/>
        <v>1.2578277094629886E-3</v>
      </c>
      <c r="K1740" s="729">
        <f t="shared" si="354"/>
        <v>1.2546753363396057E-3</v>
      </c>
      <c r="L1740" s="441">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5">
      <c r="A1741" s="492" t="s">
        <v>1769</v>
      </c>
      <c r="B1741" s="10">
        <v>11</v>
      </c>
      <c r="C1741" s="184" t="s">
        <v>1779</v>
      </c>
      <c r="D1741" s="130"/>
      <c r="E1741" s="130">
        <v>1.0095905530762708</v>
      </c>
      <c r="F1741" s="130">
        <v>1.0083132699804231</v>
      </c>
      <c r="G1741" s="130">
        <v>1.006695740502793</v>
      </c>
      <c r="H1741" s="130">
        <v>1.0063437323937274</v>
      </c>
      <c r="I1741" s="130">
        <v>1.0061665544670078</v>
      </c>
      <c r="J1741" s="728">
        <f t="shared" si="355"/>
        <v>1.2333108934015514E-3</v>
      </c>
      <c r="K1741" s="729">
        <f t="shared" si="354"/>
        <v>1.2302799891306115E-3</v>
      </c>
      <c r="L1741" s="441">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5">
      <c r="A1742" s="492" t="s">
        <v>1769</v>
      </c>
      <c r="B1742" s="10">
        <v>12</v>
      </c>
      <c r="C1742" s="184"/>
      <c r="D1742" s="126"/>
      <c r="E1742" s="126"/>
      <c r="F1742" s="126"/>
      <c r="G1742" s="126"/>
      <c r="H1742" s="126"/>
      <c r="I1742" s="126"/>
      <c r="J1742" s="728"/>
      <c r="K1742" s="729"/>
      <c r="L1742" s="730"/>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5">
      <c r="A1743" s="492" t="s">
        <v>1769</v>
      </c>
      <c r="B1743" s="10">
        <v>13</v>
      </c>
      <c r="C1743" s="126"/>
      <c r="D1743" s="126"/>
      <c r="E1743" s="126"/>
      <c r="F1743" s="126"/>
      <c r="G1743" s="126"/>
      <c r="H1743" s="126"/>
      <c r="I1743" s="126"/>
      <c r="J1743" s="728"/>
      <c r="K1743" s="729"/>
      <c r="L1743" s="730"/>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5">
      <c r="A1744" s="57"/>
      <c r="B1744" s="356">
        <v>14</v>
      </c>
      <c r="C1744" s="126"/>
      <c r="D1744" s="126"/>
      <c r="E1744" s="126"/>
      <c r="F1744" s="126"/>
      <c r="G1744" s="126"/>
      <c r="H1744" s="126"/>
      <c r="I1744" s="126"/>
      <c r="J1744" s="728"/>
      <c r="K1744" s="729"/>
      <c r="L1744" s="730"/>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5">
      <c r="B1745" s="10">
        <v>15</v>
      </c>
      <c r="C1745" s="126"/>
      <c r="D1745" s="126"/>
      <c r="E1745" s="126"/>
      <c r="F1745" s="126"/>
      <c r="G1745" s="126"/>
      <c r="H1745" s="126"/>
      <c r="I1745" s="126"/>
      <c r="J1745" s="724" t="s">
        <v>1780</v>
      </c>
      <c r="K1745" s="727"/>
      <c r="L1745" s="305"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5">
      <c r="E1746" s="14"/>
      <c r="J1746" s="724" t="s">
        <v>1782</v>
      </c>
      <c r="K1746" s="727"/>
      <c r="L1746" s="305"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5">
      <c r="E1747" s="447" t="s">
        <v>1784</v>
      </c>
      <c r="F1747" s="737"/>
      <c r="G1747" s="737"/>
      <c r="H1747" s="737"/>
      <c r="I1747" s="737"/>
      <c r="J1747" s="724" t="s">
        <v>1785</v>
      </c>
      <c r="K1747" s="727"/>
      <c r="L1747" s="305" t="s">
        <v>1786</v>
      </c>
      <c r="M1747" s="12"/>
      <c r="N1747" s="12"/>
      <c r="O1747" s="12"/>
      <c r="P1747" s="12"/>
      <c r="Q1747" s="12"/>
      <c r="R1747" s="440"/>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5">
      <c r="E1748" s="14"/>
      <c r="L1748" s="305" t="s">
        <v>1787</v>
      </c>
      <c r="M1748" s="12"/>
      <c r="N1748" s="12"/>
      <c r="O1748" s="12"/>
      <c r="P1748" s="12"/>
      <c r="Q1748" s="12"/>
      <c r="R1748" s="440"/>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5">
      <c r="E1749" s="14"/>
      <c r="L1749" s="305"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5">
      <c r="E1750" s="14"/>
      <c r="L1750" s="305"/>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5">
      <c r="C1751" s="10"/>
      <c r="L1751" s="305"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5">
      <c r="C1752" s="10"/>
      <c r="L1752" s="305" t="s">
        <v>1790</v>
      </c>
      <c r="M1752" s="12"/>
      <c r="N1752" s="12"/>
      <c r="O1752" s="506"/>
      <c r="P1752" s="507" t="s">
        <v>1791</v>
      </c>
      <c r="Q1752" s="508"/>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4" hidden="1" customHeight="1" x14ac:dyDescent="0.25">
      <c r="C1753" s="10"/>
      <c r="M1753" s="12"/>
      <c r="N1753" s="12"/>
      <c r="O1753" s="736" t="s">
        <v>1762</v>
      </c>
      <c r="P1753" s="736" t="s">
        <v>1763</v>
      </c>
      <c r="Q1753" s="734"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5">
      <c r="A1754" s="490"/>
      <c r="B1754" s="491"/>
      <c r="C1754" s="849" t="s">
        <v>1768</v>
      </c>
      <c r="D1754" s="436"/>
      <c r="E1754" s="436">
        <f>E1731</f>
        <v>1.0083396326386167</v>
      </c>
      <c r="F1754" s="436">
        <f t="shared" ref="F1754:I1754" si="357">F1731</f>
        <v>1.0068144721288348</v>
      </c>
      <c r="G1754" s="436">
        <f t="shared" si="357"/>
        <v>1.0052783852289084</v>
      </c>
      <c r="H1754" s="436">
        <f t="shared" si="357"/>
        <v>1.005159569821475</v>
      </c>
      <c r="I1754" s="436">
        <f t="shared" si="357"/>
        <v>1.005034244714381</v>
      </c>
      <c r="J1754" s="436">
        <v>1.0049046476669568</v>
      </c>
      <c r="K1754" s="436">
        <v>1.0047743417635073</v>
      </c>
      <c r="L1754" s="436">
        <v>1.0046496264171023</v>
      </c>
      <c r="M1754" s="436">
        <v>1.0045344880171496</v>
      </c>
      <c r="N1754" s="436">
        <v>1.0044234456443373</v>
      </c>
      <c r="O1754" s="728">
        <f>(N1754-100%)/10</f>
        <v>4.4234456443372763E-4</v>
      </c>
      <c r="P1754" s="729">
        <f>(N1754/100%)^(1/10)-1</f>
        <v>4.4146651409882054E-4</v>
      </c>
      <c r="Q1754" s="446">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5">
      <c r="A1755" s="492" t="s">
        <v>1792</v>
      </c>
      <c r="C1755" s="126" t="s">
        <v>1770</v>
      </c>
      <c r="D1755" s="731"/>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728">
        <f t="shared" ref="O1755:O1764" si="359">(N1755-100%)/10</f>
        <v>-2.7495426767735196E-4</v>
      </c>
      <c r="P1755" s="729">
        <f t="shared" ref="P1755:P1764" si="360">(N1755/100%)^(1/10)-1</f>
        <v>-2.7529506059797981E-4</v>
      </c>
      <c r="Q1755" s="735">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5">
      <c r="A1756" s="492" t="s">
        <v>1792</v>
      </c>
      <c r="C1756" s="126" t="s">
        <v>1771</v>
      </c>
      <c r="D1756" s="731"/>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728">
        <f t="shared" si="359"/>
        <v>-1.8398147543005061E-4</v>
      </c>
      <c r="P1756" s="729">
        <f t="shared" si="360"/>
        <v>-1.8413397447925028E-4</v>
      </c>
      <c r="Q1756" s="735">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5">
      <c r="A1757" s="492" t="s">
        <v>1792</v>
      </c>
      <c r="C1757" s="126" t="s">
        <v>1772</v>
      </c>
      <c r="D1757" s="731"/>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728">
        <f t="shared" si="359"/>
        <v>2.8297433769999272E-4</v>
      </c>
      <c r="P1757" s="729">
        <f t="shared" si="360"/>
        <v>2.8261464701917483E-4</v>
      </c>
      <c r="Q1757" s="735">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5">
      <c r="A1758" s="492" t="s">
        <v>1792</v>
      </c>
      <c r="C1758" s="126" t="s">
        <v>1773</v>
      </c>
      <c r="D1758" s="731"/>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728">
        <f t="shared" si="359"/>
        <v>1.4722659182130116E-3</v>
      </c>
      <c r="P1758" s="729">
        <f t="shared" si="360"/>
        <v>1.4626018574257493E-3</v>
      </c>
      <c r="Q1758" s="735">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5">
      <c r="A1759" s="492" t="s">
        <v>1792</v>
      </c>
      <c r="C1759" s="126" t="s">
        <v>1774</v>
      </c>
      <c r="D1759" s="731"/>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728">
        <f t="shared" si="359"/>
        <v>-1.2706952153392903E-4</v>
      </c>
      <c r="P1759" s="729">
        <f t="shared" si="360"/>
        <v>-1.2714224004750641E-4</v>
      </c>
      <c r="Q1759" s="735">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5">
      <c r="A1760" s="492" t="s">
        <v>1792</v>
      </c>
      <c r="C1760" s="126" t="s">
        <v>1775</v>
      </c>
      <c r="D1760" s="731"/>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728">
        <f t="shared" si="359"/>
        <v>1.997144648803051E-3</v>
      </c>
      <c r="P1760" s="729">
        <f t="shared" si="360"/>
        <v>1.9794197965237181E-3</v>
      </c>
      <c r="Q1760" s="735">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5">
      <c r="A1761" s="492" t="s">
        <v>1792</v>
      </c>
      <c r="C1761" s="849" t="s">
        <v>1776</v>
      </c>
      <c r="D1761" s="436"/>
      <c r="E1761" s="436">
        <f t="shared" si="358"/>
        <v>1.0115317316189907</v>
      </c>
      <c r="F1761" s="436">
        <f t="shared" si="358"/>
        <v>1.0098854557273558</v>
      </c>
      <c r="G1761" s="436">
        <f t="shared" si="358"/>
        <v>1.0079031437924768</v>
      </c>
      <c r="H1761" s="436">
        <f t="shared" si="358"/>
        <v>1.0074260195736053</v>
      </c>
      <c r="I1761" s="436">
        <f t="shared" si="358"/>
        <v>1.0072146044968846</v>
      </c>
      <c r="J1761" s="436">
        <v>1.0071891367326733</v>
      </c>
      <c r="K1761" s="436">
        <v>1.0067029595434946</v>
      </c>
      <c r="L1761" s="436">
        <v>1.0062767419722747</v>
      </c>
      <c r="M1761" s="436">
        <v>1.005993095083189</v>
      </c>
      <c r="N1761" s="436">
        <v>1.0056686088348645</v>
      </c>
      <c r="O1761" s="728">
        <f t="shared" si="359"/>
        <v>5.6686088348645303E-4</v>
      </c>
      <c r="P1761" s="729">
        <f t="shared" si="360"/>
        <v>5.6542006284843183E-4</v>
      </c>
      <c r="Q1761" s="446">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5">
      <c r="A1762" s="492" t="s">
        <v>1792</v>
      </c>
      <c r="C1762" s="126" t="s">
        <v>1777</v>
      </c>
      <c r="D1762" s="731"/>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728">
        <f t="shared" si="359"/>
        <v>-2.7495426767735196E-4</v>
      </c>
      <c r="P1762" s="729">
        <f t="shared" si="360"/>
        <v>-2.7529506059797981E-4</v>
      </c>
      <c r="Q1762" s="735">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5">
      <c r="A1763" s="492" t="s">
        <v>1792</v>
      </c>
      <c r="C1763" s="126" t="s">
        <v>1778</v>
      </c>
      <c r="D1763" s="731"/>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728">
        <f t="shared" si="359"/>
        <v>5.0246174221415532E-4</v>
      </c>
      <c r="P1763" s="729">
        <f t="shared" si="360"/>
        <v>5.0132923936385687E-4</v>
      </c>
      <c r="Q1763" s="735">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5">
      <c r="A1764" s="492" t="s">
        <v>1792</v>
      </c>
      <c r="C1764" s="126" t="s">
        <v>1779</v>
      </c>
      <c r="D1764" s="731"/>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728">
        <f t="shared" si="359"/>
        <v>4.9267004020239205E-4</v>
      </c>
      <c r="P1764" s="729">
        <f t="shared" si="360"/>
        <v>4.9158117922520894E-4</v>
      </c>
      <c r="Q1764" s="735">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5">
      <c r="A1765" s="492" t="s">
        <v>1792</v>
      </c>
      <c r="C1765" s="126"/>
      <c r="D1765" s="731"/>
      <c r="E1765" s="731"/>
      <c r="F1765" s="731"/>
      <c r="G1765" s="731"/>
      <c r="H1765" s="731"/>
      <c r="I1765" s="731"/>
      <c r="J1765" s="731"/>
      <c r="K1765" s="731"/>
      <c r="L1765" s="731"/>
      <c r="M1765" s="731"/>
      <c r="N1765" s="731"/>
      <c r="O1765" s="728"/>
      <c r="P1765" s="729"/>
      <c r="Q1765" s="73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5">
      <c r="A1766" s="492" t="s">
        <v>1792</v>
      </c>
      <c r="C1766" s="126"/>
      <c r="D1766" s="731"/>
      <c r="E1766" s="731"/>
      <c r="F1766" s="731"/>
      <c r="G1766" s="731"/>
      <c r="H1766" s="731"/>
      <c r="I1766" s="731"/>
      <c r="J1766" s="731"/>
      <c r="K1766" s="731"/>
      <c r="L1766" s="731"/>
      <c r="M1766" s="731"/>
      <c r="N1766" s="731"/>
      <c r="O1766" s="728"/>
      <c r="P1766" s="729"/>
      <c r="Q1766" s="73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5">
      <c r="A1767" s="57"/>
      <c r="B1767" s="356"/>
      <c r="C1767" s="126"/>
      <c r="D1767" s="731"/>
      <c r="E1767" s="731"/>
      <c r="F1767" s="731"/>
      <c r="G1767" s="731"/>
      <c r="H1767" s="731"/>
      <c r="I1767" s="731"/>
      <c r="J1767" s="731"/>
      <c r="K1767" s="731"/>
      <c r="L1767" s="731"/>
      <c r="M1767" s="731"/>
      <c r="N1767" s="731"/>
      <c r="O1767" s="728"/>
      <c r="P1767" s="729"/>
      <c r="Q1767" s="732"/>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5">
      <c r="C1768" s="10"/>
      <c r="E1768" s="14"/>
      <c r="M1768" s="12"/>
      <c r="N1768" s="12"/>
      <c r="O1768" s="724" t="s">
        <v>1780</v>
      </c>
      <c r="P1768" s="727"/>
      <c r="Q1768" s="733"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5">
      <c r="E1769" s="447" t="s">
        <v>1784</v>
      </c>
      <c r="F1769" s="737"/>
      <c r="G1769" s="447"/>
      <c r="H1769" s="737"/>
      <c r="I1769" s="737"/>
      <c r="M1769" s="12"/>
      <c r="N1769" s="12"/>
      <c r="O1769" s="724" t="s">
        <v>1782</v>
      </c>
      <c r="P1769" s="727"/>
      <c r="Q1769" s="733"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5">
      <c r="C1770" s="10"/>
      <c r="E1770" s="14"/>
      <c r="M1770" s="12"/>
      <c r="N1770" s="12"/>
      <c r="O1770" s="724" t="s">
        <v>1785</v>
      </c>
      <c r="P1770" s="727"/>
      <c r="Q1770" s="733"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739" t="s">
        <v>1753</v>
      </c>
      <c r="B1771" s="740"/>
      <c r="C1771" s="741"/>
      <c r="D1771" s="738"/>
      <c r="E1771" s="738"/>
      <c r="F1771" s="738"/>
      <c r="G1771" s="738"/>
      <c r="H1771" s="738"/>
      <c r="I1771" s="738"/>
      <c r="J1771" s="738"/>
      <c r="K1771" s="738"/>
      <c r="L1771" s="738"/>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507" t="s">
        <v>1754</v>
      </c>
      <c r="E1772" s="507" t="s">
        <v>1791</v>
      </c>
      <c r="M1772" s="12"/>
      <c r="N1772" s="12"/>
      <c r="O1772" s="12"/>
      <c r="P1772" s="12"/>
      <c r="Q1772" s="733"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490"/>
      <c r="B1773" s="491"/>
      <c r="C1773" s="20" t="s">
        <v>1755</v>
      </c>
      <c r="D1773" s="306" t="s">
        <v>1764</v>
      </c>
      <c r="E1773" s="306" t="s">
        <v>1764</v>
      </c>
      <c r="M1773" s="12"/>
      <c r="N1773" s="12"/>
      <c r="O1773" s="12"/>
      <c r="P1773" s="12"/>
      <c r="Q1773" s="733"/>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492"/>
      <c r="C1774" s="20" t="s">
        <v>1765</v>
      </c>
      <c r="E1774" s="14"/>
      <c r="M1774" s="12"/>
      <c r="N1774" s="12"/>
      <c r="O1774" s="12"/>
      <c r="P1774" s="12"/>
      <c r="Q1774" s="733"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492"/>
      <c r="B1775" s="10">
        <v>0</v>
      </c>
      <c r="C1775" s="126" t="s">
        <v>1767</v>
      </c>
      <c r="E1775" s="14"/>
      <c r="M1775" s="12"/>
      <c r="N1775" s="12"/>
      <c r="O1775" s="12"/>
      <c r="P1775" s="12"/>
      <c r="Q1775" s="733"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492"/>
      <c r="B1776" s="10">
        <v>1</v>
      </c>
      <c r="C1776" s="849" t="s">
        <v>1768</v>
      </c>
      <c r="D1776" s="858">
        <v>6.1244446078418946E-3</v>
      </c>
      <c r="E1776" s="858">
        <v>5.3906024298502331E-3</v>
      </c>
      <c r="F1776" s="305"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492" t="s">
        <v>1769</v>
      </c>
      <c r="B1777" s="10">
        <v>2</v>
      </c>
      <c r="C1777" s="184" t="s">
        <v>1770</v>
      </c>
      <c r="D1777" s="857">
        <v>-7.8016393354566338E-3</v>
      </c>
      <c r="E1777" s="857">
        <v>-6.3705142428090999E-3</v>
      </c>
      <c r="F1777" s="305" t="s">
        <v>1783</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492" t="s">
        <v>1769</v>
      </c>
      <c r="B1778" s="10">
        <v>3</v>
      </c>
      <c r="C1778" s="184" t="s">
        <v>1771</v>
      </c>
      <c r="D1778" s="857">
        <v>6.2514987067481265E-3</v>
      </c>
      <c r="E1778" s="857">
        <v>3.5265583166539383E-3</v>
      </c>
      <c r="F1778" s="305" t="s">
        <v>1786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492" t="s">
        <v>1769</v>
      </c>
      <c r="B1779" s="10">
        <v>4</v>
      </c>
      <c r="C1779" s="184" t="s">
        <v>1772</v>
      </c>
      <c r="D1779" s="857">
        <v>9.748976115757868E-3</v>
      </c>
      <c r="E1779" s="857">
        <v>6.7166791378556745E-3</v>
      </c>
      <c r="F1779" s="305" t="s">
        <v>1787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492" t="s">
        <v>1769</v>
      </c>
      <c r="B1780" s="10">
        <v>5</v>
      </c>
      <c r="C1780" s="184" t="s">
        <v>1773</v>
      </c>
      <c r="D1780" s="857">
        <v>-5.2701042928582353E-4</v>
      </c>
      <c r="E1780" s="857">
        <v>4.4497734674939782E-3</v>
      </c>
      <c r="F1780" s="305" t="s">
        <v>1794</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492" t="s">
        <v>1769</v>
      </c>
      <c r="B1781" s="10">
        <v>6</v>
      </c>
      <c r="C1781" s="184" t="s">
        <v>1774</v>
      </c>
      <c r="D1781" s="857">
        <v>1.670494871211603E-2</v>
      </c>
      <c r="E1781" s="857">
        <v>1.0992356943558379E-2</v>
      </c>
      <c r="F1781" s="305"/>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492" t="s">
        <v>1769</v>
      </c>
      <c r="B1782" s="10">
        <v>7</v>
      </c>
      <c r="C1782" s="184" t="s">
        <v>1775</v>
      </c>
      <c r="D1782" s="857">
        <v>1.649679802463222E-2</v>
      </c>
      <c r="E1782" s="857">
        <v>1.7408508457293692E-2</v>
      </c>
      <c r="F1782" s="305"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492" t="s">
        <v>1769</v>
      </c>
      <c r="B1783" s="10">
        <v>8</v>
      </c>
      <c r="C1783" s="849" t="s">
        <v>1776</v>
      </c>
      <c r="D1783" s="858">
        <v>8.7908194773067497E-3</v>
      </c>
      <c r="E1783" s="858">
        <v>7.5776637279063586E-3</v>
      </c>
      <c r="F1783" s="305"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492" t="s">
        <v>1769</v>
      </c>
      <c r="B1784" s="10">
        <v>9</v>
      </c>
      <c r="C1784" s="184" t="s">
        <v>1777</v>
      </c>
      <c r="D1784" s="857">
        <f>D1777</f>
        <v>-7.8016393354566338E-3</v>
      </c>
      <c r="E1784" s="857">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492" t="s">
        <v>1769</v>
      </c>
      <c r="B1785" s="10">
        <v>10</v>
      </c>
      <c r="C1785" s="184" t="s">
        <v>1778</v>
      </c>
      <c r="D1785" s="857">
        <v>9.1877436581744298E-3</v>
      </c>
      <c r="E1785" s="857">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492" t="s">
        <v>1769</v>
      </c>
      <c r="B1786" s="10">
        <v>11</v>
      </c>
      <c r="C1786" s="184" t="s">
        <v>1779</v>
      </c>
      <c r="D1786" s="857">
        <v>8.4136487204315991E-3</v>
      </c>
      <c r="E1786" s="857">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492" t="s">
        <v>1769</v>
      </c>
      <c r="B1787" s="10">
        <v>12</v>
      </c>
      <c r="C1787" s="184"/>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492" t="s">
        <v>1769</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356">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6"/>
      <c r="E1790" s="447"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09375" defaultRowHeight="15" x14ac:dyDescent="0.25"/>
  <cols>
    <col min="1" max="1" width="28.88671875" style="608" customWidth="1"/>
    <col min="2" max="2" width="7.109375" style="676" customWidth="1"/>
    <col min="3" max="3" width="8.109375" style="608" customWidth="1"/>
    <col min="4" max="5" width="8.109375" style="678" customWidth="1"/>
    <col min="6" max="8" width="8.109375" style="676" customWidth="1"/>
    <col min="9" max="13" width="8.109375" style="608" customWidth="1"/>
    <col min="14" max="14" width="8.88671875" style="608" customWidth="1"/>
    <col min="15" max="24" width="8.109375" style="608" customWidth="1"/>
    <col min="25" max="25" width="12.109375" style="608" customWidth="1"/>
    <col min="26" max="43" width="8.109375" style="608" customWidth="1"/>
    <col min="44" max="16384" width="9.109375" style="608"/>
  </cols>
  <sheetData>
    <row r="1" spans="1:51" ht="30.6" customHeight="1" x14ac:dyDescent="0.25">
      <c r="A1" s="603" t="s">
        <v>1795</v>
      </c>
      <c r="B1" s="604"/>
      <c r="C1" s="604"/>
      <c r="D1" s="604"/>
      <c r="E1" s="604"/>
      <c r="F1" s="604"/>
      <c r="G1" s="604"/>
      <c r="H1" s="604"/>
      <c r="I1" s="604"/>
      <c r="J1" s="604"/>
      <c r="K1" s="604"/>
      <c r="L1" s="604"/>
      <c r="M1" s="604"/>
      <c r="N1" s="604"/>
      <c r="O1" s="605"/>
      <c r="P1" s="605"/>
      <c r="Q1" s="605"/>
      <c r="R1" s="605"/>
      <c r="S1" s="605"/>
      <c r="T1" s="605"/>
      <c r="U1" s="605"/>
      <c r="V1" s="605"/>
      <c r="W1" s="605"/>
      <c r="X1" s="605"/>
      <c r="Y1" s="605"/>
      <c r="Z1" s="605"/>
      <c r="AA1" s="605"/>
      <c r="AB1" s="605"/>
      <c r="AC1" s="605"/>
      <c r="AD1" s="605"/>
      <c r="AE1" s="605"/>
      <c r="AF1" s="605"/>
      <c r="AG1" s="606"/>
      <c r="AH1" s="606"/>
      <c r="AI1" s="606"/>
      <c r="AJ1" s="606"/>
      <c r="AK1" s="606"/>
      <c r="AL1" s="606"/>
      <c r="AM1" s="607"/>
      <c r="AN1" s="607"/>
      <c r="AO1" s="607"/>
      <c r="AP1" s="607"/>
      <c r="AQ1" s="607"/>
      <c r="AR1" s="607"/>
      <c r="AS1" s="607"/>
      <c r="AT1" s="607"/>
      <c r="AU1" s="607"/>
      <c r="AV1" s="607"/>
      <c r="AW1" s="607"/>
      <c r="AX1" s="607"/>
      <c r="AY1" s="607"/>
    </row>
    <row r="2" spans="1:51" ht="15.75" customHeight="1" x14ac:dyDescent="0.25">
      <c r="A2" s="609"/>
      <c r="B2" s="610"/>
      <c r="C2" s="501"/>
      <c r="D2" s="51"/>
      <c r="E2" s="1"/>
      <c r="F2" s="1"/>
      <c r="G2" s="1"/>
      <c r="H2" s="679" t="s">
        <v>0</v>
      </c>
      <c r="I2" s="680"/>
      <c r="J2" s="680"/>
      <c r="K2" s="680"/>
      <c r="L2" s="680"/>
      <c r="M2" s="611"/>
      <c r="N2" s="611"/>
      <c r="O2" s="611"/>
      <c r="P2" s="611"/>
      <c r="Q2" s="611"/>
      <c r="R2" s="611"/>
      <c r="S2" s="611"/>
      <c r="T2" s="611"/>
      <c r="U2" s="611"/>
      <c r="V2" s="611"/>
      <c r="W2" s="611"/>
      <c r="X2" s="611"/>
      <c r="Y2" s="611"/>
      <c r="Z2" s="611"/>
      <c r="AA2" s="611"/>
      <c r="AB2" s="611"/>
      <c r="AC2" s="606"/>
      <c r="AD2" s="606"/>
      <c r="AE2" s="606"/>
      <c r="AF2" s="606"/>
      <c r="AG2" s="606"/>
      <c r="AH2" s="606"/>
      <c r="AI2" s="606"/>
      <c r="AJ2" s="606"/>
      <c r="AK2" s="606"/>
      <c r="AL2" s="606"/>
      <c r="AM2" s="607"/>
      <c r="AN2" s="607"/>
      <c r="AO2" s="607"/>
      <c r="AP2" s="607"/>
      <c r="AQ2" s="607"/>
      <c r="AR2" s="607"/>
      <c r="AS2" s="607"/>
      <c r="AT2" s="607"/>
      <c r="AU2" s="607"/>
      <c r="AV2" s="607"/>
      <c r="AW2" s="607"/>
      <c r="AX2" s="607"/>
      <c r="AY2" s="607"/>
    </row>
    <row r="3" spans="1:51" x14ac:dyDescent="0.25">
      <c r="A3" s="612"/>
      <c r="B3" s="610"/>
      <c r="C3" s="613" t="s">
        <v>1796</v>
      </c>
      <c r="D3" s="613"/>
      <c r="E3" s="1"/>
      <c r="F3" s="1"/>
      <c r="G3" s="1"/>
      <c r="H3" s="611"/>
      <c r="I3" s="611"/>
      <c r="J3" s="611"/>
      <c r="K3" s="611"/>
      <c r="L3" s="611"/>
      <c r="M3" s="611"/>
      <c r="N3" s="611"/>
      <c r="O3" s="611"/>
      <c r="P3" s="611"/>
      <c r="Q3" s="614" t="s">
        <v>1797</v>
      </c>
      <c r="R3" s="611"/>
      <c r="S3" s="1"/>
      <c r="T3" s="1"/>
      <c r="U3" s="1"/>
      <c r="V3" s="1"/>
      <c r="W3" s="611"/>
      <c r="X3" s="611"/>
      <c r="Y3" s="611"/>
      <c r="Z3" s="611"/>
      <c r="AA3" s="611"/>
      <c r="AB3" s="611"/>
      <c r="AC3" s="606"/>
      <c r="AD3" s="606"/>
      <c r="AE3" s="606"/>
      <c r="AF3" s="606"/>
      <c r="AG3" s="606"/>
      <c r="AH3" s="606"/>
      <c r="AI3" s="606"/>
      <c r="AJ3" s="606"/>
      <c r="AK3" s="606"/>
      <c r="AL3" s="606"/>
      <c r="AM3" s="607"/>
      <c r="AN3" s="607"/>
      <c r="AO3" s="607"/>
      <c r="AP3" s="607"/>
      <c r="AQ3" s="607"/>
      <c r="AR3" s="607"/>
      <c r="AS3" s="607"/>
      <c r="AT3" s="607"/>
      <c r="AU3" s="607"/>
      <c r="AV3" s="607"/>
      <c r="AW3" s="607"/>
      <c r="AX3" s="607"/>
      <c r="AY3" s="607"/>
    </row>
    <row r="4" spans="1:51" x14ac:dyDescent="0.25">
      <c r="A4" s="612"/>
      <c r="B4" s="610"/>
      <c r="C4" s="501" t="s">
        <v>1798</v>
      </c>
      <c r="D4" s="51"/>
      <c r="E4" s="1"/>
      <c r="F4" s="1"/>
      <c r="G4" s="1"/>
      <c r="H4" s="611"/>
      <c r="I4" s="611"/>
      <c r="J4" s="611"/>
      <c r="K4" s="611"/>
      <c r="L4" s="611"/>
      <c r="M4" s="611"/>
      <c r="N4" s="611"/>
      <c r="O4" s="611"/>
      <c r="P4" s="611"/>
      <c r="Q4" s="615" t="s">
        <v>1799</v>
      </c>
      <c r="R4" s="611"/>
      <c r="S4" s="611"/>
      <c r="T4" s="611"/>
      <c r="U4" s="611"/>
      <c r="V4" s="611"/>
      <c r="W4" s="611"/>
      <c r="X4" s="611"/>
      <c r="Y4" s="611"/>
      <c r="Z4" s="611"/>
      <c r="AA4" s="611"/>
      <c r="AB4" s="611"/>
      <c r="AC4" s="606"/>
      <c r="AD4" s="606"/>
      <c r="AE4" s="606"/>
      <c r="AF4" s="606"/>
      <c r="AG4" s="606"/>
      <c r="AH4" s="606"/>
      <c r="AI4" s="606"/>
      <c r="AJ4" s="606"/>
      <c r="AK4" s="606"/>
      <c r="AL4" s="606"/>
      <c r="AM4" s="607"/>
      <c r="AN4" s="606"/>
      <c r="AO4" s="606"/>
      <c r="AP4" s="607"/>
      <c r="AQ4" s="607"/>
      <c r="AR4" s="607"/>
      <c r="AS4" s="607"/>
      <c r="AT4" s="607"/>
      <c r="AU4" s="607"/>
      <c r="AV4" s="607"/>
      <c r="AW4" s="607"/>
      <c r="AX4" s="607"/>
      <c r="AY4" s="607"/>
    </row>
    <row r="5" spans="1:51" ht="15.6" thickBot="1" x14ac:dyDescent="0.3">
      <c r="A5" s="616"/>
      <c r="B5" s="617"/>
      <c r="C5" s="1"/>
      <c r="D5" s="1"/>
      <c r="E5" s="1"/>
      <c r="F5" s="1"/>
      <c r="G5" s="1"/>
      <c r="H5" s="611"/>
      <c r="I5" s="611"/>
      <c r="J5" s="611"/>
      <c r="K5" s="611"/>
      <c r="L5" s="611"/>
      <c r="M5" s="611"/>
      <c r="N5" s="611"/>
      <c r="O5" s="611"/>
      <c r="P5" s="611"/>
      <c r="Q5" s="615" t="s">
        <v>1800</v>
      </c>
      <c r="R5" s="611"/>
      <c r="S5" s="611"/>
      <c r="T5" s="611"/>
      <c r="U5" s="611"/>
      <c r="V5" s="611"/>
      <c r="W5" s="611"/>
      <c r="X5" s="611"/>
      <c r="Y5" s="611"/>
      <c r="Z5" s="611"/>
      <c r="AA5" s="611"/>
      <c r="AB5" s="611"/>
      <c r="AC5" s="606"/>
      <c r="AD5" s="606"/>
      <c r="AE5" s="606"/>
      <c r="AF5" s="606"/>
      <c r="AG5" s="606"/>
      <c r="AH5" s="606"/>
      <c r="AI5" s="606"/>
      <c r="AJ5" s="606"/>
      <c r="AK5" s="606"/>
      <c r="AL5" s="606"/>
      <c r="AM5" s="607"/>
      <c r="AN5" s="607"/>
      <c r="AO5" s="607"/>
      <c r="AP5" s="607"/>
      <c r="AQ5" s="607"/>
      <c r="AR5" s="607"/>
      <c r="AS5" s="607"/>
      <c r="AT5" s="607"/>
      <c r="AU5" s="607"/>
      <c r="AV5" s="607"/>
      <c r="AW5" s="607"/>
      <c r="AX5" s="607"/>
      <c r="AY5" s="607"/>
    </row>
    <row r="6" spans="1:51" ht="15.6" x14ac:dyDescent="0.3">
      <c r="A6" s="616"/>
      <c r="B6" s="617"/>
      <c r="C6" s="618"/>
      <c r="D6" s="619"/>
      <c r="E6" s="619"/>
      <c r="F6" s="619"/>
      <c r="G6" s="619"/>
      <c r="H6" s="620" t="s">
        <v>1801</v>
      </c>
      <c r="I6" s="619"/>
      <c r="J6" s="619"/>
      <c r="K6" s="619"/>
      <c r="L6" s="619"/>
      <c r="M6" s="619"/>
      <c r="N6" s="621"/>
      <c r="O6" s="611"/>
      <c r="P6" s="611"/>
      <c r="Q6" s="615" t="s">
        <v>1802</v>
      </c>
      <c r="R6" s="611"/>
      <c r="S6" s="611"/>
      <c r="T6" s="611"/>
      <c r="U6" s="611"/>
      <c r="V6" s="611"/>
      <c r="W6" s="611"/>
      <c r="X6" s="611"/>
      <c r="Y6" s="611"/>
      <c r="Z6" s="611"/>
      <c r="AA6" s="611"/>
      <c r="AB6" s="611"/>
      <c r="AC6" s="606"/>
      <c r="AD6" s="606"/>
      <c r="AE6" s="606"/>
      <c r="AF6" s="606"/>
      <c r="AG6" s="606"/>
      <c r="AH6" s="606"/>
      <c r="AI6" s="606"/>
      <c r="AJ6" s="606"/>
      <c r="AK6" s="606"/>
      <c r="AL6" s="606"/>
      <c r="AM6" s="607"/>
      <c r="AN6" s="607"/>
      <c r="AO6" s="607"/>
      <c r="AP6" s="607"/>
      <c r="AQ6" s="607"/>
      <c r="AR6" s="607"/>
      <c r="AS6" s="607"/>
      <c r="AT6" s="607"/>
      <c r="AU6" s="607"/>
      <c r="AV6" s="607"/>
      <c r="AW6" s="607"/>
      <c r="AX6" s="607"/>
      <c r="AY6" s="607"/>
    </row>
    <row r="7" spans="1:51" s="627" customFormat="1" ht="15.6" thickBot="1" x14ac:dyDescent="0.3">
      <c r="A7" s="616"/>
      <c r="B7" s="617"/>
      <c r="C7" s="622" t="s">
        <v>1803</v>
      </c>
      <c r="D7" s="623">
        <v>2</v>
      </c>
      <c r="E7" s="624">
        <v>3</v>
      </c>
      <c r="F7" s="625">
        <v>4</v>
      </c>
      <c r="G7" s="625">
        <v>5</v>
      </c>
      <c r="H7" s="624">
        <v>6</v>
      </c>
      <c r="I7" s="625">
        <v>7</v>
      </c>
      <c r="J7" s="625">
        <v>8</v>
      </c>
      <c r="K7" s="624">
        <v>9</v>
      </c>
      <c r="L7" s="625">
        <v>10</v>
      </c>
      <c r="M7" s="625">
        <v>11</v>
      </c>
      <c r="N7" s="626">
        <v>12</v>
      </c>
      <c r="O7" s="611"/>
      <c r="P7" s="611"/>
      <c r="Q7" s="611"/>
      <c r="R7" s="611" t="s">
        <v>1804</v>
      </c>
      <c r="S7" s="1"/>
      <c r="T7" s="611"/>
      <c r="U7" s="611"/>
      <c r="V7" s="611"/>
      <c r="W7" s="611"/>
      <c r="X7" s="611"/>
      <c r="Y7" s="611"/>
      <c r="Z7" s="611"/>
      <c r="AA7" s="611"/>
      <c r="AB7" s="611"/>
      <c r="AC7" s="606"/>
      <c r="AD7" s="606"/>
      <c r="AE7" s="606"/>
      <c r="AF7" s="606"/>
      <c r="AG7" s="606"/>
      <c r="AH7" s="606"/>
      <c r="AI7" s="606"/>
      <c r="AJ7" s="606"/>
      <c r="AK7" s="606"/>
      <c r="AL7" s="606"/>
      <c r="AM7" s="607"/>
      <c r="AN7" s="607"/>
      <c r="AO7" s="607"/>
      <c r="AP7" s="607"/>
      <c r="AQ7" s="607"/>
      <c r="AR7" s="607"/>
      <c r="AS7" s="607"/>
      <c r="AT7" s="607"/>
      <c r="AU7" s="616"/>
      <c r="AV7" s="616"/>
      <c r="AW7" s="616"/>
      <c r="AX7" s="616"/>
      <c r="AY7" s="616"/>
    </row>
    <row r="8" spans="1:51" s="627" customFormat="1" x14ac:dyDescent="0.25">
      <c r="A8" s="616"/>
      <c r="B8" s="617"/>
      <c r="C8" s="628"/>
      <c r="D8" s="629"/>
      <c r="E8" s="630"/>
      <c r="F8" s="628"/>
      <c r="G8" s="629"/>
      <c r="H8" s="630"/>
      <c r="I8" s="631"/>
      <c r="J8" s="632"/>
      <c r="K8" s="633"/>
      <c r="L8" s="631"/>
      <c r="M8" s="632"/>
      <c r="N8" s="634">
        <v>90</v>
      </c>
      <c r="O8" s="611"/>
      <c r="P8" s="611"/>
      <c r="Q8" s="611"/>
      <c r="R8" s="611" t="s">
        <v>1805</v>
      </c>
      <c r="S8" s="1"/>
      <c r="T8" s="611"/>
      <c r="U8" s="611"/>
      <c r="V8" s="611"/>
      <c r="W8" s="611"/>
      <c r="X8" s="611"/>
      <c r="Y8" s="611"/>
      <c r="Z8" s="611"/>
      <c r="AA8" s="611"/>
      <c r="AB8" s="611"/>
      <c r="AC8" s="606"/>
      <c r="AD8" s="606"/>
      <c r="AE8" s="606"/>
      <c r="AF8" s="606"/>
      <c r="AG8" s="606"/>
      <c r="AH8" s="606"/>
      <c r="AI8" s="606"/>
      <c r="AJ8" s="606"/>
      <c r="AK8" s="606"/>
      <c r="AL8" s="606"/>
      <c r="AM8" s="607"/>
      <c r="AN8" s="607"/>
      <c r="AO8" s="607"/>
      <c r="AP8" s="607"/>
      <c r="AQ8" s="607"/>
      <c r="AR8" s="607"/>
      <c r="AS8" s="607"/>
      <c r="AT8" s="607"/>
      <c r="AU8" s="616"/>
      <c r="AV8" s="616"/>
      <c r="AW8" s="616"/>
      <c r="AX8" s="616"/>
      <c r="AY8" s="616"/>
    </row>
    <row r="9" spans="1:51" s="6" customFormat="1" ht="15.6" customHeight="1" x14ac:dyDescent="0.25">
      <c r="A9" s="616"/>
      <c r="B9" s="617"/>
      <c r="C9" s="635"/>
      <c r="D9" s="635"/>
      <c r="E9" s="635"/>
      <c r="F9" s="636"/>
      <c r="G9" s="636"/>
      <c r="H9" s="636"/>
      <c r="I9" s="637"/>
      <c r="J9" s="637"/>
      <c r="K9" s="637"/>
      <c r="L9" s="638"/>
      <c r="M9" s="639">
        <v>90</v>
      </c>
      <c r="N9" s="639">
        <v>90</v>
      </c>
      <c r="O9" s="611"/>
      <c r="P9" s="611"/>
      <c r="Q9" s="611"/>
      <c r="R9" s="611" t="s">
        <v>1806</v>
      </c>
      <c r="S9" s="1"/>
      <c r="T9" s="611"/>
      <c r="U9" s="611"/>
      <c r="V9" s="611"/>
      <c r="W9" s="611"/>
      <c r="X9" s="611"/>
      <c r="Y9" s="611"/>
      <c r="Z9" s="611"/>
      <c r="AA9" s="611"/>
      <c r="AB9" s="611"/>
      <c r="AC9" s="606"/>
      <c r="AD9" s="606"/>
      <c r="AE9" s="606"/>
      <c r="AF9" s="606"/>
      <c r="AG9" s="606"/>
      <c r="AH9" s="606"/>
      <c r="AI9" s="606"/>
      <c r="AJ9" s="606"/>
      <c r="AK9" s="606"/>
      <c r="AL9" s="606"/>
      <c r="AM9" s="607"/>
      <c r="AN9" s="607"/>
      <c r="AO9" s="607"/>
      <c r="AP9" s="607"/>
      <c r="AQ9" s="607"/>
      <c r="AR9" s="607"/>
      <c r="AS9" s="607"/>
      <c r="AT9" s="607"/>
      <c r="AU9" s="1"/>
      <c r="AV9" s="1"/>
      <c r="AW9" s="1"/>
      <c r="AX9" s="1"/>
      <c r="AY9" s="1"/>
    </row>
    <row r="10" spans="1:51" s="6" customFormat="1" ht="15.6" customHeight="1" x14ac:dyDescent="0.25">
      <c r="A10" s="616"/>
      <c r="B10" s="617"/>
      <c r="C10" s="635"/>
      <c r="D10" s="635"/>
      <c r="E10" s="635"/>
      <c r="F10" s="636"/>
      <c r="G10" s="636"/>
      <c r="H10" s="636"/>
      <c r="I10" s="637"/>
      <c r="J10" s="637"/>
      <c r="K10" s="637"/>
      <c r="L10" s="639">
        <v>90</v>
      </c>
      <c r="M10" s="639">
        <v>90</v>
      </c>
      <c r="N10" s="639">
        <v>90</v>
      </c>
      <c r="O10" s="611"/>
      <c r="P10" s="611"/>
      <c r="Q10" s="615" t="s">
        <v>1807</v>
      </c>
      <c r="R10" s="611"/>
      <c r="S10" s="611"/>
      <c r="T10" s="611"/>
      <c r="U10" s="611"/>
      <c r="V10" s="611"/>
      <c r="W10" s="611"/>
      <c r="X10" s="611"/>
      <c r="Y10" s="611"/>
      <c r="Z10" s="611"/>
      <c r="AA10" s="611"/>
      <c r="AB10" s="611"/>
      <c r="AC10" s="606"/>
      <c r="AD10" s="606"/>
      <c r="AE10" s="606"/>
      <c r="AF10" s="606"/>
      <c r="AG10" s="606"/>
      <c r="AH10" s="606"/>
      <c r="AI10" s="606"/>
      <c r="AJ10" s="606"/>
      <c r="AK10" s="606"/>
      <c r="AL10" s="606"/>
      <c r="AM10" s="607"/>
      <c r="AN10" s="607"/>
      <c r="AO10" s="607"/>
      <c r="AP10" s="607"/>
      <c r="AQ10" s="607"/>
      <c r="AR10" s="607"/>
      <c r="AS10" s="607"/>
      <c r="AT10" s="607"/>
      <c r="AU10" s="1"/>
      <c r="AV10" s="1"/>
      <c r="AW10" s="1"/>
      <c r="AX10" s="1"/>
      <c r="AY10" s="1"/>
    </row>
    <row r="11" spans="1:51" s="6" customFormat="1" ht="15.6" customHeight="1" x14ac:dyDescent="0.25">
      <c r="A11" s="616"/>
      <c r="B11" s="617"/>
      <c r="C11" s="635"/>
      <c r="D11" s="635"/>
      <c r="E11" s="635"/>
      <c r="F11" s="636"/>
      <c r="G11" s="636"/>
      <c r="H11" s="636"/>
      <c r="I11" s="637"/>
      <c r="J11" s="637"/>
      <c r="K11" s="639">
        <v>90</v>
      </c>
      <c r="L11" s="639">
        <v>90</v>
      </c>
      <c r="M11" s="639">
        <v>90</v>
      </c>
      <c r="N11" s="639">
        <v>90</v>
      </c>
      <c r="O11" s="611"/>
      <c r="P11" s="611"/>
      <c r="Q11" s="615" t="s">
        <v>1808</v>
      </c>
      <c r="R11" s="611"/>
      <c r="S11" s="611"/>
      <c r="T11" s="611"/>
      <c r="U11" s="611"/>
      <c r="V11" s="611"/>
      <c r="W11" s="611"/>
      <c r="X11" s="611"/>
      <c r="Y11" s="611"/>
      <c r="Z11" s="611"/>
      <c r="AA11" s="611"/>
      <c r="AB11" s="611"/>
      <c r="AC11" s="606"/>
      <c r="AD11" s="606"/>
      <c r="AE11" s="606"/>
      <c r="AF11" s="606"/>
      <c r="AG11" s="606"/>
      <c r="AH11" s="606"/>
      <c r="AI11" s="606"/>
      <c r="AJ11" s="606"/>
      <c r="AK11" s="606"/>
      <c r="AL11" s="606"/>
      <c r="AM11" s="607"/>
      <c r="AN11" s="607"/>
      <c r="AO11" s="607"/>
      <c r="AP11" s="607"/>
      <c r="AQ11" s="607"/>
      <c r="AR11" s="607"/>
      <c r="AS11" s="607"/>
      <c r="AT11" s="607"/>
      <c r="AU11" s="1"/>
      <c r="AV11" s="1"/>
      <c r="AW11" s="1"/>
      <c r="AX11" s="1"/>
      <c r="AY11" s="1"/>
    </row>
    <row r="12" spans="1:51" s="6" customFormat="1" ht="15.6" customHeight="1" x14ac:dyDescent="0.25">
      <c r="A12" s="616"/>
      <c r="B12" s="617"/>
      <c r="C12" s="640"/>
      <c r="D12" s="640"/>
      <c r="E12" s="640"/>
      <c r="F12" s="641"/>
      <c r="G12" s="641"/>
      <c r="H12" s="641"/>
      <c r="I12" s="642"/>
      <c r="J12" s="639">
        <v>90</v>
      </c>
      <c r="K12" s="639">
        <v>90</v>
      </c>
      <c r="L12" s="639">
        <v>90</v>
      </c>
      <c r="M12" s="639">
        <v>90</v>
      </c>
      <c r="N12" s="639">
        <v>90</v>
      </c>
      <c r="O12" s="611"/>
      <c r="P12" s="611"/>
      <c r="Q12" s="615" t="s">
        <v>1809</v>
      </c>
      <c r="R12" s="611"/>
      <c r="S12" s="611"/>
      <c r="T12" s="611"/>
      <c r="U12" s="611"/>
      <c r="V12" s="611"/>
      <c r="W12" s="611"/>
      <c r="X12" s="611"/>
      <c r="Y12" s="611"/>
      <c r="Z12" s="611"/>
      <c r="AA12" s="611"/>
      <c r="AB12" s="611"/>
      <c r="AC12" s="606"/>
      <c r="AD12" s="606"/>
      <c r="AE12" s="606"/>
      <c r="AF12" s="606"/>
      <c r="AG12" s="606"/>
      <c r="AH12" s="606"/>
      <c r="AI12" s="606"/>
      <c r="AJ12" s="606"/>
      <c r="AK12" s="606"/>
      <c r="AL12" s="606"/>
      <c r="AM12" s="607"/>
      <c r="AN12" s="607"/>
      <c r="AO12" s="607"/>
      <c r="AP12" s="607"/>
      <c r="AQ12" s="607"/>
      <c r="AR12" s="607"/>
      <c r="AS12" s="607"/>
      <c r="AT12" s="607"/>
      <c r="AU12" s="1"/>
      <c r="AV12" s="1"/>
      <c r="AW12" s="1"/>
      <c r="AX12" s="1"/>
      <c r="AY12" s="1"/>
    </row>
    <row r="13" spans="1:51" s="6" customFormat="1" ht="15.6" customHeight="1" x14ac:dyDescent="0.25">
      <c r="A13" s="616"/>
      <c r="B13" s="617"/>
      <c r="C13" s="643"/>
      <c r="D13" s="644"/>
      <c r="E13" s="645"/>
      <c r="F13" s="646"/>
      <c r="G13" s="644"/>
      <c r="H13" s="645"/>
      <c r="I13" s="639">
        <v>90</v>
      </c>
      <c r="J13" s="639">
        <v>90</v>
      </c>
      <c r="K13" s="639">
        <v>90</v>
      </c>
      <c r="L13" s="639">
        <v>90</v>
      </c>
      <c r="M13" s="639">
        <v>90</v>
      </c>
      <c r="N13" s="639">
        <v>90</v>
      </c>
      <c r="O13" s="611"/>
      <c r="P13" s="611"/>
      <c r="Q13" s="615" t="s">
        <v>1810</v>
      </c>
      <c r="R13" s="611"/>
      <c r="S13" s="611"/>
      <c r="T13" s="611"/>
      <c r="U13" s="611"/>
      <c r="V13" s="611"/>
      <c r="W13" s="611"/>
      <c r="X13" s="611"/>
      <c r="Y13" s="611"/>
      <c r="Z13" s="611"/>
      <c r="AA13" s="611"/>
      <c r="AB13" s="611"/>
      <c r="AC13" s="606"/>
      <c r="AD13" s="606"/>
      <c r="AE13" s="606"/>
      <c r="AF13" s="606"/>
      <c r="AG13" s="606"/>
      <c r="AH13" s="606"/>
      <c r="AI13" s="606"/>
      <c r="AJ13" s="606"/>
      <c r="AK13" s="606"/>
      <c r="AL13" s="606"/>
      <c r="AM13" s="607"/>
      <c r="AN13" s="607"/>
      <c r="AO13" s="607"/>
      <c r="AP13" s="607"/>
      <c r="AQ13" s="607"/>
      <c r="AR13" s="607"/>
      <c r="AS13" s="607"/>
      <c r="AT13" s="607"/>
      <c r="AU13" s="1"/>
      <c r="AV13" s="1"/>
      <c r="AW13" s="1"/>
      <c r="AX13" s="1"/>
      <c r="AY13" s="1"/>
    </row>
    <row r="14" spans="1:51" s="6" customFormat="1" ht="15.6" customHeight="1" x14ac:dyDescent="0.25">
      <c r="A14" s="616"/>
      <c r="B14" s="617"/>
      <c r="C14" s="637"/>
      <c r="D14" s="637"/>
      <c r="E14" s="637"/>
      <c r="F14" s="638"/>
      <c r="G14" s="638"/>
      <c r="H14" s="639">
        <v>90</v>
      </c>
      <c r="I14" s="639">
        <v>90</v>
      </c>
      <c r="J14" s="639">
        <v>90</v>
      </c>
      <c r="K14" s="639">
        <v>90</v>
      </c>
      <c r="L14" s="639">
        <v>90</v>
      </c>
      <c r="M14" s="639">
        <v>90</v>
      </c>
      <c r="N14" s="639">
        <v>90</v>
      </c>
      <c r="O14" s="611"/>
      <c r="P14" s="611"/>
      <c r="Q14" s="615" t="s">
        <v>1811</v>
      </c>
      <c r="R14" s="611"/>
      <c r="S14" s="611"/>
      <c r="T14" s="611"/>
      <c r="U14" s="611"/>
      <c r="V14" s="611"/>
      <c r="W14" s="611"/>
      <c r="X14" s="611"/>
      <c r="Y14" s="611"/>
      <c r="Z14" s="611"/>
      <c r="AA14" s="611"/>
      <c r="AB14" s="611"/>
      <c r="AC14" s="606"/>
      <c r="AD14" s="606"/>
      <c r="AE14" s="606"/>
      <c r="AF14" s="606"/>
      <c r="AG14" s="606"/>
      <c r="AH14" s="606"/>
      <c r="AI14" s="606"/>
      <c r="AJ14" s="606"/>
      <c r="AK14" s="606"/>
      <c r="AL14" s="606"/>
      <c r="AM14" s="607"/>
      <c r="AN14" s="607"/>
      <c r="AO14" s="607"/>
      <c r="AP14" s="607"/>
      <c r="AQ14" s="607"/>
      <c r="AR14" s="607"/>
      <c r="AS14" s="607"/>
      <c r="AT14" s="607"/>
      <c r="AU14" s="1"/>
      <c r="AV14" s="1"/>
      <c r="AW14" s="1"/>
      <c r="AX14" s="1"/>
      <c r="AY14" s="1"/>
    </row>
    <row r="15" spans="1:51" s="6" customFormat="1" ht="15.6" customHeight="1" x14ac:dyDescent="0.25">
      <c r="A15" s="616"/>
      <c r="B15" s="617"/>
      <c r="C15" s="637"/>
      <c r="D15" s="637"/>
      <c r="E15" s="637"/>
      <c r="F15" s="638"/>
      <c r="G15" s="639">
        <v>90</v>
      </c>
      <c r="H15" s="639">
        <v>90</v>
      </c>
      <c r="I15" s="639">
        <v>90</v>
      </c>
      <c r="J15" s="639">
        <v>90</v>
      </c>
      <c r="K15" s="639">
        <v>90</v>
      </c>
      <c r="L15" s="639">
        <v>90</v>
      </c>
      <c r="M15" s="639">
        <v>90</v>
      </c>
      <c r="N15" s="639">
        <v>90</v>
      </c>
      <c r="O15" s="611"/>
      <c r="P15" s="611"/>
      <c r="Q15" s="611"/>
      <c r="R15" s="611"/>
      <c r="S15" s="611"/>
      <c r="T15" s="611"/>
      <c r="U15" s="611"/>
      <c r="V15" s="611"/>
      <c r="W15" s="611"/>
      <c r="X15" s="611"/>
      <c r="Y15" s="611"/>
      <c r="Z15" s="611"/>
      <c r="AA15" s="611"/>
      <c r="AB15" s="611"/>
      <c r="AC15" s="606"/>
      <c r="AD15" s="606"/>
      <c r="AE15" s="606"/>
      <c r="AF15" s="606"/>
      <c r="AG15" s="606"/>
      <c r="AH15" s="606"/>
      <c r="AI15" s="606"/>
      <c r="AJ15" s="606"/>
      <c r="AK15" s="606"/>
      <c r="AL15" s="606"/>
      <c r="AM15" s="607"/>
      <c r="AN15" s="607"/>
      <c r="AO15" s="607"/>
      <c r="AP15" s="607"/>
      <c r="AQ15" s="607"/>
      <c r="AR15" s="607"/>
      <c r="AS15" s="607"/>
      <c r="AT15" s="607"/>
      <c r="AU15" s="1"/>
      <c r="AV15" s="1"/>
      <c r="AW15" s="1"/>
      <c r="AX15" s="1"/>
      <c r="AY15" s="1"/>
    </row>
    <row r="16" spans="1:51" s="6" customFormat="1" ht="15.6" customHeight="1" x14ac:dyDescent="0.25">
      <c r="A16" s="616"/>
      <c r="B16" s="617"/>
      <c r="C16" s="637"/>
      <c r="D16" s="637"/>
      <c r="E16" s="637"/>
      <c r="F16" s="639">
        <v>90</v>
      </c>
      <c r="G16" s="639">
        <v>90</v>
      </c>
      <c r="H16" s="639">
        <v>90</v>
      </c>
      <c r="I16" s="639">
        <v>90</v>
      </c>
      <c r="J16" s="639">
        <v>90</v>
      </c>
      <c r="K16" s="639">
        <v>90</v>
      </c>
      <c r="L16" s="639">
        <v>90</v>
      </c>
      <c r="M16" s="639">
        <v>90</v>
      </c>
      <c r="N16" s="639">
        <v>90</v>
      </c>
      <c r="O16" s="611"/>
      <c r="P16" s="611"/>
      <c r="Q16" s="611"/>
      <c r="R16" s="611"/>
      <c r="S16" s="611"/>
      <c r="T16" s="611"/>
      <c r="U16" s="611"/>
      <c r="V16" s="611"/>
      <c r="W16" s="614" t="s">
        <v>1812</v>
      </c>
      <c r="X16" s="611"/>
      <c r="Y16" s="611"/>
      <c r="Z16" s="611"/>
      <c r="AA16" s="611"/>
      <c r="AB16" s="611"/>
      <c r="AC16" s="606"/>
      <c r="AD16" s="606"/>
      <c r="AE16" s="606"/>
      <c r="AF16" s="606"/>
      <c r="AG16" s="606"/>
      <c r="AH16" s="606"/>
      <c r="AI16" s="606"/>
      <c r="AJ16" s="606"/>
      <c r="AK16" s="606"/>
      <c r="AL16" s="606"/>
      <c r="AM16" s="607"/>
      <c r="AN16" s="607"/>
      <c r="AO16" s="607"/>
      <c r="AP16" s="607"/>
      <c r="AQ16" s="607"/>
      <c r="AR16" s="607"/>
      <c r="AS16" s="607"/>
      <c r="AT16" s="607"/>
      <c r="AU16" s="1"/>
      <c r="AV16" s="1"/>
      <c r="AW16" s="1"/>
      <c r="AX16" s="1"/>
      <c r="AY16" s="1"/>
    </row>
    <row r="17" spans="1:51" s="6" customFormat="1" ht="15.6" customHeight="1" x14ac:dyDescent="0.25">
      <c r="A17" s="616"/>
      <c r="B17" s="617"/>
      <c r="C17" s="637"/>
      <c r="D17" s="637"/>
      <c r="E17" s="639">
        <v>90</v>
      </c>
      <c r="F17" s="639">
        <v>90</v>
      </c>
      <c r="G17" s="639">
        <v>90</v>
      </c>
      <c r="H17" s="639">
        <v>90</v>
      </c>
      <c r="I17" s="639">
        <v>90</v>
      </c>
      <c r="J17" s="639">
        <v>90</v>
      </c>
      <c r="K17" s="639">
        <v>90</v>
      </c>
      <c r="L17" s="639">
        <v>90</v>
      </c>
      <c r="M17" s="639">
        <v>90</v>
      </c>
      <c r="N17" s="639">
        <v>90</v>
      </c>
      <c r="O17" s="611"/>
      <c r="P17" s="611"/>
      <c r="Q17" s="611"/>
      <c r="R17" s="611"/>
      <c r="S17" s="611"/>
      <c r="T17" s="611"/>
      <c r="U17" s="611"/>
      <c r="V17" s="611"/>
      <c r="W17" s="647" t="s">
        <v>1813</v>
      </c>
      <c r="X17" s="647" t="s">
        <v>1814</v>
      </c>
      <c r="Y17" s="647" t="s">
        <v>1815</v>
      </c>
      <c r="Z17" s="611"/>
      <c r="AA17" s="611"/>
      <c r="AB17" s="611"/>
      <c r="AC17" s="606"/>
      <c r="AD17" s="606"/>
      <c r="AE17" s="606"/>
      <c r="AF17" s="606"/>
      <c r="AG17" s="606"/>
      <c r="AH17" s="606"/>
      <c r="AI17" s="606"/>
      <c r="AJ17" s="606"/>
      <c r="AK17" s="606"/>
      <c r="AL17" s="606"/>
      <c r="AM17" s="607"/>
      <c r="AN17" s="607"/>
      <c r="AO17" s="607"/>
      <c r="AP17" s="607"/>
      <c r="AQ17" s="607"/>
      <c r="AR17" s="607"/>
      <c r="AS17" s="607"/>
      <c r="AT17" s="607"/>
      <c r="AU17" s="1"/>
      <c r="AV17" s="1"/>
      <c r="AW17" s="1"/>
      <c r="AX17" s="1"/>
      <c r="AY17" s="1"/>
    </row>
    <row r="18" spans="1:51" s="627" customFormat="1" ht="15.6" customHeight="1" x14ac:dyDescent="0.25">
      <c r="A18" s="616"/>
      <c r="B18" s="617"/>
      <c r="C18" s="637"/>
      <c r="D18" s="639">
        <v>90</v>
      </c>
      <c r="E18" s="639">
        <v>90</v>
      </c>
      <c r="F18" s="639">
        <v>90</v>
      </c>
      <c r="G18" s="639">
        <v>90</v>
      </c>
      <c r="H18" s="639">
        <v>90</v>
      </c>
      <c r="I18" s="639">
        <v>90</v>
      </c>
      <c r="J18" s="639">
        <v>90</v>
      </c>
      <c r="K18" s="639">
        <v>90</v>
      </c>
      <c r="L18" s="639">
        <v>90</v>
      </c>
      <c r="M18" s="639">
        <v>90</v>
      </c>
      <c r="N18" s="639">
        <v>90</v>
      </c>
      <c r="O18" s="611"/>
      <c r="P18" s="611"/>
      <c r="Q18" s="611"/>
      <c r="R18" s="611"/>
      <c r="S18" s="611"/>
      <c r="T18" s="611"/>
      <c r="U18" s="611"/>
      <c r="V18" s="611"/>
      <c r="W18" s="648">
        <v>0.5</v>
      </c>
      <c r="X18" s="649">
        <v>9</v>
      </c>
      <c r="Y18" s="650">
        <f>X18/12*W18</f>
        <v>0.375</v>
      </c>
      <c r="Z18" s="611"/>
      <c r="AA18" s="611"/>
      <c r="AB18" s="611"/>
      <c r="AC18" s="606"/>
      <c r="AD18" s="606"/>
      <c r="AE18" s="606"/>
      <c r="AF18" s="606"/>
      <c r="AG18" s="606"/>
      <c r="AH18" s="606"/>
      <c r="AI18" s="606"/>
      <c r="AJ18" s="606"/>
      <c r="AK18" s="606"/>
      <c r="AL18" s="606"/>
      <c r="AM18" s="607"/>
      <c r="AN18" s="607"/>
      <c r="AO18" s="607"/>
      <c r="AP18" s="607"/>
      <c r="AQ18" s="607"/>
      <c r="AR18" s="607"/>
      <c r="AS18" s="607"/>
      <c r="AT18" s="607"/>
      <c r="AU18" s="616"/>
      <c r="AV18" s="616"/>
      <c r="AW18" s="616"/>
      <c r="AX18" s="616"/>
      <c r="AY18" s="616"/>
    </row>
    <row r="19" spans="1:51" s="651" customFormat="1" ht="15.6" customHeight="1" x14ac:dyDescent="0.25">
      <c r="A19" s="616"/>
      <c r="B19" s="617"/>
      <c r="C19" s="639">
        <v>90</v>
      </c>
      <c r="D19" s="639">
        <v>90</v>
      </c>
      <c r="E19" s="639">
        <v>90</v>
      </c>
      <c r="F19" s="639">
        <v>90</v>
      </c>
      <c r="G19" s="639">
        <v>90</v>
      </c>
      <c r="H19" s="639">
        <v>90</v>
      </c>
      <c r="I19" s="639">
        <v>90</v>
      </c>
      <c r="J19" s="639">
        <v>90</v>
      </c>
      <c r="K19" s="639">
        <v>90</v>
      </c>
      <c r="L19" s="639">
        <v>90</v>
      </c>
      <c r="M19" s="639">
        <v>90</v>
      </c>
      <c r="N19" s="639">
        <v>90</v>
      </c>
      <c r="O19" s="611"/>
      <c r="P19" s="611"/>
      <c r="Q19" s="611"/>
      <c r="R19" s="611"/>
      <c r="S19" s="611"/>
      <c r="T19" s="611"/>
      <c r="U19" s="611"/>
      <c r="V19" s="611"/>
      <c r="W19" s="648">
        <v>0.9</v>
      </c>
      <c r="X19" s="649">
        <v>3</v>
      </c>
      <c r="Y19" s="650">
        <f>X19/12*W19</f>
        <v>0.22500000000000001</v>
      </c>
      <c r="Z19" s="611"/>
      <c r="AA19" s="611"/>
      <c r="AB19" s="611"/>
      <c r="AC19" s="606"/>
      <c r="AD19" s="606"/>
      <c r="AE19" s="606"/>
      <c r="AF19" s="606"/>
      <c r="AG19" s="606"/>
      <c r="AH19" s="606"/>
      <c r="AI19" s="606"/>
      <c r="AJ19" s="606"/>
      <c r="AK19" s="606"/>
      <c r="AL19" s="606"/>
      <c r="AM19" s="607"/>
      <c r="AN19" s="607"/>
      <c r="AO19" s="607"/>
      <c r="AP19" s="607"/>
      <c r="AQ19" s="607"/>
      <c r="AR19" s="607"/>
      <c r="AS19" s="607"/>
      <c r="AT19" s="607"/>
      <c r="AU19" s="8"/>
      <c r="AV19" s="8"/>
      <c r="AW19" s="8"/>
      <c r="AX19" s="8"/>
      <c r="AY19" s="8"/>
    </row>
    <row r="20" spans="1:51" s="651" customFormat="1" x14ac:dyDescent="0.25">
      <c r="A20" s="616"/>
      <c r="B20" s="617"/>
      <c r="C20" s="617"/>
      <c r="D20" s="617"/>
      <c r="E20" s="617"/>
      <c r="F20" s="617"/>
      <c r="G20" s="617"/>
      <c r="H20" s="617"/>
      <c r="I20" s="617"/>
      <c r="J20" s="617"/>
      <c r="K20" s="617"/>
      <c r="L20" s="617"/>
      <c r="M20" s="617"/>
      <c r="N20" s="617"/>
      <c r="O20" s="617"/>
      <c r="P20" s="617"/>
      <c r="Q20" s="617"/>
      <c r="R20" s="611"/>
      <c r="S20" s="611"/>
      <c r="T20" s="611"/>
      <c r="U20" s="611"/>
      <c r="V20" s="611"/>
      <c r="W20" s="611"/>
      <c r="X20" s="611"/>
      <c r="Y20" s="837">
        <f>SUM(Y18:Y19)</f>
        <v>0.6</v>
      </c>
      <c r="Z20" s="611"/>
      <c r="AA20" s="611"/>
      <c r="AB20" s="611"/>
      <c r="AC20" s="606"/>
      <c r="AD20" s="606"/>
      <c r="AE20" s="606"/>
      <c r="AF20" s="606"/>
      <c r="AG20" s="606"/>
      <c r="AH20" s="606"/>
      <c r="AI20" s="606"/>
      <c r="AJ20" s="606"/>
      <c r="AK20" s="606"/>
      <c r="AL20" s="606"/>
      <c r="AM20" s="607"/>
      <c r="AN20" s="607"/>
      <c r="AO20" s="607"/>
      <c r="AP20" s="607"/>
      <c r="AQ20" s="607"/>
      <c r="AR20" s="607"/>
      <c r="AS20" s="607"/>
      <c r="AT20" s="607"/>
      <c r="AU20" s="8"/>
      <c r="AV20" s="8"/>
      <c r="AW20" s="8"/>
      <c r="AX20" s="8"/>
      <c r="AY20" s="8"/>
    </row>
    <row r="21" spans="1:51" s="651" customFormat="1" x14ac:dyDescent="0.25">
      <c r="A21" s="616" t="s">
        <v>1816</v>
      </c>
      <c r="B21" s="652">
        <v>1200</v>
      </c>
      <c r="C21" s="653">
        <f>$B$21/12</f>
        <v>100</v>
      </c>
      <c r="D21" s="653">
        <f t="shared" ref="D21:M21" si="0">$B$21/12</f>
        <v>100</v>
      </c>
      <c r="E21" s="653">
        <f t="shared" si="0"/>
        <v>100</v>
      </c>
      <c r="F21" s="653">
        <f t="shared" si="0"/>
        <v>100</v>
      </c>
      <c r="G21" s="653">
        <f t="shared" si="0"/>
        <v>100</v>
      </c>
      <c r="H21" s="653">
        <f t="shared" si="0"/>
        <v>100</v>
      </c>
      <c r="I21" s="653">
        <f t="shared" si="0"/>
        <v>100</v>
      </c>
      <c r="J21" s="653">
        <f t="shared" si="0"/>
        <v>100</v>
      </c>
      <c r="K21" s="653">
        <f t="shared" si="0"/>
        <v>100</v>
      </c>
      <c r="L21" s="653">
        <f t="shared" si="0"/>
        <v>100</v>
      </c>
      <c r="M21" s="653">
        <f t="shared" si="0"/>
        <v>100</v>
      </c>
      <c r="N21" s="653">
        <f>$B$21/12</f>
        <v>100</v>
      </c>
      <c r="O21" s="611"/>
      <c r="P21" s="611"/>
      <c r="Q21" s="611"/>
      <c r="R21" s="611"/>
      <c r="S21" s="611"/>
      <c r="T21" s="611"/>
      <c r="U21" s="611"/>
      <c r="V21" s="611"/>
      <c r="W21" s="611"/>
      <c r="X21" s="611"/>
      <c r="Y21" s="611"/>
      <c r="Z21" s="611"/>
      <c r="AA21" s="611"/>
      <c r="AB21" s="611"/>
      <c r="AC21" s="606"/>
      <c r="AD21" s="606"/>
      <c r="AE21" s="606"/>
      <c r="AF21" s="606"/>
      <c r="AG21" s="606"/>
      <c r="AH21" s="606"/>
      <c r="AI21" s="606"/>
      <c r="AJ21" s="606"/>
      <c r="AK21" s="606"/>
      <c r="AL21" s="606"/>
      <c r="AM21" s="607"/>
      <c r="AN21" s="607"/>
      <c r="AO21" s="607"/>
      <c r="AP21" s="607"/>
      <c r="AQ21" s="607"/>
      <c r="AR21" s="607"/>
      <c r="AS21" s="607"/>
      <c r="AT21" s="607"/>
      <c r="AU21" s="8"/>
      <c r="AV21" s="8"/>
      <c r="AW21" s="8"/>
      <c r="AX21" s="8"/>
      <c r="AY21" s="8"/>
    </row>
    <row r="22" spans="1:51" s="651" customFormat="1" x14ac:dyDescent="0.25">
      <c r="A22" s="616" t="s">
        <v>1817</v>
      </c>
      <c r="B22" s="654">
        <v>0.9</v>
      </c>
      <c r="C22" s="655"/>
      <c r="D22" s="655"/>
      <c r="E22" s="655"/>
      <c r="F22" s="655"/>
      <c r="G22" s="655"/>
      <c r="H22" s="655"/>
      <c r="I22" s="655"/>
      <c r="J22" s="655"/>
      <c r="K22" s="655"/>
      <c r="L22" s="655"/>
      <c r="M22" s="655"/>
      <c r="N22" s="655"/>
      <c r="O22" s="611"/>
      <c r="P22" s="611"/>
      <c r="Q22" s="611"/>
      <c r="R22" s="611"/>
      <c r="S22" s="611"/>
      <c r="T22" s="611"/>
      <c r="U22" s="611"/>
      <c r="V22" s="611"/>
      <c r="W22" s="611"/>
      <c r="X22" s="611"/>
      <c r="Y22" s="611"/>
      <c r="Z22" s="611"/>
      <c r="AA22" s="611"/>
      <c r="AB22" s="611"/>
      <c r="AC22" s="606"/>
      <c r="AD22" s="606"/>
      <c r="AE22" s="606"/>
      <c r="AF22" s="606"/>
      <c r="AG22" s="606"/>
      <c r="AH22" s="606"/>
      <c r="AI22" s="606"/>
      <c r="AJ22" s="606"/>
      <c r="AK22" s="606"/>
      <c r="AL22" s="606"/>
      <c r="AM22" s="607"/>
      <c r="AN22" s="607"/>
      <c r="AO22" s="607"/>
      <c r="AP22" s="607"/>
      <c r="AQ22" s="607"/>
      <c r="AR22" s="607"/>
      <c r="AS22" s="607"/>
      <c r="AT22" s="607"/>
      <c r="AU22" s="8"/>
      <c r="AV22" s="8"/>
      <c r="AW22" s="8"/>
      <c r="AX22" s="8"/>
      <c r="AY22" s="8"/>
    </row>
    <row r="23" spans="1:51" s="6" customFormat="1" ht="13.8" x14ac:dyDescent="0.25">
      <c r="A23" s="616" t="s">
        <v>1818</v>
      </c>
      <c r="B23" s="617"/>
      <c r="C23" s="656">
        <f>SUM(C8:C19)</f>
        <v>90</v>
      </c>
      <c r="D23" s="656">
        <f t="shared" ref="D23:N23" si="1">SUM(D8:D19)</f>
        <v>180</v>
      </c>
      <c r="E23" s="656">
        <f t="shared" si="1"/>
        <v>270</v>
      </c>
      <c r="F23" s="656">
        <f t="shared" si="1"/>
        <v>360</v>
      </c>
      <c r="G23" s="656">
        <f t="shared" si="1"/>
        <v>450</v>
      </c>
      <c r="H23" s="656">
        <f t="shared" si="1"/>
        <v>540</v>
      </c>
      <c r="I23" s="656">
        <f t="shared" si="1"/>
        <v>630</v>
      </c>
      <c r="J23" s="656">
        <f t="shared" si="1"/>
        <v>720</v>
      </c>
      <c r="K23" s="656">
        <f t="shared" si="1"/>
        <v>810</v>
      </c>
      <c r="L23" s="656">
        <f t="shared" si="1"/>
        <v>900</v>
      </c>
      <c r="M23" s="656">
        <f t="shared" si="1"/>
        <v>990</v>
      </c>
      <c r="N23" s="657">
        <f t="shared" si="1"/>
        <v>1080</v>
      </c>
      <c r="O23" s="658" t="s">
        <v>1819</v>
      </c>
      <c r="P23" s="611"/>
      <c r="Q23" s="611"/>
      <c r="R23" s="611"/>
      <c r="S23" s="611"/>
      <c r="T23" s="611"/>
      <c r="U23" s="611"/>
      <c r="V23" s="611"/>
      <c r="W23" s="611"/>
      <c r="X23" s="611"/>
      <c r="Y23" s="611"/>
      <c r="Z23" s="611"/>
      <c r="AA23" s="611"/>
      <c r="AB23" s="611"/>
      <c r="AC23" s="611"/>
      <c r="AD23" s="611"/>
      <c r="AE23" s="611"/>
      <c r="AF23" s="611"/>
      <c r="AG23" s="611"/>
      <c r="AH23" s="611"/>
      <c r="AI23" s="611"/>
      <c r="AJ23" s="611"/>
      <c r="AK23" s="611"/>
      <c r="AL23" s="611"/>
      <c r="AM23" s="611"/>
      <c r="AN23" s="611"/>
      <c r="AO23" s="611"/>
      <c r="AP23" s="611"/>
      <c r="AQ23" s="1"/>
      <c r="AR23" s="1"/>
      <c r="AS23" s="1"/>
      <c r="AT23" s="1"/>
      <c r="AU23" s="1"/>
      <c r="AV23" s="1"/>
      <c r="AW23" s="1"/>
      <c r="AX23" s="1"/>
      <c r="AY23" s="1"/>
    </row>
    <row r="24" spans="1:51" x14ac:dyDescent="0.25">
      <c r="A24" s="616" t="s">
        <v>1820</v>
      </c>
      <c r="B24" s="617"/>
      <c r="C24" s="659">
        <f>C23/$B$21</f>
        <v>7.4999999999999997E-2</v>
      </c>
      <c r="D24" s="659">
        <f t="shared" ref="D24:N24" si="2">D23/$B$21</f>
        <v>0.15</v>
      </c>
      <c r="E24" s="659">
        <f t="shared" si="2"/>
        <v>0.22500000000000001</v>
      </c>
      <c r="F24" s="659">
        <f t="shared" si="2"/>
        <v>0.3</v>
      </c>
      <c r="G24" s="659">
        <f t="shared" si="2"/>
        <v>0.375</v>
      </c>
      <c r="H24" s="659">
        <f t="shared" si="2"/>
        <v>0.45</v>
      </c>
      <c r="I24" s="659">
        <f t="shared" si="2"/>
        <v>0.52500000000000002</v>
      </c>
      <c r="J24" s="659">
        <f t="shared" si="2"/>
        <v>0.6</v>
      </c>
      <c r="K24" s="659">
        <f t="shared" si="2"/>
        <v>0.67500000000000004</v>
      </c>
      <c r="L24" s="659">
        <f t="shared" si="2"/>
        <v>0.75</v>
      </c>
      <c r="M24" s="659">
        <f t="shared" si="2"/>
        <v>0.82499999999999996</v>
      </c>
      <c r="N24" s="659">
        <f t="shared" si="2"/>
        <v>0.9</v>
      </c>
      <c r="O24" s="658" t="s">
        <v>1821</v>
      </c>
      <c r="P24" s="611"/>
      <c r="Q24" s="611"/>
      <c r="R24" s="611"/>
      <c r="S24" s="611"/>
      <c r="T24" s="611"/>
      <c r="U24" s="611"/>
      <c r="V24" s="611"/>
      <c r="W24" s="611"/>
      <c r="X24" s="611"/>
      <c r="Y24" s="611"/>
      <c r="Z24" s="611"/>
      <c r="AA24" s="611"/>
      <c r="AB24" s="660"/>
      <c r="AC24" s="661"/>
      <c r="AD24" s="661"/>
      <c r="AE24" s="661"/>
      <c r="AF24" s="661"/>
      <c r="AG24" s="661"/>
      <c r="AH24" s="661"/>
      <c r="AI24" s="661"/>
      <c r="AJ24" s="661"/>
      <c r="AK24" s="661"/>
      <c r="AL24" s="661"/>
      <c r="AM24" s="661"/>
      <c r="AN24" s="661"/>
      <c r="AO24" s="661"/>
      <c r="AP24" s="661"/>
      <c r="AQ24" s="607"/>
      <c r="AR24" s="607"/>
      <c r="AS24" s="607"/>
      <c r="AT24" s="607"/>
      <c r="AU24" s="607"/>
      <c r="AV24" s="607"/>
      <c r="AW24" s="607"/>
      <c r="AX24" s="607"/>
      <c r="AY24" s="607"/>
    </row>
    <row r="25" spans="1:51" x14ac:dyDescent="0.25">
      <c r="A25" s="662"/>
      <c r="B25" s="617"/>
      <c r="C25" s="611"/>
      <c r="D25" s="663"/>
      <c r="E25" s="663"/>
      <c r="F25" s="664"/>
      <c r="G25" s="664"/>
      <c r="H25" s="664"/>
      <c r="I25" s="611"/>
      <c r="J25" s="611"/>
      <c r="K25" s="611"/>
      <c r="L25" s="611"/>
      <c r="M25" s="611"/>
      <c r="N25" s="665" t="s">
        <v>1822</v>
      </c>
      <c r="O25" s="1"/>
      <c r="P25" s="611"/>
      <c r="Q25" s="611"/>
      <c r="R25" s="611"/>
      <c r="S25" s="611"/>
      <c r="T25" s="611"/>
      <c r="U25" s="611"/>
      <c r="V25" s="611"/>
      <c r="W25" s="611"/>
      <c r="X25" s="611"/>
      <c r="Y25" s="611"/>
      <c r="Z25" s="611"/>
      <c r="AA25" s="611"/>
      <c r="AB25" s="611"/>
      <c r="AC25" s="606"/>
      <c r="AD25" s="666"/>
      <c r="AE25" s="606"/>
      <c r="AF25" s="606"/>
      <c r="AG25" s="606"/>
      <c r="AH25" s="606"/>
      <c r="AI25" s="606"/>
      <c r="AJ25" s="606"/>
      <c r="AK25" s="606"/>
      <c r="AL25" s="606"/>
      <c r="AM25" s="606"/>
      <c r="AN25" s="606"/>
      <c r="AO25" s="606"/>
      <c r="AP25" s="666"/>
      <c r="AQ25" s="607"/>
      <c r="AR25" s="607"/>
      <c r="AS25" s="607"/>
      <c r="AT25" s="607"/>
      <c r="AU25" s="607"/>
      <c r="AV25" s="607"/>
      <c r="AW25" s="607"/>
      <c r="AX25" s="607"/>
      <c r="AY25" s="607"/>
    </row>
    <row r="26" spans="1:51" x14ac:dyDescent="0.25">
      <c r="A26" s="662"/>
      <c r="B26" s="617"/>
      <c r="C26" s="611"/>
      <c r="D26" s="663"/>
      <c r="E26" s="663"/>
      <c r="F26" s="664"/>
      <c r="G26" s="664"/>
      <c r="H26" s="664"/>
      <c r="I26" s="611"/>
      <c r="J26" s="611"/>
      <c r="K26" s="611"/>
      <c r="L26" s="611"/>
      <c r="M26" s="611"/>
      <c r="N26" s="667"/>
      <c r="O26" s="611"/>
      <c r="P26" s="611"/>
      <c r="Q26" s="611"/>
      <c r="R26" s="611"/>
      <c r="S26" s="611"/>
      <c r="T26" s="611"/>
      <c r="U26" s="611"/>
      <c r="V26" s="611"/>
      <c r="W26" s="611"/>
      <c r="X26" s="611"/>
      <c r="Y26" s="611"/>
      <c r="Z26" s="611"/>
      <c r="AA26" s="611"/>
      <c r="AB26" s="611"/>
      <c r="AC26" s="606"/>
      <c r="AD26" s="668"/>
      <c r="AE26" s="606"/>
      <c r="AF26" s="606"/>
      <c r="AG26" s="606"/>
      <c r="AH26" s="606"/>
      <c r="AI26" s="606"/>
      <c r="AJ26" s="606"/>
      <c r="AK26" s="606"/>
      <c r="AL26" s="606"/>
      <c r="AM26" s="606"/>
      <c r="AN26" s="606"/>
      <c r="AO26" s="606"/>
      <c r="AP26" s="668"/>
      <c r="AQ26" s="607"/>
      <c r="AR26" s="607"/>
      <c r="AS26" s="607"/>
      <c r="AT26" s="607"/>
      <c r="AU26" s="607"/>
      <c r="AV26" s="607"/>
      <c r="AW26" s="607"/>
      <c r="AX26" s="607"/>
      <c r="AY26" s="607"/>
    </row>
    <row r="27" spans="1:51" ht="15.6" x14ac:dyDescent="0.3">
      <c r="A27" s="662"/>
      <c r="B27" s="664"/>
      <c r="C27" s="611"/>
      <c r="D27" s="663"/>
      <c r="E27" s="663"/>
      <c r="F27" s="664"/>
      <c r="G27" s="664"/>
      <c r="H27" s="664"/>
      <c r="I27" s="611"/>
      <c r="J27" s="611"/>
      <c r="K27" s="611"/>
      <c r="L27" s="611"/>
      <c r="M27" s="667" t="s">
        <v>1823</v>
      </c>
      <c r="N27" s="669">
        <f>ROUNDUP((C23+D23+E23+F23+G23+H23+I23+J23+K23+L23+M23+N23)/(12*1200),1)</f>
        <v>0.5</v>
      </c>
      <c r="O27" s="614"/>
      <c r="P27" s="611"/>
      <c r="Q27" s="611"/>
      <c r="R27" s="611"/>
      <c r="S27" s="611"/>
      <c r="T27" s="611"/>
      <c r="U27" s="611"/>
      <c r="V27" s="611"/>
      <c r="W27" s="611"/>
      <c r="X27" s="611"/>
      <c r="Y27" s="611"/>
      <c r="Z27" s="611"/>
      <c r="AA27" s="611"/>
      <c r="AB27" s="611"/>
      <c r="AC27" s="606"/>
      <c r="AD27" s="670"/>
      <c r="AE27" s="606"/>
      <c r="AF27" s="606"/>
      <c r="AG27" s="606"/>
      <c r="AH27" s="606"/>
      <c r="AI27" s="606"/>
      <c r="AJ27" s="606"/>
      <c r="AK27" s="606"/>
      <c r="AL27" s="606"/>
      <c r="AM27" s="606"/>
      <c r="AN27" s="606"/>
      <c r="AO27" s="606"/>
      <c r="AP27" s="671"/>
      <c r="AQ27" s="607"/>
      <c r="AR27" s="607"/>
      <c r="AS27" s="607"/>
      <c r="AT27" s="607"/>
      <c r="AU27" s="607"/>
      <c r="AV27" s="607"/>
      <c r="AW27" s="607"/>
      <c r="AX27" s="607"/>
      <c r="AY27" s="607"/>
    </row>
    <row r="28" spans="1:51" ht="15.6" x14ac:dyDescent="0.3">
      <c r="A28" s="662"/>
      <c r="B28" s="664"/>
      <c r="C28" s="611"/>
      <c r="D28" s="663"/>
      <c r="E28" s="663"/>
      <c r="F28" s="664"/>
      <c r="G28" s="664"/>
      <c r="H28" s="664"/>
      <c r="I28" s="611"/>
      <c r="J28" s="611"/>
      <c r="K28" s="611"/>
      <c r="L28" s="611"/>
      <c r="M28" s="611"/>
      <c r="N28" s="667"/>
      <c r="O28" s="611"/>
      <c r="P28" s="611"/>
      <c r="Q28" s="611"/>
      <c r="R28" s="611"/>
      <c r="S28" s="611"/>
      <c r="T28" s="611"/>
      <c r="U28" s="611"/>
      <c r="V28" s="611"/>
      <c r="W28" s="611"/>
      <c r="X28" s="611"/>
      <c r="Y28" s="611"/>
      <c r="Z28" s="611"/>
      <c r="AA28" s="611"/>
      <c r="AB28" s="611"/>
      <c r="AC28" s="606"/>
      <c r="AD28" s="672"/>
      <c r="AE28" s="606"/>
      <c r="AF28" s="606"/>
      <c r="AG28" s="606"/>
      <c r="AH28" s="606"/>
      <c r="AI28" s="606"/>
      <c r="AJ28" s="606"/>
      <c r="AK28" s="606"/>
      <c r="AL28" s="606"/>
      <c r="AM28" s="606"/>
      <c r="AN28" s="606"/>
      <c r="AO28" s="606"/>
      <c r="AP28" s="672"/>
      <c r="AQ28" s="607"/>
      <c r="AR28" s="607"/>
      <c r="AS28" s="607"/>
      <c r="AT28" s="607"/>
      <c r="AU28" s="607"/>
      <c r="AV28" s="607"/>
      <c r="AW28" s="607"/>
      <c r="AX28" s="607"/>
      <c r="AY28" s="607"/>
    </row>
    <row r="29" spans="1:51" ht="15.6" x14ac:dyDescent="0.3">
      <c r="A29" s="662"/>
      <c r="B29" s="664"/>
      <c r="C29" s="611"/>
      <c r="D29" s="663"/>
      <c r="E29" s="663"/>
      <c r="F29" s="664"/>
      <c r="G29" s="664"/>
      <c r="H29" s="664"/>
      <c r="I29" s="611"/>
      <c r="J29" s="611"/>
      <c r="K29" s="611"/>
      <c r="L29" s="611"/>
      <c r="M29" s="611"/>
      <c r="N29" s="673" t="s">
        <v>1824</v>
      </c>
      <c r="O29" s="611"/>
      <c r="P29" s="611"/>
      <c r="Q29" s="611"/>
      <c r="R29" s="611"/>
      <c r="S29" s="611"/>
      <c r="T29" s="611"/>
      <c r="U29" s="611"/>
      <c r="V29" s="611"/>
      <c r="W29" s="611"/>
      <c r="X29" s="611"/>
      <c r="Y29" s="611"/>
      <c r="Z29" s="611"/>
      <c r="AA29" s="611"/>
      <c r="AB29" s="611"/>
      <c r="AC29" s="606"/>
      <c r="AD29" s="672"/>
      <c r="AE29" s="606"/>
      <c r="AF29" s="606"/>
      <c r="AG29" s="606"/>
      <c r="AH29" s="606"/>
      <c r="AI29" s="606"/>
      <c r="AJ29" s="606"/>
      <c r="AK29" s="606"/>
      <c r="AL29" s="606"/>
      <c r="AM29" s="606"/>
      <c r="AN29" s="606"/>
      <c r="AO29" s="606"/>
      <c r="AP29" s="672"/>
      <c r="AQ29" s="607"/>
      <c r="AR29" s="607"/>
      <c r="AS29" s="607"/>
      <c r="AT29" s="607"/>
      <c r="AU29" s="607"/>
      <c r="AV29" s="607"/>
      <c r="AW29" s="607"/>
      <c r="AX29" s="607"/>
      <c r="AY29" s="607"/>
    </row>
    <row r="30" spans="1:51" ht="15.6" x14ac:dyDescent="0.3">
      <c r="A30" s="662"/>
      <c r="B30" s="664"/>
      <c r="C30" s="611"/>
      <c r="D30" s="663"/>
      <c r="E30" s="663"/>
      <c r="F30" s="664"/>
      <c r="G30" s="664"/>
      <c r="H30" s="664"/>
      <c r="I30" s="611"/>
      <c r="J30" s="611"/>
      <c r="K30" s="611"/>
      <c r="L30" s="611"/>
      <c r="M30" s="611"/>
      <c r="N30" s="667" t="s">
        <v>1825</v>
      </c>
      <c r="O30" s="611"/>
      <c r="P30" s="611"/>
      <c r="Q30" s="611"/>
      <c r="R30" s="611"/>
      <c r="S30" s="611"/>
      <c r="T30" s="611"/>
      <c r="U30" s="611"/>
      <c r="V30" s="611"/>
      <c r="W30" s="611"/>
      <c r="X30" s="611"/>
      <c r="Y30" s="611"/>
      <c r="Z30" s="611"/>
      <c r="AA30" s="611"/>
      <c r="AB30" s="611"/>
      <c r="AC30" s="606"/>
      <c r="AD30" s="670"/>
      <c r="AE30" s="606"/>
      <c r="AF30" s="606"/>
      <c r="AG30" s="606"/>
      <c r="AH30" s="606"/>
      <c r="AI30" s="606"/>
      <c r="AJ30" s="606"/>
      <c r="AK30" s="606"/>
      <c r="AL30" s="606"/>
      <c r="AM30" s="606"/>
      <c r="AN30" s="606"/>
      <c r="AO30" s="606"/>
      <c r="AP30" s="671"/>
      <c r="AQ30" s="607"/>
      <c r="AR30" s="607"/>
      <c r="AS30" s="607"/>
      <c r="AT30" s="607"/>
      <c r="AU30" s="607"/>
      <c r="AV30" s="607"/>
      <c r="AW30" s="607"/>
      <c r="AX30" s="607"/>
      <c r="AY30" s="607"/>
    </row>
    <row r="31" spans="1:51" s="676" customFormat="1" x14ac:dyDescent="0.25">
      <c r="A31" s="674"/>
      <c r="B31" s="617"/>
      <c r="C31" s="1"/>
      <c r="D31" s="51"/>
      <c r="E31" s="51"/>
      <c r="F31" s="51"/>
      <c r="G31" s="51"/>
      <c r="H31" s="51"/>
      <c r="I31" s="51"/>
      <c r="J31" s="51"/>
      <c r="K31" s="51"/>
      <c r="L31" s="51"/>
      <c r="M31" s="51"/>
      <c r="N31" s="667" t="s">
        <v>1826</v>
      </c>
      <c r="O31" s="617"/>
      <c r="P31" s="617"/>
      <c r="Q31" s="617"/>
      <c r="R31" s="617"/>
      <c r="S31" s="617"/>
      <c r="T31" s="617"/>
      <c r="U31" s="617"/>
      <c r="V31" s="617"/>
      <c r="W31" s="617"/>
      <c r="X31" s="617"/>
      <c r="Y31" s="617"/>
      <c r="Z31" s="617"/>
      <c r="AA31" s="617"/>
      <c r="AB31" s="617"/>
      <c r="AC31" s="675"/>
      <c r="AD31" s="675"/>
      <c r="AE31" s="675"/>
      <c r="AF31" s="675"/>
      <c r="AG31" s="675"/>
      <c r="AH31" s="675"/>
      <c r="AI31" s="675"/>
      <c r="AJ31" s="675"/>
      <c r="AK31" s="675"/>
      <c r="AL31" s="675"/>
      <c r="AM31" s="675"/>
      <c r="AN31" s="675"/>
      <c r="AO31" s="675"/>
      <c r="AP31" s="675"/>
      <c r="AQ31" s="675"/>
      <c r="AR31" s="675"/>
      <c r="AS31" s="675"/>
      <c r="AT31" s="675"/>
      <c r="AU31" s="675"/>
      <c r="AV31" s="675"/>
      <c r="AW31" s="675"/>
      <c r="AX31" s="675"/>
      <c r="AY31" s="675"/>
    </row>
    <row r="32" spans="1:51" s="676" customFormat="1" x14ac:dyDescent="0.25">
      <c r="A32" s="674"/>
      <c r="B32" s="617"/>
      <c r="C32" s="1"/>
      <c r="D32" s="51"/>
      <c r="E32" s="51"/>
      <c r="F32" s="51"/>
      <c r="G32" s="51"/>
      <c r="H32" s="51"/>
      <c r="I32" s="51"/>
      <c r="J32" s="51"/>
      <c r="K32" s="51"/>
      <c r="L32" s="51"/>
      <c r="M32" s="51"/>
      <c r="N32" s="667" t="s">
        <v>1827</v>
      </c>
      <c r="O32" s="617"/>
      <c r="P32" s="617"/>
      <c r="Q32" s="617"/>
      <c r="R32" s="617"/>
      <c r="S32" s="617"/>
      <c r="T32" s="617"/>
      <c r="U32" s="617"/>
      <c r="V32" s="617"/>
      <c r="W32" s="617"/>
      <c r="X32" s="617"/>
      <c r="Y32" s="617"/>
      <c r="Z32" s="617"/>
      <c r="AA32" s="617"/>
      <c r="AB32" s="617"/>
      <c r="AC32" s="675"/>
      <c r="AD32" s="675"/>
      <c r="AE32" s="675"/>
      <c r="AF32" s="675"/>
      <c r="AG32" s="675"/>
      <c r="AH32" s="675"/>
      <c r="AI32" s="675"/>
      <c r="AJ32" s="675"/>
      <c r="AK32" s="675"/>
      <c r="AL32" s="675"/>
      <c r="AM32" s="675"/>
      <c r="AN32" s="675"/>
      <c r="AO32" s="675"/>
      <c r="AP32" s="675"/>
      <c r="AQ32" s="675"/>
      <c r="AR32" s="675"/>
      <c r="AS32" s="675"/>
      <c r="AT32" s="675"/>
      <c r="AU32" s="675"/>
      <c r="AV32" s="675"/>
      <c r="AW32" s="675"/>
      <c r="AX32" s="675"/>
      <c r="AY32" s="675"/>
    </row>
    <row r="33" spans="1:5" s="676" customFormat="1" ht="15.6" x14ac:dyDescent="0.25">
      <c r="A33" s="677"/>
      <c r="C33" s="608"/>
      <c r="D33" s="678"/>
      <c r="E33" s="678"/>
    </row>
    <row r="34" spans="1:5" s="676" customFormat="1" ht="15.6" x14ac:dyDescent="0.25">
      <c r="A34" s="677"/>
      <c r="C34" s="608"/>
      <c r="D34" s="678"/>
      <c r="E34" s="678"/>
    </row>
    <row r="35" spans="1:5" s="676" customFormat="1" ht="15.6" x14ac:dyDescent="0.25">
      <c r="A35" s="677"/>
      <c r="C35" s="608"/>
      <c r="D35" s="678"/>
      <c r="E35" s="678"/>
    </row>
    <row r="36" spans="1:5" s="676" customFormat="1" ht="15.6" x14ac:dyDescent="0.25">
      <c r="A36" s="677"/>
      <c r="C36" s="608"/>
      <c r="D36" s="678"/>
      <c r="E36" s="678"/>
    </row>
    <row r="37" spans="1:5" s="676" customFormat="1" ht="15.6" x14ac:dyDescent="0.25">
      <c r="A37" s="677"/>
      <c r="C37" s="608"/>
      <c r="D37" s="678"/>
      <c r="E37" s="678"/>
    </row>
    <row r="38" spans="1:5" s="676" customFormat="1" ht="15.6" x14ac:dyDescent="0.25">
      <c r="A38" s="677"/>
      <c r="C38" s="608"/>
      <c r="D38" s="678"/>
      <c r="E38" s="678"/>
    </row>
    <row r="39" spans="1:5" s="676" customFormat="1" ht="15.6" x14ac:dyDescent="0.25">
      <c r="A39" s="677"/>
      <c r="C39" s="608"/>
      <c r="D39" s="678"/>
      <c r="E39" s="678"/>
    </row>
    <row r="40" spans="1:5" s="676" customFormat="1" ht="15.6" x14ac:dyDescent="0.25">
      <c r="A40" s="677"/>
      <c r="C40" s="608"/>
      <c r="D40" s="678"/>
      <c r="E40" s="678"/>
    </row>
    <row r="41" spans="1:5" s="676" customFormat="1" ht="15.6" x14ac:dyDescent="0.25">
      <c r="A41" s="677"/>
      <c r="C41" s="608"/>
      <c r="D41" s="678"/>
      <c r="E41" s="678"/>
    </row>
    <row r="42" spans="1:5" s="676" customFormat="1" ht="15.6" x14ac:dyDescent="0.25">
      <c r="A42" s="677"/>
      <c r="C42" s="608"/>
      <c r="D42" s="678"/>
      <c r="E42" s="678"/>
    </row>
    <row r="43" spans="1:5" s="676" customFormat="1" ht="15.6" x14ac:dyDescent="0.25">
      <c r="A43" s="677"/>
      <c r="C43" s="608"/>
      <c r="D43" s="678"/>
      <c r="E43" s="678"/>
    </row>
    <row r="44" spans="1:5" s="676" customFormat="1" ht="15.6" x14ac:dyDescent="0.25">
      <c r="A44" s="677"/>
      <c r="C44" s="608"/>
      <c r="D44" s="678"/>
      <c r="E44" s="678"/>
    </row>
    <row r="45" spans="1:5" s="676" customFormat="1" ht="15.6" x14ac:dyDescent="0.25">
      <c r="A45" s="677"/>
      <c r="C45" s="608"/>
      <c r="D45" s="678"/>
      <c r="E45" s="678"/>
    </row>
    <row r="46" spans="1:5" s="676" customFormat="1" ht="15.6" x14ac:dyDescent="0.25">
      <c r="A46" s="677"/>
      <c r="C46" s="608"/>
      <c r="D46" s="678"/>
      <c r="E46" s="678"/>
    </row>
    <row r="47" spans="1:5" s="676" customFormat="1" ht="15.6" x14ac:dyDescent="0.25">
      <c r="A47" s="677"/>
      <c r="C47" s="608"/>
      <c r="D47" s="678"/>
      <c r="E47" s="678"/>
    </row>
    <row r="48" spans="1:5" s="676" customFormat="1" ht="15.6" x14ac:dyDescent="0.25">
      <c r="A48" s="677"/>
      <c r="C48" s="608"/>
      <c r="D48" s="678"/>
      <c r="E48" s="678"/>
    </row>
    <row r="49" spans="1:5" s="676" customFormat="1" ht="15.6" x14ac:dyDescent="0.25">
      <c r="A49" s="677"/>
      <c r="C49" s="608"/>
      <c r="D49" s="678"/>
      <c r="E49" s="678"/>
    </row>
    <row r="50" spans="1:5" s="676" customFormat="1" ht="15.6" x14ac:dyDescent="0.25">
      <c r="A50" s="677"/>
      <c r="C50" s="608"/>
      <c r="D50" s="678"/>
      <c r="E50" s="678"/>
    </row>
    <row r="51" spans="1:5" s="676" customFormat="1" ht="15.6" x14ac:dyDescent="0.25">
      <c r="A51" s="677"/>
      <c r="C51" s="608"/>
      <c r="D51" s="678"/>
      <c r="E51" s="678"/>
    </row>
    <row r="52" spans="1:5" s="676" customFormat="1" ht="15.6" x14ac:dyDescent="0.25">
      <c r="A52" s="677"/>
      <c r="C52" s="608"/>
      <c r="D52" s="678"/>
      <c r="E52" s="678"/>
    </row>
    <row r="53" spans="1:5" s="676" customFormat="1" ht="15.6" x14ac:dyDescent="0.25">
      <c r="A53" s="677"/>
      <c r="C53" s="608"/>
      <c r="D53" s="678"/>
      <c r="E53" s="678"/>
    </row>
    <row r="54" spans="1:5" s="676" customFormat="1" ht="15.6" x14ac:dyDescent="0.25">
      <c r="A54" s="677"/>
      <c r="C54" s="608"/>
      <c r="D54" s="678"/>
      <c r="E54" s="678"/>
    </row>
    <row r="55" spans="1:5" s="676" customFormat="1" ht="15.6" x14ac:dyDescent="0.25">
      <c r="A55" s="677"/>
      <c r="C55" s="608"/>
      <c r="D55" s="678"/>
      <c r="E55" s="678"/>
    </row>
    <row r="56" spans="1:5" s="676" customFormat="1" ht="15.6" x14ac:dyDescent="0.25">
      <c r="A56" s="677"/>
      <c r="C56" s="608"/>
      <c r="D56" s="678"/>
      <c r="E56" s="678"/>
    </row>
    <row r="57" spans="1:5" s="676" customFormat="1" ht="15.6" x14ac:dyDescent="0.25">
      <c r="A57" s="677"/>
      <c r="C57" s="608"/>
      <c r="D57" s="678"/>
      <c r="E57" s="678"/>
    </row>
    <row r="58" spans="1:5" s="676" customFormat="1" ht="15.6" x14ac:dyDescent="0.25">
      <c r="A58" s="677"/>
      <c r="C58" s="608"/>
      <c r="D58" s="678"/>
      <c r="E58" s="678"/>
    </row>
    <row r="59" spans="1:5" s="676" customFormat="1" ht="15.6" x14ac:dyDescent="0.25">
      <c r="A59" s="677"/>
      <c r="C59" s="608"/>
      <c r="D59" s="678"/>
      <c r="E59" s="678"/>
    </row>
    <row r="60" spans="1:5" s="676" customFormat="1" ht="15.6" x14ac:dyDescent="0.25">
      <c r="A60" s="677"/>
      <c r="C60" s="608"/>
      <c r="D60" s="678"/>
      <c r="E60" s="678"/>
    </row>
    <row r="61" spans="1:5" s="676" customFormat="1" ht="15.6" x14ac:dyDescent="0.25">
      <c r="A61" s="677"/>
      <c r="C61" s="608"/>
      <c r="D61" s="678"/>
      <c r="E61" s="678"/>
    </row>
    <row r="62" spans="1:5" s="676" customFormat="1" ht="15.6" x14ac:dyDescent="0.25">
      <c r="A62" s="677"/>
      <c r="C62" s="608"/>
      <c r="D62" s="678"/>
      <c r="E62" s="678"/>
    </row>
    <row r="63" spans="1:5" s="676" customFormat="1" ht="15.6" x14ac:dyDescent="0.25">
      <c r="A63" s="677"/>
      <c r="C63" s="608"/>
      <c r="D63" s="678"/>
      <c r="E63" s="678"/>
    </row>
    <row r="64" spans="1:5" s="676" customFormat="1" ht="15.6" x14ac:dyDescent="0.25">
      <c r="A64" s="677"/>
      <c r="C64" s="608"/>
      <c r="D64" s="678"/>
      <c r="E64" s="678"/>
    </row>
    <row r="65" spans="1:5" s="676" customFormat="1" ht="15.6" x14ac:dyDescent="0.25">
      <c r="A65" s="677"/>
      <c r="C65" s="608"/>
      <c r="D65" s="678"/>
      <c r="E65" s="678"/>
    </row>
    <row r="66" spans="1:5" s="676" customFormat="1" ht="15.6" x14ac:dyDescent="0.25">
      <c r="A66" s="677"/>
      <c r="C66" s="608"/>
      <c r="D66" s="678"/>
      <c r="E66" s="678"/>
    </row>
    <row r="67" spans="1:5" s="676" customFormat="1" ht="15.6" x14ac:dyDescent="0.25">
      <c r="A67" s="677"/>
      <c r="C67" s="608"/>
      <c r="D67" s="678"/>
      <c r="E67" s="678"/>
    </row>
    <row r="68" spans="1:5" s="676" customFormat="1" ht="15.6" x14ac:dyDescent="0.25">
      <c r="A68" s="677"/>
      <c r="C68" s="608"/>
      <c r="D68" s="678"/>
      <c r="E68" s="678"/>
    </row>
    <row r="69" spans="1:5" s="676" customFormat="1" ht="15.6" x14ac:dyDescent="0.25">
      <c r="A69" s="677"/>
      <c r="C69" s="608"/>
      <c r="D69" s="678"/>
      <c r="E69" s="678"/>
    </row>
    <row r="70" spans="1:5" s="676" customFormat="1" ht="15.6" x14ac:dyDescent="0.25">
      <c r="A70" s="677"/>
      <c r="C70" s="608"/>
      <c r="D70" s="678"/>
      <c r="E70" s="678"/>
    </row>
    <row r="71" spans="1:5" s="676" customFormat="1" ht="15.6" x14ac:dyDescent="0.25">
      <c r="A71" s="677"/>
      <c r="C71" s="608"/>
      <c r="D71" s="678"/>
      <c r="E71" s="678"/>
    </row>
    <row r="72" spans="1:5" s="676" customFormat="1" ht="15.6" x14ac:dyDescent="0.25">
      <c r="A72" s="677"/>
      <c r="C72" s="608"/>
      <c r="D72" s="678"/>
      <c r="E72" s="678"/>
    </row>
    <row r="73" spans="1:5" s="676" customFormat="1" ht="15.6" x14ac:dyDescent="0.25">
      <c r="A73" s="677"/>
      <c r="C73" s="608"/>
      <c r="D73" s="678"/>
      <c r="E73" s="678"/>
    </row>
    <row r="74" spans="1:5" s="676" customFormat="1" ht="15.6" x14ac:dyDescent="0.25">
      <c r="A74" s="677"/>
      <c r="C74" s="608"/>
      <c r="D74" s="678"/>
      <c r="E74" s="678"/>
    </row>
    <row r="75" spans="1:5" s="676" customFormat="1" ht="15.6" x14ac:dyDescent="0.25">
      <c r="A75" s="677"/>
      <c r="C75" s="608"/>
      <c r="D75" s="678"/>
      <c r="E75" s="678"/>
    </row>
    <row r="76" spans="1:5" s="676" customFormat="1" ht="15.6" x14ac:dyDescent="0.25">
      <c r="A76" s="677"/>
      <c r="C76" s="608"/>
      <c r="D76" s="678"/>
      <c r="E76" s="678"/>
    </row>
    <row r="77" spans="1:5" s="676" customFormat="1" ht="15.6" x14ac:dyDescent="0.25">
      <c r="A77" s="677"/>
      <c r="C77" s="608"/>
      <c r="D77" s="678"/>
      <c r="E77" s="678"/>
    </row>
    <row r="78" spans="1:5" s="676" customFormat="1" ht="15.6" x14ac:dyDescent="0.25">
      <c r="A78" s="677"/>
      <c r="C78" s="608"/>
      <c r="D78" s="678"/>
      <c r="E78" s="678"/>
    </row>
    <row r="79" spans="1:5" s="676" customFormat="1" ht="15.6" x14ac:dyDescent="0.25">
      <c r="A79" s="677"/>
      <c r="C79" s="608"/>
      <c r="D79" s="678"/>
      <c r="E79" s="678"/>
    </row>
    <row r="80" spans="1:5" s="676" customFormat="1" ht="15.6" x14ac:dyDescent="0.25">
      <c r="A80" s="677"/>
      <c r="C80" s="608"/>
      <c r="D80" s="678"/>
      <c r="E80" s="678"/>
    </row>
    <row r="81" spans="1:5" s="676" customFormat="1" ht="15.6" x14ac:dyDescent="0.25">
      <c r="A81" s="677"/>
      <c r="C81" s="608"/>
      <c r="D81" s="678"/>
      <c r="E81" s="678"/>
    </row>
    <row r="82" spans="1:5" s="676" customFormat="1" ht="15.6" x14ac:dyDescent="0.25">
      <c r="A82" s="677"/>
      <c r="C82" s="608"/>
      <c r="D82" s="678"/>
      <c r="E82" s="678"/>
    </row>
    <row r="83" spans="1:5" s="676" customFormat="1" ht="15.6" x14ac:dyDescent="0.25">
      <c r="A83" s="677"/>
      <c r="C83" s="608"/>
      <c r="D83" s="678"/>
      <c r="E83" s="678"/>
    </row>
    <row r="84" spans="1:5" s="676" customFormat="1" ht="15.6" x14ac:dyDescent="0.25">
      <c r="A84" s="677"/>
      <c r="C84" s="608"/>
      <c r="D84" s="678"/>
      <c r="E84" s="678"/>
    </row>
    <row r="85" spans="1:5" s="676" customFormat="1" ht="15.6" x14ac:dyDescent="0.25">
      <c r="A85" s="677"/>
      <c r="C85" s="608"/>
      <c r="D85" s="678"/>
      <c r="E85" s="678"/>
    </row>
    <row r="86" spans="1:5" s="676" customFormat="1" ht="15.6" x14ac:dyDescent="0.25">
      <c r="A86" s="677"/>
      <c r="C86" s="608"/>
      <c r="D86" s="678"/>
      <c r="E86" s="678"/>
    </row>
    <row r="87" spans="1:5" s="676" customFormat="1" ht="15.6" x14ac:dyDescent="0.25">
      <c r="A87" s="677"/>
      <c r="C87" s="608"/>
      <c r="D87" s="678"/>
      <c r="E87" s="678"/>
    </row>
    <row r="88" spans="1:5" s="676" customFormat="1" ht="15.6" x14ac:dyDescent="0.25">
      <c r="A88" s="677"/>
      <c r="C88" s="608"/>
      <c r="D88" s="678"/>
      <c r="E88" s="678"/>
    </row>
    <row r="89" spans="1:5" s="676" customFormat="1" ht="15.6" x14ac:dyDescent="0.25">
      <c r="A89" s="677"/>
      <c r="C89" s="608"/>
      <c r="D89" s="678"/>
      <c r="E89" s="678"/>
    </row>
    <row r="90" spans="1:5" s="676" customFormat="1" ht="15.6" x14ac:dyDescent="0.25">
      <c r="A90" s="677"/>
      <c r="C90" s="608"/>
      <c r="D90" s="678"/>
      <c r="E90" s="678"/>
    </row>
    <row r="91" spans="1:5" s="676" customFormat="1" ht="15.6" x14ac:dyDescent="0.25">
      <c r="A91" s="677"/>
      <c r="C91" s="608"/>
      <c r="D91" s="678"/>
      <c r="E91" s="678"/>
    </row>
    <row r="92" spans="1:5" s="676" customFormat="1" ht="15.6" x14ac:dyDescent="0.25">
      <c r="A92" s="677"/>
      <c r="C92" s="608"/>
      <c r="D92" s="678"/>
      <c r="E92" s="678"/>
    </row>
    <row r="93" spans="1:5" s="676" customFormat="1" ht="15.6" x14ac:dyDescent="0.25">
      <c r="A93" s="677"/>
      <c r="C93" s="608"/>
      <c r="D93" s="678"/>
      <c r="E93" s="678"/>
    </row>
    <row r="94" spans="1:5" s="676" customFormat="1" ht="15.6" x14ac:dyDescent="0.25">
      <c r="A94" s="677"/>
      <c r="C94" s="608"/>
      <c r="D94" s="678"/>
      <c r="E94" s="678"/>
    </row>
    <row r="95" spans="1:5" s="676" customFormat="1" ht="15.6" x14ac:dyDescent="0.25">
      <c r="A95" s="677"/>
      <c r="C95" s="608"/>
      <c r="D95" s="678"/>
      <c r="E95" s="678"/>
    </row>
    <row r="96" spans="1:5" s="676" customFormat="1" ht="15.6" x14ac:dyDescent="0.25">
      <c r="A96" s="677"/>
      <c r="C96" s="608"/>
      <c r="D96" s="678"/>
      <c r="E96" s="678"/>
    </row>
    <row r="97" spans="1:5" s="676" customFormat="1" ht="15.6" x14ac:dyDescent="0.25">
      <c r="A97" s="677"/>
      <c r="C97" s="608"/>
      <c r="D97" s="678"/>
      <c r="E97" s="678"/>
    </row>
    <row r="98" spans="1:5" s="676" customFormat="1" ht="15.6" x14ac:dyDescent="0.25">
      <c r="A98" s="677"/>
      <c r="C98" s="608"/>
      <c r="D98" s="678"/>
      <c r="E98" s="678"/>
    </row>
    <row r="99" spans="1:5" s="676" customFormat="1" ht="15.6" x14ac:dyDescent="0.25">
      <c r="A99" s="677"/>
      <c r="C99" s="608"/>
      <c r="D99" s="678"/>
      <c r="E99" s="678"/>
    </row>
    <row r="100" spans="1:5" s="676" customFormat="1" ht="15.6" x14ac:dyDescent="0.25">
      <c r="A100" s="677"/>
      <c r="C100" s="608"/>
      <c r="D100" s="678"/>
      <c r="E100" s="678"/>
    </row>
    <row r="101" spans="1:5" s="676" customFormat="1" ht="15.6" x14ac:dyDescent="0.25">
      <c r="A101" s="677"/>
      <c r="C101" s="608"/>
      <c r="D101" s="678"/>
      <c r="E101" s="678"/>
    </row>
    <row r="102" spans="1:5" s="676" customFormat="1" ht="15.6" x14ac:dyDescent="0.25">
      <c r="A102" s="677"/>
      <c r="C102" s="608"/>
      <c r="D102" s="678"/>
      <c r="E102" s="678"/>
    </row>
    <row r="103" spans="1:5" s="676" customFormat="1" ht="15.6" x14ac:dyDescent="0.25">
      <c r="A103" s="677"/>
      <c r="C103" s="608"/>
      <c r="D103" s="678"/>
      <c r="E103" s="678"/>
    </row>
    <row r="104" spans="1:5" s="676" customFormat="1" ht="15.6" x14ac:dyDescent="0.25">
      <c r="A104" s="677"/>
      <c r="C104" s="608"/>
      <c r="D104" s="678"/>
      <c r="E104" s="678"/>
    </row>
    <row r="105" spans="1:5" s="676" customFormat="1" ht="15.6" x14ac:dyDescent="0.25">
      <c r="A105" s="677"/>
      <c r="C105" s="608"/>
      <c r="D105" s="678"/>
      <c r="E105" s="678"/>
    </row>
    <row r="106" spans="1:5" s="676" customFormat="1" ht="15.6" x14ac:dyDescent="0.25">
      <c r="A106" s="677"/>
      <c r="C106" s="608"/>
      <c r="D106" s="678"/>
      <c r="E106" s="678"/>
    </row>
    <row r="107" spans="1:5" s="676" customFormat="1" ht="15.6" x14ac:dyDescent="0.25">
      <c r="A107" s="677"/>
      <c r="C107" s="608"/>
      <c r="D107" s="678"/>
      <c r="E107" s="678"/>
    </row>
    <row r="108" spans="1:5" s="676" customFormat="1" ht="15.6" x14ac:dyDescent="0.25">
      <c r="A108" s="677"/>
      <c r="C108" s="608"/>
      <c r="D108" s="678"/>
      <c r="E108" s="678"/>
    </row>
    <row r="109" spans="1:5" s="676" customFormat="1" ht="15.6" x14ac:dyDescent="0.25">
      <c r="A109" s="677"/>
      <c r="C109" s="608"/>
      <c r="D109" s="678"/>
      <c r="E109" s="678"/>
    </row>
    <row r="110" spans="1:5" s="676" customFormat="1" ht="15.6" x14ac:dyDescent="0.25">
      <c r="A110" s="677"/>
      <c r="C110" s="608"/>
      <c r="D110" s="678"/>
      <c r="E110" s="678"/>
    </row>
    <row r="111" spans="1:5" s="676" customFormat="1" ht="15.6" x14ac:dyDescent="0.25">
      <c r="A111" s="677"/>
      <c r="C111" s="608"/>
      <c r="D111" s="678"/>
      <c r="E111" s="678"/>
    </row>
    <row r="112" spans="1:5" s="676" customFormat="1" ht="15.6" x14ac:dyDescent="0.25">
      <c r="A112" s="677"/>
      <c r="C112" s="608"/>
      <c r="D112" s="678"/>
      <c r="E112" s="678"/>
    </row>
    <row r="113" spans="1:5" s="676" customFormat="1" ht="15.6" x14ac:dyDescent="0.25">
      <c r="A113" s="677"/>
      <c r="C113" s="608"/>
      <c r="D113" s="678"/>
      <c r="E113" s="678"/>
    </row>
    <row r="114" spans="1:5" s="676" customFormat="1" ht="15.6" x14ac:dyDescent="0.25">
      <c r="A114" s="677"/>
      <c r="C114" s="608"/>
      <c r="D114" s="678"/>
      <c r="E114" s="678"/>
    </row>
    <row r="115" spans="1:5" s="676" customFormat="1" ht="15.6" x14ac:dyDescent="0.25">
      <c r="A115" s="677"/>
      <c r="C115" s="608"/>
      <c r="D115" s="678"/>
      <c r="E115" s="678"/>
    </row>
    <row r="116" spans="1:5" s="676" customFormat="1" ht="15.6" x14ac:dyDescent="0.25">
      <c r="A116" s="677"/>
      <c r="C116" s="608"/>
      <c r="D116" s="678"/>
      <c r="E116" s="678"/>
    </row>
    <row r="117" spans="1:5" s="676" customFormat="1" ht="15.6" x14ac:dyDescent="0.25">
      <c r="A117" s="677"/>
      <c r="C117" s="608"/>
      <c r="D117" s="678"/>
      <c r="E117" s="678"/>
    </row>
    <row r="118" spans="1:5" s="676" customFormat="1" ht="15.6" x14ac:dyDescent="0.25">
      <c r="A118" s="677"/>
      <c r="C118" s="608"/>
      <c r="D118" s="678"/>
      <c r="E118" s="678"/>
    </row>
    <row r="119" spans="1:5" s="676" customFormat="1" ht="15.6" x14ac:dyDescent="0.25">
      <c r="A119" s="677"/>
      <c r="C119" s="608"/>
      <c r="D119" s="678"/>
      <c r="E119" s="678"/>
    </row>
    <row r="120" spans="1:5" s="676" customFormat="1" ht="15.6" x14ac:dyDescent="0.25">
      <c r="A120" s="677"/>
      <c r="C120" s="608"/>
      <c r="D120" s="678"/>
      <c r="E120" s="678"/>
    </row>
    <row r="121" spans="1:5" s="676" customFormat="1" ht="15.6" x14ac:dyDescent="0.25">
      <c r="A121" s="677"/>
      <c r="C121" s="608"/>
      <c r="D121" s="678"/>
      <c r="E121" s="678"/>
    </row>
    <row r="122" spans="1:5" s="676" customFormat="1" ht="15.6" x14ac:dyDescent="0.25">
      <c r="A122" s="677"/>
      <c r="C122" s="608"/>
      <c r="D122" s="678"/>
      <c r="E122" s="678"/>
    </row>
    <row r="123" spans="1:5" s="676" customFormat="1" ht="15.6" x14ac:dyDescent="0.25">
      <c r="A123" s="677"/>
      <c r="C123" s="608"/>
      <c r="D123" s="678"/>
      <c r="E123" s="678"/>
    </row>
    <row r="124" spans="1:5" s="676" customFormat="1" ht="15.6" x14ac:dyDescent="0.25">
      <c r="A124" s="677"/>
      <c r="C124" s="608"/>
      <c r="D124" s="678"/>
      <c r="E124" s="678"/>
    </row>
    <row r="125" spans="1:5" s="676" customFormat="1" ht="15.6" x14ac:dyDescent="0.25">
      <c r="A125" s="677"/>
      <c r="C125" s="608"/>
      <c r="D125" s="678"/>
      <c r="E125" s="678"/>
    </row>
    <row r="126" spans="1:5" s="676" customFormat="1" ht="15.6" x14ac:dyDescent="0.25">
      <c r="A126" s="677"/>
      <c r="C126" s="608"/>
      <c r="D126" s="678"/>
      <c r="E126" s="678"/>
    </row>
    <row r="127" spans="1:5" s="676" customFormat="1" ht="15.6" x14ac:dyDescent="0.25">
      <c r="A127" s="677"/>
      <c r="C127" s="608"/>
      <c r="D127" s="678"/>
      <c r="E127" s="678"/>
    </row>
    <row r="128" spans="1:5" s="676" customFormat="1" ht="15.6" x14ac:dyDescent="0.25">
      <c r="A128" s="677"/>
      <c r="C128" s="608"/>
      <c r="D128" s="678"/>
      <c r="E128" s="678"/>
    </row>
    <row r="129" spans="1:5" s="676" customFormat="1" ht="15.6" x14ac:dyDescent="0.25">
      <c r="A129" s="677"/>
      <c r="C129" s="608"/>
      <c r="D129" s="678"/>
      <c r="E129" s="678"/>
    </row>
    <row r="130" spans="1:5" s="676" customFormat="1" ht="15.6" x14ac:dyDescent="0.25">
      <c r="A130" s="677"/>
      <c r="C130" s="608"/>
      <c r="D130" s="678"/>
      <c r="E130" s="678"/>
    </row>
    <row r="131" spans="1:5" s="676" customFormat="1" ht="15.6" x14ac:dyDescent="0.25">
      <c r="A131" s="677"/>
      <c r="C131" s="608"/>
      <c r="D131" s="678"/>
      <c r="E131" s="678"/>
    </row>
    <row r="132" spans="1:5" s="676" customFormat="1" ht="15.6" x14ac:dyDescent="0.25">
      <c r="A132" s="677"/>
      <c r="C132" s="608"/>
      <c r="D132" s="678"/>
      <c r="E132" s="678"/>
    </row>
    <row r="133" spans="1:5" s="676" customFormat="1" ht="15.6" x14ac:dyDescent="0.25">
      <c r="A133" s="677"/>
      <c r="C133" s="608"/>
      <c r="D133" s="678"/>
      <c r="E133" s="678"/>
    </row>
    <row r="134" spans="1:5" s="676" customFormat="1" ht="15.6" x14ac:dyDescent="0.25">
      <c r="A134" s="677"/>
      <c r="C134" s="608"/>
      <c r="D134" s="678"/>
      <c r="E134" s="678"/>
    </row>
    <row r="135" spans="1:5" s="676" customFormat="1" ht="15.6" x14ac:dyDescent="0.25">
      <c r="A135" s="677"/>
      <c r="C135" s="608"/>
      <c r="D135" s="678"/>
      <c r="E135" s="678"/>
    </row>
    <row r="136" spans="1:5" s="676" customFormat="1" ht="15.6" x14ac:dyDescent="0.25">
      <c r="A136" s="677"/>
      <c r="C136" s="608"/>
      <c r="D136" s="678"/>
      <c r="E136" s="678"/>
    </row>
    <row r="137" spans="1:5" s="676" customFormat="1" ht="15.6" x14ac:dyDescent="0.25">
      <c r="A137" s="677"/>
      <c r="C137" s="608"/>
      <c r="D137" s="678"/>
      <c r="E137" s="678"/>
    </row>
    <row r="138" spans="1:5" s="676" customFormat="1" ht="15.6" x14ac:dyDescent="0.25">
      <c r="A138" s="677"/>
      <c r="C138" s="608"/>
      <c r="D138" s="678"/>
      <c r="E138" s="678"/>
    </row>
    <row r="139" spans="1:5" s="676" customFormat="1" ht="15.6" x14ac:dyDescent="0.25">
      <c r="A139" s="677"/>
      <c r="C139" s="608"/>
      <c r="D139" s="678"/>
      <c r="E139" s="678"/>
    </row>
    <row r="140" spans="1:5" s="676" customFormat="1" ht="15.6" x14ac:dyDescent="0.25">
      <c r="A140" s="677"/>
      <c r="C140" s="608"/>
      <c r="D140" s="678"/>
      <c r="E140" s="678"/>
    </row>
    <row r="141" spans="1:5" s="676" customFormat="1" ht="15.6" x14ac:dyDescent="0.25">
      <c r="A141" s="677"/>
      <c r="C141" s="608"/>
      <c r="D141" s="678"/>
      <c r="E141" s="678"/>
    </row>
    <row r="142" spans="1:5" s="676" customFormat="1" ht="15.6" x14ac:dyDescent="0.25">
      <c r="A142" s="677"/>
      <c r="C142" s="608"/>
      <c r="D142" s="678"/>
      <c r="E142" s="678"/>
    </row>
    <row r="143" spans="1:5" s="676" customFormat="1" ht="15.6" x14ac:dyDescent="0.25">
      <c r="A143" s="677"/>
      <c r="C143" s="608"/>
      <c r="D143" s="678"/>
      <c r="E143" s="678"/>
    </row>
    <row r="144" spans="1:5" s="676" customFormat="1" ht="15.6" x14ac:dyDescent="0.25">
      <c r="A144" s="677"/>
      <c r="C144" s="608"/>
      <c r="D144" s="678"/>
      <c r="E144" s="678"/>
    </row>
    <row r="145" spans="1:5" s="676" customFormat="1" ht="15.6" x14ac:dyDescent="0.25">
      <c r="A145" s="677"/>
      <c r="C145" s="608"/>
      <c r="D145" s="678"/>
      <c r="E145" s="678"/>
    </row>
    <row r="146" spans="1:5" s="676" customFormat="1" ht="15.6" x14ac:dyDescent="0.25">
      <c r="A146" s="677"/>
      <c r="C146" s="608"/>
      <c r="D146" s="678"/>
      <c r="E146" s="678"/>
    </row>
    <row r="147" spans="1:5" s="676" customFormat="1" ht="15.6" x14ac:dyDescent="0.25">
      <c r="A147" s="677"/>
      <c r="C147" s="608"/>
      <c r="D147" s="678"/>
      <c r="E147" s="678"/>
    </row>
    <row r="148" spans="1:5" s="676" customFormat="1" ht="15.6" x14ac:dyDescent="0.25">
      <c r="A148" s="677"/>
      <c r="C148" s="608"/>
      <c r="D148" s="678"/>
      <c r="E148" s="678"/>
    </row>
    <row r="149" spans="1:5" s="676" customFormat="1" ht="15.6" x14ac:dyDescent="0.25">
      <c r="A149" s="677"/>
      <c r="C149" s="608"/>
      <c r="D149" s="678"/>
      <c r="E149" s="678"/>
    </row>
    <row r="150" spans="1:5" s="676" customFormat="1" ht="15.6" x14ac:dyDescent="0.25">
      <c r="A150" s="677"/>
      <c r="C150" s="608"/>
      <c r="D150" s="678"/>
      <c r="E150" s="678"/>
    </row>
    <row r="151" spans="1:5" s="676" customFormat="1" ht="15.6" x14ac:dyDescent="0.25">
      <c r="A151" s="677"/>
      <c r="C151" s="608"/>
      <c r="D151" s="678"/>
      <c r="E151" s="678"/>
    </row>
    <row r="152" spans="1:5" s="676" customFormat="1" ht="15.6" x14ac:dyDescent="0.25">
      <c r="A152" s="677"/>
      <c r="C152" s="608"/>
      <c r="D152" s="678"/>
      <c r="E152" s="678"/>
    </row>
    <row r="153" spans="1:5" s="676" customFormat="1" ht="15.6" x14ac:dyDescent="0.25">
      <c r="A153" s="677"/>
      <c r="C153" s="608"/>
      <c r="D153" s="678"/>
      <c r="E153" s="678"/>
    </row>
    <row r="154" spans="1:5" s="676" customFormat="1" ht="15.6" x14ac:dyDescent="0.25">
      <c r="A154" s="677"/>
      <c r="C154" s="608"/>
      <c r="D154" s="678"/>
      <c r="E154" s="678"/>
    </row>
    <row r="155" spans="1:5" s="676" customFormat="1" ht="15.6" x14ac:dyDescent="0.25">
      <c r="A155" s="677"/>
      <c r="C155" s="608"/>
      <c r="D155" s="678"/>
      <c r="E155" s="678"/>
    </row>
    <row r="156" spans="1:5" s="676" customFormat="1" ht="15.6" x14ac:dyDescent="0.25">
      <c r="A156" s="677"/>
      <c r="C156" s="608"/>
      <c r="D156" s="678"/>
      <c r="E156" s="678"/>
    </row>
    <row r="157" spans="1:5" s="676" customFormat="1" ht="15.6" x14ac:dyDescent="0.25">
      <c r="A157" s="677"/>
      <c r="C157" s="608"/>
      <c r="D157" s="678"/>
      <c r="E157" s="678"/>
    </row>
    <row r="158" spans="1:5" s="676" customFormat="1" ht="15.6" x14ac:dyDescent="0.25">
      <c r="A158" s="677"/>
      <c r="C158" s="608"/>
      <c r="D158" s="678"/>
      <c r="E158" s="678"/>
    </row>
    <row r="159" spans="1:5" s="676" customFormat="1" ht="15.6" x14ac:dyDescent="0.25">
      <c r="A159" s="677"/>
      <c r="C159" s="608"/>
      <c r="D159" s="678"/>
      <c r="E159" s="678"/>
    </row>
    <row r="160" spans="1:5" s="676" customFormat="1" ht="15.6" x14ac:dyDescent="0.25">
      <c r="A160" s="677"/>
      <c r="C160" s="608"/>
      <c r="D160" s="678"/>
      <c r="E160" s="678"/>
    </row>
    <row r="161" spans="1:5" s="676" customFormat="1" ht="15.6" x14ac:dyDescent="0.25">
      <c r="A161" s="677"/>
      <c r="C161" s="608"/>
      <c r="D161" s="678"/>
      <c r="E161" s="678"/>
    </row>
    <row r="162" spans="1:5" s="676" customFormat="1" ht="15.6" x14ac:dyDescent="0.25">
      <c r="A162" s="677"/>
      <c r="C162" s="608"/>
      <c r="D162" s="678"/>
      <c r="E162" s="678"/>
    </row>
    <row r="163" spans="1:5" s="676" customFormat="1" ht="15.6" x14ac:dyDescent="0.25">
      <c r="A163" s="677"/>
      <c r="C163" s="608"/>
      <c r="D163" s="678"/>
      <c r="E163" s="678"/>
    </row>
    <row r="164" spans="1:5" s="676" customFormat="1" ht="15.6" x14ac:dyDescent="0.25">
      <c r="A164" s="677"/>
      <c r="C164" s="608"/>
      <c r="D164" s="678"/>
      <c r="E164" s="678"/>
    </row>
    <row r="165" spans="1:5" s="676" customFormat="1" ht="15.6" x14ac:dyDescent="0.25">
      <c r="A165" s="677"/>
      <c r="C165" s="608"/>
      <c r="D165" s="678"/>
      <c r="E165" s="678"/>
    </row>
    <row r="166" spans="1:5" s="676" customFormat="1" ht="15.6" x14ac:dyDescent="0.25">
      <c r="A166" s="677"/>
      <c r="C166" s="608"/>
      <c r="D166" s="678"/>
      <c r="E166" s="678"/>
    </row>
    <row r="167" spans="1:5" s="676" customFormat="1" ht="15.6" x14ac:dyDescent="0.25">
      <c r="A167" s="677"/>
      <c r="C167" s="608"/>
      <c r="D167" s="678"/>
      <c r="E167" s="678"/>
    </row>
    <row r="168" spans="1:5" s="676" customFormat="1" ht="15.6" x14ac:dyDescent="0.25">
      <c r="A168" s="677"/>
      <c r="C168" s="608"/>
      <c r="D168" s="678"/>
      <c r="E168" s="678"/>
    </row>
    <row r="169" spans="1:5" s="676" customFormat="1" ht="15.6" x14ac:dyDescent="0.25">
      <c r="A169" s="677"/>
      <c r="C169" s="608"/>
      <c r="D169" s="678"/>
      <c r="E169" s="678"/>
    </row>
    <row r="170" spans="1:5" s="676" customFormat="1" ht="15.6" x14ac:dyDescent="0.25">
      <c r="A170" s="677"/>
      <c r="C170" s="608"/>
      <c r="D170" s="678"/>
      <c r="E170" s="678"/>
    </row>
    <row r="171" spans="1:5" s="676" customFormat="1" ht="15.6" x14ac:dyDescent="0.25">
      <c r="A171" s="677"/>
      <c r="C171" s="608"/>
      <c r="D171" s="678"/>
      <c r="E171" s="678"/>
    </row>
    <row r="172" spans="1:5" s="676" customFormat="1" ht="15.6" x14ac:dyDescent="0.25">
      <c r="A172" s="677"/>
      <c r="C172" s="608"/>
      <c r="D172" s="678"/>
      <c r="E172" s="678"/>
    </row>
    <row r="173" spans="1:5" s="676" customFormat="1" ht="15.6" x14ac:dyDescent="0.25">
      <c r="A173" s="677"/>
      <c r="C173" s="608"/>
      <c r="D173" s="678"/>
      <c r="E173" s="678"/>
    </row>
    <row r="174" spans="1:5" s="676" customFormat="1" ht="15.6" x14ac:dyDescent="0.25">
      <c r="A174" s="677"/>
      <c r="C174" s="608"/>
      <c r="D174" s="678"/>
      <c r="E174" s="678"/>
    </row>
    <row r="175" spans="1:5" s="676" customFormat="1" ht="15.6" x14ac:dyDescent="0.25">
      <c r="A175" s="677"/>
      <c r="C175" s="608"/>
      <c r="D175" s="678"/>
      <c r="E175" s="678"/>
    </row>
    <row r="176" spans="1:5" s="676" customFormat="1" ht="15.6" x14ac:dyDescent="0.25">
      <c r="A176" s="677"/>
      <c r="C176" s="608"/>
      <c r="D176" s="678"/>
      <c r="E176" s="678"/>
    </row>
    <row r="177" spans="1:5" s="676" customFormat="1" ht="15.6" x14ac:dyDescent="0.25">
      <c r="A177" s="677"/>
      <c r="C177" s="608"/>
      <c r="D177" s="678"/>
      <c r="E177" s="678"/>
    </row>
    <row r="178" spans="1:5" s="676" customFormat="1" ht="15.6" x14ac:dyDescent="0.25">
      <c r="A178" s="677"/>
      <c r="C178" s="608"/>
      <c r="D178" s="678"/>
      <c r="E178" s="678"/>
    </row>
    <row r="179" spans="1:5" s="676" customFormat="1" ht="15.6" x14ac:dyDescent="0.25">
      <c r="A179" s="677"/>
      <c r="C179" s="608"/>
      <c r="D179" s="678"/>
      <c r="E179" s="678"/>
    </row>
    <row r="180" spans="1:5" s="676" customFormat="1" ht="15.6" x14ac:dyDescent="0.25">
      <c r="A180" s="677"/>
      <c r="C180" s="608"/>
      <c r="D180" s="678"/>
      <c r="E180" s="678"/>
    </row>
    <row r="181" spans="1:5" s="676" customFormat="1" ht="15.6" x14ac:dyDescent="0.25">
      <c r="A181" s="677"/>
      <c r="C181" s="608"/>
      <c r="D181" s="678"/>
      <c r="E181" s="678"/>
    </row>
    <row r="182" spans="1:5" s="676" customFormat="1" ht="15.6" x14ac:dyDescent="0.25">
      <c r="A182" s="677"/>
      <c r="C182" s="608"/>
      <c r="D182" s="678"/>
      <c r="E182" s="678"/>
    </row>
    <row r="183" spans="1:5" s="676" customFormat="1" ht="15.6" x14ac:dyDescent="0.25">
      <c r="A183" s="677"/>
      <c r="C183" s="608"/>
      <c r="D183" s="678"/>
      <c r="E183" s="678"/>
    </row>
    <row r="184" spans="1:5" s="676" customFormat="1" ht="15.6" x14ac:dyDescent="0.25">
      <c r="A184" s="677"/>
      <c r="C184" s="608"/>
      <c r="D184" s="678"/>
      <c r="E184" s="678"/>
    </row>
    <row r="185" spans="1:5" s="676" customFormat="1" ht="15.6" x14ac:dyDescent="0.25">
      <c r="A185" s="677"/>
      <c r="C185" s="608"/>
      <c r="D185" s="678"/>
      <c r="E185" s="678"/>
    </row>
    <row r="186" spans="1:5" s="676" customFormat="1" ht="15.6" x14ac:dyDescent="0.25">
      <c r="A186" s="677"/>
      <c r="C186" s="608"/>
      <c r="D186" s="678"/>
      <c r="E186" s="678"/>
    </row>
    <row r="187" spans="1:5" s="676" customFormat="1" ht="15.6" x14ac:dyDescent="0.25">
      <c r="A187" s="677"/>
      <c r="C187" s="608"/>
      <c r="D187" s="678"/>
      <c r="E187" s="678"/>
    </row>
    <row r="188" spans="1:5" s="676" customFormat="1" ht="15.6" x14ac:dyDescent="0.25">
      <c r="A188" s="677"/>
      <c r="C188" s="608"/>
      <c r="D188" s="678"/>
      <c r="E188" s="678"/>
    </row>
    <row r="189" spans="1:5" s="676" customFormat="1" ht="15.6" x14ac:dyDescent="0.25">
      <c r="A189" s="677"/>
      <c r="C189" s="608"/>
      <c r="D189" s="678"/>
      <c r="E189" s="678"/>
    </row>
    <row r="190" spans="1:5" s="676" customFormat="1" ht="15.6" x14ac:dyDescent="0.25">
      <c r="A190" s="677"/>
      <c r="C190" s="608"/>
      <c r="D190" s="678"/>
      <c r="E190" s="678"/>
    </row>
    <row r="191" spans="1:5" s="676" customFormat="1" ht="15.6" x14ac:dyDescent="0.25">
      <c r="A191" s="677"/>
      <c r="C191" s="608"/>
      <c r="D191" s="678"/>
      <c r="E191" s="678"/>
    </row>
    <row r="192" spans="1:5" s="676" customFormat="1" ht="15.6" x14ac:dyDescent="0.25">
      <c r="A192" s="677"/>
      <c r="C192" s="608"/>
      <c r="D192" s="678"/>
      <c r="E192" s="678"/>
    </row>
    <row r="193" spans="1:5" s="676" customFormat="1" ht="15.6" x14ac:dyDescent="0.25">
      <c r="A193" s="677"/>
      <c r="C193" s="608"/>
      <c r="D193" s="678"/>
      <c r="E193" s="678"/>
    </row>
    <row r="194" spans="1:5" s="676" customFormat="1" ht="15.6" x14ac:dyDescent="0.25">
      <c r="A194" s="677"/>
      <c r="C194" s="608"/>
      <c r="D194" s="678"/>
      <c r="E194" s="678"/>
    </row>
    <row r="195" spans="1:5" s="676" customFormat="1" ht="15.6" x14ac:dyDescent="0.25">
      <c r="A195" s="677"/>
      <c r="C195" s="608"/>
      <c r="D195" s="678"/>
      <c r="E195" s="678"/>
    </row>
    <row r="196" spans="1:5" s="676" customFormat="1" ht="15.6" x14ac:dyDescent="0.25">
      <c r="A196" s="677"/>
      <c r="C196" s="608"/>
      <c r="D196" s="678"/>
      <c r="E196" s="678"/>
    </row>
    <row r="197" spans="1:5" s="676" customFormat="1" ht="15.6" x14ac:dyDescent="0.25">
      <c r="A197" s="677"/>
      <c r="C197" s="608"/>
      <c r="D197" s="678"/>
      <c r="E197" s="678"/>
    </row>
    <row r="198" spans="1:5" s="676" customFormat="1" ht="15.6" x14ac:dyDescent="0.25">
      <c r="A198" s="677"/>
      <c r="C198" s="608"/>
      <c r="D198" s="678"/>
      <c r="E198" s="678"/>
    </row>
    <row r="199" spans="1:5" s="676" customFormat="1" ht="15.6" x14ac:dyDescent="0.25">
      <c r="A199" s="677"/>
      <c r="C199" s="608"/>
      <c r="D199" s="678"/>
      <c r="E199" s="678"/>
    </row>
    <row r="200" spans="1:5" s="676" customFormat="1" ht="15.6" x14ac:dyDescent="0.25">
      <c r="A200" s="677"/>
      <c r="C200" s="608"/>
      <c r="D200" s="678"/>
      <c r="E200" s="678"/>
    </row>
    <row r="201" spans="1:5" s="676" customFormat="1" ht="15.6" x14ac:dyDescent="0.25">
      <c r="A201" s="677"/>
      <c r="C201" s="608"/>
      <c r="D201" s="678"/>
      <c r="E201" s="678"/>
    </row>
    <row r="202" spans="1:5" s="676" customFormat="1" ht="15.6" x14ac:dyDescent="0.25">
      <c r="A202" s="677"/>
      <c r="C202" s="608"/>
      <c r="D202" s="678"/>
      <c r="E202" s="678"/>
    </row>
    <row r="203" spans="1:5" s="676" customFormat="1" ht="15.6" x14ac:dyDescent="0.25">
      <c r="A203" s="677"/>
      <c r="C203" s="608"/>
      <c r="D203" s="678"/>
      <c r="E203" s="678"/>
    </row>
    <row r="204" spans="1:5" s="676" customFormat="1" ht="15.6" x14ac:dyDescent="0.25">
      <c r="A204" s="677"/>
      <c r="C204" s="608"/>
      <c r="D204" s="678"/>
      <c r="E204" s="678"/>
    </row>
    <row r="205" spans="1:5" s="676" customFormat="1" ht="15.6" x14ac:dyDescent="0.25">
      <c r="A205" s="677"/>
      <c r="C205" s="608"/>
      <c r="D205" s="678"/>
      <c r="E205" s="678"/>
    </row>
    <row r="206" spans="1:5" s="676" customFormat="1" ht="15.6" x14ac:dyDescent="0.25">
      <c r="A206" s="677"/>
      <c r="C206" s="608"/>
      <c r="D206" s="678"/>
      <c r="E206" s="678"/>
    </row>
    <row r="207" spans="1:5" s="676" customFormat="1" ht="15.6" x14ac:dyDescent="0.25">
      <c r="A207" s="677"/>
      <c r="C207" s="608"/>
      <c r="D207" s="678"/>
      <c r="E207" s="678"/>
    </row>
    <row r="208" spans="1:5" s="676" customFormat="1" ht="15.6" x14ac:dyDescent="0.25">
      <c r="A208" s="677"/>
      <c r="C208" s="608"/>
      <c r="D208" s="678"/>
      <c r="E208" s="678"/>
    </row>
    <row r="209" spans="1:5" s="676" customFormat="1" ht="15.6" x14ac:dyDescent="0.25">
      <c r="A209" s="677"/>
      <c r="C209" s="608"/>
      <c r="D209" s="678"/>
      <c r="E209" s="678"/>
    </row>
    <row r="210" spans="1:5" s="676" customFormat="1" ht="15.6" x14ac:dyDescent="0.25">
      <c r="A210" s="677"/>
      <c r="C210" s="608"/>
      <c r="D210" s="678"/>
      <c r="E210" s="678"/>
    </row>
    <row r="211" spans="1:5" s="676" customFormat="1" ht="15.6" x14ac:dyDescent="0.25">
      <c r="A211" s="677"/>
      <c r="C211" s="608"/>
      <c r="D211" s="678"/>
      <c r="E211" s="678"/>
    </row>
    <row r="212" spans="1:5" s="676" customFormat="1" ht="15.6" x14ac:dyDescent="0.25">
      <c r="A212" s="677"/>
      <c r="C212" s="608"/>
      <c r="D212" s="678"/>
      <c r="E212" s="678"/>
    </row>
    <row r="213" spans="1:5" s="676" customFormat="1" ht="15.6" x14ac:dyDescent="0.25">
      <c r="A213" s="677"/>
      <c r="C213" s="608"/>
      <c r="D213" s="678"/>
      <c r="E213" s="678"/>
    </row>
    <row r="214" spans="1:5" s="676" customFormat="1" ht="15.6" x14ac:dyDescent="0.25">
      <c r="A214" s="677"/>
      <c r="C214" s="608"/>
      <c r="D214" s="678"/>
      <c r="E214" s="678"/>
    </row>
    <row r="215" spans="1:5" s="676" customFormat="1" ht="15.6" x14ac:dyDescent="0.25">
      <c r="A215" s="677"/>
      <c r="C215" s="608"/>
      <c r="D215" s="678"/>
      <c r="E215" s="678"/>
    </row>
    <row r="216" spans="1:5" s="676" customFormat="1" ht="15.6" x14ac:dyDescent="0.25">
      <c r="A216" s="677"/>
      <c r="C216" s="608"/>
      <c r="D216" s="678"/>
      <c r="E216" s="678"/>
    </row>
    <row r="217" spans="1:5" s="676" customFormat="1" ht="15.6" x14ac:dyDescent="0.25">
      <c r="A217" s="677"/>
      <c r="C217" s="608"/>
      <c r="D217" s="678"/>
      <c r="E217" s="678"/>
    </row>
    <row r="218" spans="1:5" s="676" customFormat="1" ht="15.6" x14ac:dyDescent="0.25">
      <c r="A218" s="677"/>
      <c r="C218" s="608"/>
      <c r="D218" s="678"/>
      <c r="E218" s="678"/>
    </row>
    <row r="219" spans="1:5" s="676" customFormat="1" ht="15.6" x14ac:dyDescent="0.25">
      <c r="A219" s="677"/>
      <c r="C219" s="608"/>
      <c r="D219" s="678"/>
      <c r="E219" s="678"/>
    </row>
    <row r="220" spans="1:5" s="676" customFormat="1" ht="15.6" x14ac:dyDescent="0.25">
      <c r="A220" s="677"/>
      <c r="C220" s="608"/>
      <c r="D220" s="678"/>
      <c r="E220" s="678"/>
    </row>
    <row r="221" spans="1:5" s="676" customFormat="1" ht="15.6" x14ac:dyDescent="0.25">
      <c r="A221" s="677"/>
      <c r="C221" s="608"/>
      <c r="D221" s="678"/>
      <c r="E221" s="678"/>
    </row>
    <row r="222" spans="1:5" s="676" customFormat="1" ht="15.6" x14ac:dyDescent="0.25">
      <c r="A222" s="677"/>
      <c r="C222" s="608"/>
      <c r="D222" s="678"/>
      <c r="E222" s="678"/>
    </row>
    <row r="223" spans="1:5" s="676" customFormat="1" ht="15.6" x14ac:dyDescent="0.25">
      <c r="A223" s="677"/>
      <c r="C223" s="608"/>
      <c r="D223" s="678"/>
      <c r="E223" s="678"/>
    </row>
    <row r="224" spans="1:5" s="676" customFormat="1" ht="15.6" x14ac:dyDescent="0.25">
      <c r="A224" s="677"/>
      <c r="C224" s="608"/>
      <c r="D224" s="678"/>
      <c r="E224" s="678"/>
    </row>
    <row r="225" spans="1:5" s="676" customFormat="1" ht="15.6" x14ac:dyDescent="0.25">
      <c r="A225" s="677"/>
      <c r="C225" s="608"/>
      <c r="D225" s="678"/>
      <c r="E225" s="678"/>
    </row>
    <row r="226" spans="1:5" s="676" customFormat="1" ht="15.6" x14ac:dyDescent="0.25">
      <c r="A226" s="677"/>
      <c r="C226" s="608"/>
      <c r="D226" s="678"/>
      <c r="E226" s="678"/>
    </row>
    <row r="227" spans="1:5" s="676" customFormat="1" ht="15.6" x14ac:dyDescent="0.25">
      <c r="A227" s="677"/>
      <c r="C227" s="608"/>
      <c r="D227" s="678"/>
      <c r="E227" s="678"/>
    </row>
    <row r="228" spans="1:5" s="676" customFormat="1" ht="15.6" x14ac:dyDescent="0.25">
      <c r="A228" s="677"/>
      <c r="C228" s="608"/>
      <c r="D228" s="678"/>
      <c r="E228" s="678"/>
    </row>
    <row r="229" spans="1:5" s="676" customFormat="1" ht="15.6" x14ac:dyDescent="0.25">
      <c r="A229" s="677"/>
      <c r="C229" s="608"/>
      <c r="D229" s="678"/>
      <c r="E229" s="678"/>
    </row>
    <row r="230" spans="1:5" s="676" customFormat="1" ht="15.6" x14ac:dyDescent="0.25">
      <c r="A230" s="677"/>
      <c r="C230" s="608"/>
      <c r="D230" s="678"/>
      <c r="E230" s="678"/>
    </row>
    <row r="231" spans="1:5" s="676" customFormat="1" ht="15.6" x14ac:dyDescent="0.25">
      <c r="A231" s="677"/>
      <c r="C231" s="608"/>
      <c r="D231" s="678"/>
      <c r="E231" s="678"/>
    </row>
    <row r="232" spans="1:5" s="676" customFormat="1" ht="15.6" x14ac:dyDescent="0.25">
      <c r="A232" s="677"/>
      <c r="C232" s="608"/>
      <c r="D232" s="678"/>
      <c r="E232" s="678"/>
    </row>
    <row r="233" spans="1:5" s="676" customFormat="1" ht="15.6" x14ac:dyDescent="0.25">
      <c r="A233" s="677"/>
      <c r="C233" s="608"/>
      <c r="D233" s="678"/>
      <c r="E233" s="678"/>
    </row>
    <row r="234" spans="1:5" s="676" customFormat="1" ht="15.6" x14ac:dyDescent="0.25">
      <c r="A234" s="677"/>
      <c r="C234" s="608"/>
      <c r="D234" s="678"/>
      <c r="E234" s="678"/>
    </row>
    <row r="235" spans="1:5" s="676" customFormat="1" ht="15.6" x14ac:dyDescent="0.25">
      <c r="A235" s="677"/>
      <c r="C235" s="608"/>
      <c r="D235" s="678"/>
      <c r="E235" s="678"/>
    </row>
    <row r="236" spans="1:5" s="676" customFormat="1" ht="15.6" x14ac:dyDescent="0.25">
      <c r="A236" s="677"/>
      <c r="C236" s="608"/>
      <c r="D236" s="678"/>
      <c r="E236" s="678"/>
    </row>
    <row r="237" spans="1:5" s="676" customFormat="1" ht="15.6" x14ac:dyDescent="0.25">
      <c r="A237" s="677"/>
      <c r="C237" s="608"/>
      <c r="D237" s="678"/>
      <c r="E237" s="678"/>
    </row>
    <row r="238" spans="1:5" s="676" customFormat="1" ht="15.6" x14ac:dyDescent="0.25">
      <c r="A238" s="677"/>
      <c r="C238" s="608"/>
      <c r="D238" s="678"/>
      <c r="E238" s="678"/>
    </row>
    <row r="239" spans="1:5" s="676" customFormat="1" ht="15.6" x14ac:dyDescent="0.25">
      <c r="A239" s="677"/>
      <c r="C239" s="608"/>
      <c r="D239" s="678"/>
      <c r="E239" s="678"/>
    </row>
    <row r="240" spans="1:5" s="676" customFormat="1" ht="15.6" x14ac:dyDescent="0.25">
      <c r="A240" s="677"/>
      <c r="C240" s="608"/>
      <c r="D240" s="678"/>
      <c r="E240" s="678"/>
    </row>
    <row r="241" spans="1:5" s="676" customFormat="1" ht="15.6" x14ac:dyDescent="0.25">
      <c r="A241" s="677"/>
      <c r="C241" s="608"/>
      <c r="D241" s="678"/>
      <c r="E241" s="678"/>
    </row>
    <row r="242" spans="1:5" s="676" customFormat="1" ht="15.6" x14ac:dyDescent="0.25">
      <c r="A242" s="677"/>
      <c r="C242" s="608"/>
      <c r="D242" s="678"/>
      <c r="E242" s="678"/>
    </row>
    <row r="243" spans="1:5" s="676" customFormat="1" ht="15.6" x14ac:dyDescent="0.25">
      <c r="A243" s="677"/>
      <c r="C243" s="608"/>
      <c r="D243" s="678"/>
      <c r="E243" s="678"/>
    </row>
    <row r="244" spans="1:5" s="676" customFormat="1" ht="15.6" x14ac:dyDescent="0.25">
      <c r="A244" s="677"/>
      <c r="C244" s="608"/>
      <c r="D244" s="678"/>
      <c r="E244" s="678"/>
    </row>
    <row r="245" spans="1:5" s="676" customFormat="1" ht="15.6" x14ac:dyDescent="0.25">
      <c r="A245" s="677"/>
      <c r="C245" s="608"/>
      <c r="D245" s="678"/>
      <c r="E245" s="678"/>
    </row>
    <row r="246" spans="1:5" s="676" customFormat="1" ht="15.6" x14ac:dyDescent="0.25">
      <c r="A246" s="677"/>
      <c r="C246" s="608"/>
      <c r="D246" s="678"/>
      <c r="E246" s="678"/>
    </row>
    <row r="247" spans="1:5" s="676" customFormat="1" ht="15.6" x14ac:dyDescent="0.25">
      <c r="A247" s="677"/>
      <c r="C247" s="608"/>
      <c r="D247" s="678"/>
      <c r="E247" s="678"/>
    </row>
    <row r="248" spans="1:5" s="676" customFormat="1" ht="15.6" x14ac:dyDescent="0.25">
      <c r="A248" s="677"/>
      <c r="C248" s="608"/>
      <c r="D248" s="678"/>
      <c r="E248" s="678"/>
    </row>
    <row r="249" spans="1:5" s="676" customFormat="1" ht="15.6" x14ac:dyDescent="0.25">
      <c r="A249" s="677"/>
      <c r="C249" s="608"/>
      <c r="D249" s="678"/>
      <c r="E249" s="678"/>
    </row>
    <row r="250" spans="1:5" s="676" customFormat="1" ht="15.6" x14ac:dyDescent="0.25">
      <c r="A250" s="677"/>
      <c r="C250" s="608"/>
      <c r="D250" s="678"/>
      <c r="E250" s="678"/>
    </row>
    <row r="251" spans="1:5" s="676" customFormat="1" ht="15.6" x14ac:dyDescent="0.25">
      <c r="A251" s="677"/>
      <c r="C251" s="608"/>
      <c r="D251" s="678"/>
      <c r="E251" s="678"/>
    </row>
    <row r="252" spans="1:5" s="676" customFormat="1" ht="15.6" x14ac:dyDescent="0.25">
      <c r="A252" s="677"/>
      <c r="C252" s="608"/>
      <c r="D252" s="678"/>
      <c r="E252" s="678"/>
    </row>
    <row r="253" spans="1:5" s="676" customFormat="1" ht="15.6" x14ac:dyDescent="0.25">
      <c r="A253" s="677"/>
      <c r="C253" s="608"/>
      <c r="D253" s="678"/>
      <c r="E253" s="678"/>
    </row>
    <row r="254" spans="1:5" s="676" customFormat="1" ht="15.6" x14ac:dyDescent="0.25">
      <c r="A254" s="677"/>
      <c r="C254" s="608"/>
      <c r="D254" s="678"/>
      <c r="E254" s="678"/>
    </row>
    <row r="255" spans="1:5" s="676" customFormat="1" ht="15.6" x14ac:dyDescent="0.25">
      <c r="A255" s="677"/>
      <c r="C255" s="608"/>
      <c r="D255" s="678"/>
      <c r="E255" s="678"/>
    </row>
    <row r="256" spans="1:5" s="676" customFormat="1" ht="15.6" x14ac:dyDescent="0.25">
      <c r="A256" s="677"/>
      <c r="C256" s="608"/>
      <c r="D256" s="678"/>
      <c r="E256" s="678"/>
    </row>
    <row r="257" spans="1:5" s="676" customFormat="1" ht="15.6" x14ac:dyDescent="0.25">
      <c r="A257" s="677"/>
      <c r="C257" s="608"/>
      <c r="D257" s="678"/>
      <c r="E257" s="678"/>
    </row>
    <row r="258" spans="1:5" s="676" customFormat="1" ht="15.6" x14ac:dyDescent="0.25">
      <c r="A258" s="677"/>
      <c r="C258" s="608"/>
      <c r="D258" s="678"/>
      <c r="E258" s="678"/>
    </row>
    <row r="259" spans="1:5" s="676" customFormat="1" ht="15.6" x14ac:dyDescent="0.25">
      <c r="A259" s="677"/>
      <c r="C259" s="608"/>
      <c r="D259" s="678"/>
      <c r="E259" s="678"/>
    </row>
    <row r="260" spans="1:5" s="676" customFormat="1" ht="15.6" x14ac:dyDescent="0.25">
      <c r="A260" s="677"/>
      <c r="C260" s="608"/>
      <c r="D260" s="678"/>
      <c r="E260" s="678"/>
    </row>
    <row r="261" spans="1:5" s="676" customFormat="1" ht="15.6" x14ac:dyDescent="0.25">
      <c r="A261" s="677"/>
      <c r="C261" s="608"/>
      <c r="D261" s="678"/>
      <c r="E261" s="678"/>
    </row>
    <row r="262" spans="1:5" s="676" customFormat="1" ht="15.6" x14ac:dyDescent="0.25">
      <c r="A262" s="677"/>
      <c r="C262" s="608"/>
      <c r="D262" s="678"/>
      <c r="E262" s="678"/>
    </row>
    <row r="263" spans="1:5" s="676" customFormat="1" ht="15.6" x14ac:dyDescent="0.25">
      <c r="A263" s="677"/>
      <c r="C263" s="608"/>
      <c r="D263" s="678"/>
      <c r="E263" s="678"/>
    </row>
    <row r="264" spans="1:5" s="676" customFormat="1" ht="15.6" x14ac:dyDescent="0.25">
      <c r="A264" s="677"/>
      <c r="C264" s="608"/>
      <c r="D264" s="678"/>
      <c r="E264" s="678"/>
    </row>
    <row r="265" spans="1:5" s="676" customFormat="1" ht="15.6" x14ac:dyDescent="0.25">
      <c r="A265" s="677"/>
      <c r="C265" s="608"/>
      <c r="D265" s="678"/>
      <c r="E265" s="678"/>
    </row>
    <row r="266" spans="1:5" s="676" customFormat="1" ht="15.6" x14ac:dyDescent="0.25">
      <c r="A266" s="677"/>
      <c r="C266" s="608"/>
      <c r="D266" s="678"/>
      <c r="E266" s="678"/>
    </row>
    <row r="267" spans="1:5" s="676" customFormat="1" ht="15.6" x14ac:dyDescent="0.25">
      <c r="A267" s="677"/>
      <c r="C267" s="608"/>
      <c r="D267" s="678"/>
      <c r="E267" s="678"/>
    </row>
    <row r="268" spans="1:5" s="676" customFormat="1" ht="15.6" x14ac:dyDescent="0.25">
      <c r="A268" s="677"/>
      <c r="C268" s="608"/>
      <c r="D268" s="678"/>
      <c r="E268" s="678"/>
    </row>
    <row r="269" spans="1:5" s="676" customFormat="1" ht="15.6" x14ac:dyDescent="0.25">
      <c r="A269" s="677"/>
      <c r="C269" s="608"/>
      <c r="D269" s="678"/>
      <c r="E269" s="678"/>
    </row>
    <row r="270" spans="1:5" s="676" customFormat="1" ht="15.6" x14ac:dyDescent="0.25">
      <c r="A270" s="677"/>
      <c r="C270" s="608"/>
      <c r="D270" s="678"/>
      <c r="E270" s="678"/>
    </row>
    <row r="271" spans="1:5" s="676" customFormat="1" ht="15.6" x14ac:dyDescent="0.25">
      <c r="A271" s="677"/>
      <c r="C271" s="608"/>
      <c r="D271" s="678"/>
      <c r="E271" s="678"/>
    </row>
    <row r="272" spans="1:5" s="676" customFormat="1" ht="15.6" x14ac:dyDescent="0.25">
      <c r="A272" s="677"/>
      <c r="C272" s="608"/>
      <c r="D272" s="678"/>
      <c r="E272" s="678"/>
    </row>
    <row r="273" spans="1:5" s="676" customFormat="1" ht="15.6" x14ac:dyDescent="0.25">
      <c r="A273" s="677"/>
      <c r="C273" s="608"/>
      <c r="D273" s="678"/>
      <c r="E273" s="678"/>
    </row>
    <row r="274" spans="1:5" s="676" customFormat="1" ht="15.6" x14ac:dyDescent="0.25">
      <c r="A274" s="677"/>
      <c r="C274" s="608"/>
      <c r="D274" s="678"/>
      <c r="E274" s="678"/>
    </row>
    <row r="275" spans="1:5" s="676" customFormat="1" ht="15.6" x14ac:dyDescent="0.25">
      <c r="A275" s="677"/>
      <c r="C275" s="608"/>
      <c r="D275" s="678"/>
      <c r="E275" s="678"/>
    </row>
    <row r="276" spans="1:5" s="676" customFormat="1" ht="15.6" x14ac:dyDescent="0.25">
      <c r="A276" s="677"/>
      <c r="C276" s="608"/>
      <c r="D276" s="678"/>
      <c r="E276" s="678"/>
    </row>
    <row r="277" spans="1:5" s="676" customFormat="1" ht="15.6" x14ac:dyDescent="0.25">
      <c r="A277" s="677"/>
      <c r="C277" s="608"/>
      <c r="D277" s="678"/>
      <c r="E277" s="678"/>
    </row>
    <row r="278" spans="1:5" s="676" customFormat="1" ht="15.6" x14ac:dyDescent="0.25">
      <c r="A278" s="677"/>
      <c r="C278" s="608"/>
      <c r="D278" s="678"/>
      <c r="E278" s="678"/>
    </row>
    <row r="279" spans="1:5" s="676" customFormat="1" ht="15.6" x14ac:dyDescent="0.25">
      <c r="A279" s="677"/>
      <c r="C279" s="608"/>
      <c r="D279" s="678"/>
      <c r="E279" s="678"/>
    </row>
    <row r="280" spans="1:5" s="676" customFormat="1" ht="15.6" x14ac:dyDescent="0.25">
      <c r="A280" s="677"/>
      <c r="C280" s="608"/>
      <c r="D280" s="678"/>
      <c r="E280" s="678"/>
    </row>
    <row r="281" spans="1:5" s="676" customFormat="1" ht="15.6" x14ac:dyDescent="0.25">
      <c r="A281" s="677"/>
      <c r="C281" s="608"/>
      <c r="D281" s="678"/>
      <c r="E281" s="678"/>
    </row>
    <row r="282" spans="1:5" s="676" customFormat="1" ht="15.6" x14ac:dyDescent="0.25">
      <c r="A282" s="677"/>
      <c r="C282" s="608"/>
      <c r="D282" s="678"/>
      <c r="E282" s="678"/>
    </row>
    <row r="283" spans="1:5" s="676" customFormat="1" ht="15.6" x14ac:dyDescent="0.25">
      <c r="A283" s="677"/>
      <c r="C283" s="608"/>
      <c r="D283" s="678"/>
      <c r="E283" s="678"/>
    </row>
    <row r="284" spans="1:5" s="676" customFormat="1" ht="15.6" x14ac:dyDescent="0.25">
      <c r="A284" s="677"/>
      <c r="C284" s="608"/>
      <c r="D284" s="678"/>
      <c r="E284" s="678"/>
    </row>
    <row r="285" spans="1:5" s="676" customFormat="1" ht="15.6" x14ac:dyDescent="0.25">
      <c r="A285" s="677"/>
      <c r="C285" s="608"/>
      <c r="D285" s="678"/>
      <c r="E285" s="678"/>
    </row>
    <row r="286" spans="1:5" s="676" customFormat="1" ht="15.6" x14ac:dyDescent="0.25">
      <c r="A286" s="677"/>
      <c r="C286" s="608"/>
      <c r="D286" s="678"/>
      <c r="E286" s="678"/>
    </row>
    <row r="287" spans="1:5" s="676" customFormat="1" ht="15.6" x14ac:dyDescent="0.25">
      <c r="A287" s="677"/>
      <c r="C287" s="608"/>
      <c r="D287" s="678"/>
      <c r="E287" s="678"/>
    </row>
    <row r="288" spans="1:5" s="676" customFormat="1" ht="15.6" x14ac:dyDescent="0.25">
      <c r="A288" s="677"/>
      <c r="C288" s="608"/>
      <c r="D288" s="678"/>
      <c r="E288" s="678"/>
    </row>
    <row r="289" spans="1:5" s="676" customFormat="1" ht="15.6" x14ac:dyDescent="0.25">
      <c r="A289" s="677"/>
      <c r="C289" s="608"/>
      <c r="D289" s="678"/>
      <c r="E289" s="678"/>
    </row>
    <row r="290" spans="1:5" s="676" customFormat="1" ht="15.6" x14ac:dyDescent="0.25">
      <c r="A290" s="677"/>
      <c r="C290" s="608"/>
      <c r="D290" s="678"/>
      <c r="E290" s="678"/>
    </row>
    <row r="291" spans="1:5" s="676" customFormat="1" ht="15.6" x14ac:dyDescent="0.25">
      <c r="A291" s="677"/>
      <c r="C291" s="608"/>
      <c r="D291" s="678"/>
      <c r="E291" s="678"/>
    </row>
    <row r="292" spans="1:5" s="676" customFormat="1" ht="15.6" x14ac:dyDescent="0.25">
      <c r="A292" s="677"/>
      <c r="C292" s="608"/>
      <c r="D292" s="678"/>
      <c r="E292" s="678"/>
    </row>
    <row r="293" spans="1:5" s="676" customFormat="1" ht="15.6" x14ac:dyDescent="0.25">
      <c r="A293" s="677"/>
      <c r="C293" s="608"/>
      <c r="D293" s="678"/>
      <c r="E293" s="678"/>
    </row>
    <row r="294" spans="1:5" s="676" customFormat="1" ht="15.6" x14ac:dyDescent="0.25">
      <c r="A294" s="677"/>
      <c r="C294" s="608"/>
      <c r="D294" s="678"/>
      <c r="E294" s="678"/>
    </row>
    <row r="295" spans="1:5" s="676" customFormat="1" ht="15.6" x14ac:dyDescent="0.25">
      <c r="A295" s="677"/>
      <c r="C295" s="608"/>
      <c r="D295" s="678"/>
      <c r="E295" s="678"/>
    </row>
    <row r="296" spans="1:5" s="676" customFormat="1" ht="15.6" x14ac:dyDescent="0.25">
      <c r="A296" s="677"/>
      <c r="C296" s="608"/>
      <c r="D296" s="678"/>
      <c r="E296" s="678"/>
    </row>
    <row r="297" spans="1:5" s="676" customFormat="1" ht="15.6" x14ac:dyDescent="0.25">
      <c r="A297" s="677"/>
      <c r="C297" s="608"/>
      <c r="D297" s="678"/>
      <c r="E297" s="678"/>
    </row>
    <row r="298" spans="1:5" s="676" customFormat="1" ht="15.6" x14ac:dyDescent="0.25">
      <c r="A298" s="677"/>
      <c r="C298" s="608"/>
      <c r="D298" s="678"/>
      <c r="E298" s="678"/>
    </row>
    <row r="299" spans="1:5" s="676" customFormat="1" ht="15.6" x14ac:dyDescent="0.25">
      <c r="A299" s="677"/>
      <c r="C299" s="608"/>
      <c r="D299" s="678"/>
      <c r="E299" s="678"/>
    </row>
    <row r="300" spans="1:5" s="676" customFormat="1" ht="15.6" x14ac:dyDescent="0.25">
      <c r="A300" s="677"/>
      <c r="C300" s="608"/>
      <c r="D300" s="678"/>
      <c r="E300" s="678"/>
    </row>
    <row r="301" spans="1:5" s="676" customFormat="1" ht="15.6" x14ac:dyDescent="0.25">
      <c r="A301" s="677"/>
      <c r="C301" s="608"/>
      <c r="D301" s="678"/>
      <c r="E301" s="678"/>
    </row>
    <row r="302" spans="1:5" s="676" customFormat="1" ht="15.6" x14ac:dyDescent="0.25">
      <c r="A302" s="677"/>
      <c r="C302" s="608"/>
      <c r="D302" s="678"/>
      <c r="E302" s="678"/>
    </row>
    <row r="303" spans="1:5" s="676" customFormat="1" ht="15.6" x14ac:dyDescent="0.25">
      <c r="A303" s="677"/>
      <c r="C303" s="608"/>
      <c r="D303" s="678"/>
      <c r="E303" s="678"/>
    </row>
    <row r="304" spans="1:5" s="676" customFormat="1" ht="15.6" x14ac:dyDescent="0.25">
      <c r="A304" s="677"/>
      <c r="C304" s="608"/>
      <c r="D304" s="678"/>
      <c r="E304" s="678"/>
    </row>
    <row r="305" spans="1:5" s="676" customFormat="1" ht="15.6" x14ac:dyDescent="0.25">
      <c r="A305" s="677"/>
      <c r="C305" s="608"/>
      <c r="D305" s="678"/>
      <c r="E305" s="678"/>
    </row>
    <row r="306" spans="1:5" s="676" customFormat="1" ht="15.6" x14ac:dyDescent="0.25">
      <c r="A306" s="677"/>
      <c r="C306" s="608"/>
      <c r="D306" s="678"/>
      <c r="E306" s="678"/>
    </row>
    <row r="307" spans="1:5" s="676" customFormat="1" ht="15.6" x14ac:dyDescent="0.25">
      <c r="A307" s="677"/>
      <c r="C307" s="608"/>
      <c r="D307" s="678"/>
      <c r="E307" s="678"/>
    </row>
    <row r="308" spans="1:5" s="676" customFormat="1" ht="15.6" x14ac:dyDescent="0.25">
      <c r="A308" s="677"/>
      <c r="C308" s="608"/>
      <c r="D308" s="678"/>
      <c r="E308" s="678"/>
    </row>
    <row r="309" spans="1:5" s="676" customFormat="1" ht="15.6" x14ac:dyDescent="0.25">
      <c r="A309" s="677"/>
      <c r="C309" s="608"/>
      <c r="D309" s="678"/>
      <c r="E309" s="678"/>
    </row>
    <row r="310" spans="1:5" s="676" customFormat="1" ht="15.6" x14ac:dyDescent="0.25">
      <c r="A310" s="677"/>
      <c r="C310" s="608"/>
      <c r="D310" s="678"/>
      <c r="E310" s="678"/>
    </row>
    <row r="311" spans="1:5" s="676" customFormat="1" ht="15.6" x14ac:dyDescent="0.25">
      <c r="A311" s="677"/>
      <c r="C311" s="608"/>
      <c r="D311" s="678"/>
      <c r="E311" s="678"/>
    </row>
    <row r="312" spans="1:5" s="676" customFormat="1" ht="15.6" x14ac:dyDescent="0.25">
      <c r="A312" s="677"/>
      <c r="C312" s="608"/>
      <c r="D312" s="678"/>
      <c r="E312" s="678"/>
    </row>
    <row r="313" spans="1:5" s="676" customFormat="1" ht="15.6" x14ac:dyDescent="0.25">
      <c r="A313" s="677"/>
      <c r="C313" s="608"/>
      <c r="D313" s="678"/>
      <c r="E313" s="678"/>
    </row>
    <row r="314" spans="1:5" s="676" customFormat="1" ht="15.6" x14ac:dyDescent="0.25">
      <c r="A314" s="677"/>
      <c r="C314" s="608"/>
      <c r="D314" s="678"/>
      <c r="E314" s="678"/>
    </row>
    <row r="315" spans="1:5" s="676" customFormat="1" ht="15.6" x14ac:dyDescent="0.25">
      <c r="A315" s="677"/>
      <c r="C315" s="608"/>
      <c r="D315" s="678"/>
      <c r="E315" s="678"/>
    </row>
    <row r="316" spans="1:5" s="676" customFormat="1" ht="15.6" x14ac:dyDescent="0.25">
      <c r="A316" s="677"/>
      <c r="C316" s="608"/>
      <c r="D316" s="678"/>
      <c r="E316" s="678"/>
    </row>
    <row r="317" spans="1:5" s="676" customFormat="1" ht="15.6" x14ac:dyDescent="0.25">
      <c r="A317" s="677"/>
      <c r="C317" s="608"/>
      <c r="D317" s="678"/>
      <c r="E317" s="678"/>
    </row>
    <row r="318" spans="1:5" s="676" customFormat="1" ht="15.6" x14ac:dyDescent="0.25">
      <c r="A318" s="677"/>
      <c r="C318" s="608"/>
      <c r="D318" s="678"/>
      <c r="E318" s="678"/>
    </row>
    <row r="319" spans="1:5" s="676" customFormat="1" ht="15.6" x14ac:dyDescent="0.25">
      <c r="A319" s="677"/>
      <c r="C319" s="608"/>
      <c r="D319" s="678"/>
      <c r="E319" s="678"/>
    </row>
    <row r="320" spans="1:5" s="676" customFormat="1" ht="15.6" x14ac:dyDescent="0.25">
      <c r="A320" s="677"/>
      <c r="C320" s="608"/>
      <c r="D320" s="678"/>
      <c r="E320" s="678"/>
    </row>
    <row r="321" spans="1:5" s="676" customFormat="1" ht="15.6" x14ac:dyDescent="0.25">
      <c r="A321" s="677"/>
      <c r="C321" s="608"/>
      <c r="D321" s="678"/>
      <c r="E321" s="678"/>
    </row>
    <row r="322" spans="1:5" s="676" customFormat="1" ht="15.6" x14ac:dyDescent="0.25">
      <c r="A322" s="677"/>
      <c r="C322" s="608"/>
      <c r="D322" s="678"/>
      <c r="E322" s="678"/>
    </row>
    <row r="323" spans="1:5" s="676" customFormat="1" ht="15.6" x14ac:dyDescent="0.25">
      <c r="A323" s="677"/>
      <c r="C323" s="608"/>
      <c r="D323" s="678"/>
      <c r="E323" s="678"/>
    </row>
    <row r="324" spans="1:5" s="676" customFormat="1" ht="15.6" x14ac:dyDescent="0.25">
      <c r="A324" s="677"/>
      <c r="C324" s="608"/>
      <c r="D324" s="678"/>
      <c r="E324" s="678"/>
    </row>
    <row r="325" spans="1:5" s="676" customFormat="1" ht="15.6" x14ac:dyDescent="0.25">
      <c r="A325" s="677"/>
      <c r="C325" s="608"/>
      <c r="D325" s="678"/>
      <c r="E325" s="678"/>
    </row>
    <row r="326" spans="1:5" s="676" customFormat="1" ht="15.6" x14ac:dyDescent="0.25">
      <c r="A326" s="677"/>
      <c r="C326" s="608"/>
      <c r="D326" s="678"/>
      <c r="E326" s="678"/>
    </row>
    <row r="327" spans="1:5" s="676" customFormat="1" ht="15.6" x14ac:dyDescent="0.25">
      <c r="A327" s="677"/>
      <c r="C327" s="608"/>
      <c r="D327" s="678"/>
      <c r="E327" s="678"/>
    </row>
    <row r="328" spans="1:5" s="676" customFormat="1" ht="15.6" x14ac:dyDescent="0.25">
      <c r="A328" s="677"/>
      <c r="C328" s="608"/>
      <c r="D328" s="678"/>
      <c r="E328" s="678"/>
    </row>
    <row r="329" spans="1:5" s="676" customFormat="1" ht="15.6" x14ac:dyDescent="0.25">
      <c r="A329" s="677"/>
      <c r="C329" s="608"/>
      <c r="D329" s="678"/>
      <c r="E329" s="678"/>
    </row>
    <row r="330" spans="1:5" s="676" customFormat="1" ht="15.6" x14ac:dyDescent="0.25">
      <c r="A330" s="677"/>
      <c r="C330" s="608"/>
      <c r="D330" s="678"/>
      <c r="E330" s="678"/>
    </row>
    <row r="331" spans="1:5" s="676" customFormat="1" ht="15.6" x14ac:dyDescent="0.25">
      <c r="A331" s="677"/>
      <c r="C331" s="608"/>
      <c r="D331" s="678"/>
      <c r="E331" s="678"/>
    </row>
    <row r="332" spans="1:5" s="676" customFormat="1" ht="15.6" x14ac:dyDescent="0.25">
      <c r="A332" s="677"/>
      <c r="C332" s="608"/>
      <c r="D332" s="678"/>
      <c r="E332" s="678"/>
    </row>
    <row r="333" spans="1:5" s="676" customFormat="1" ht="15.6" x14ac:dyDescent="0.25">
      <c r="A333" s="677"/>
      <c r="C333" s="608"/>
      <c r="D333" s="678"/>
      <c r="E333" s="678"/>
    </row>
    <row r="334" spans="1:5" s="676" customFormat="1" ht="15.6" x14ac:dyDescent="0.25">
      <c r="A334" s="677"/>
      <c r="C334" s="608"/>
      <c r="D334" s="678"/>
      <c r="E334" s="678"/>
    </row>
    <row r="335" spans="1:5" s="676" customFormat="1" ht="15.6" x14ac:dyDescent="0.25">
      <c r="A335" s="677"/>
      <c r="C335" s="608"/>
      <c r="D335" s="678"/>
      <c r="E335" s="678"/>
    </row>
    <row r="336" spans="1:5" s="676" customFormat="1" ht="15.6" x14ac:dyDescent="0.25">
      <c r="A336" s="677"/>
      <c r="C336" s="608"/>
      <c r="D336" s="678"/>
      <c r="E336" s="678"/>
    </row>
    <row r="337" spans="1:5" s="676" customFormat="1" ht="15.6" x14ac:dyDescent="0.25">
      <c r="A337" s="677"/>
      <c r="C337" s="608"/>
      <c r="D337" s="678"/>
      <c r="E337" s="678"/>
    </row>
    <row r="338" spans="1:5" s="676" customFormat="1" ht="15.6" x14ac:dyDescent="0.25">
      <c r="A338" s="677"/>
      <c r="C338" s="608"/>
      <c r="D338" s="678"/>
      <c r="E338" s="678"/>
    </row>
    <row r="339" spans="1:5" s="676" customFormat="1" ht="15.6" x14ac:dyDescent="0.25">
      <c r="A339" s="677"/>
      <c r="C339" s="608"/>
      <c r="D339" s="678"/>
      <c r="E339" s="678"/>
    </row>
    <row r="340" spans="1:5" s="676" customFormat="1" ht="15.6" x14ac:dyDescent="0.25">
      <c r="A340" s="677"/>
      <c r="C340" s="608"/>
      <c r="D340" s="678"/>
      <c r="E340" s="678"/>
    </row>
    <row r="341" spans="1:5" s="676" customFormat="1" ht="15.6" x14ac:dyDescent="0.25">
      <c r="A341" s="677"/>
      <c r="C341" s="608"/>
      <c r="D341" s="678"/>
      <c r="E341" s="678"/>
    </row>
    <row r="342" spans="1:5" s="676" customFormat="1" ht="15.6" x14ac:dyDescent="0.25">
      <c r="A342" s="677"/>
      <c r="C342" s="608"/>
      <c r="D342" s="678"/>
      <c r="E342" s="678"/>
    </row>
    <row r="343" spans="1:5" s="676" customFormat="1" ht="15.6" x14ac:dyDescent="0.25">
      <c r="A343" s="677"/>
      <c r="C343" s="608"/>
      <c r="D343" s="678"/>
      <c r="E343" s="678"/>
    </row>
    <row r="344" spans="1:5" s="676" customFormat="1" ht="15.6" x14ac:dyDescent="0.25">
      <c r="A344" s="677"/>
      <c r="C344" s="608"/>
      <c r="D344" s="678"/>
      <c r="E344" s="678"/>
    </row>
    <row r="345" spans="1:5" s="676" customFormat="1" ht="15.6" x14ac:dyDescent="0.25">
      <c r="A345" s="677"/>
      <c r="C345" s="608"/>
      <c r="D345" s="678"/>
      <c r="E345" s="678"/>
    </row>
    <row r="346" spans="1:5" s="676" customFormat="1" ht="15.6" x14ac:dyDescent="0.25">
      <c r="A346" s="677"/>
      <c r="C346" s="608"/>
      <c r="D346" s="678"/>
      <c r="E346" s="678"/>
    </row>
    <row r="347" spans="1:5" s="676" customFormat="1" ht="15.6" x14ac:dyDescent="0.25">
      <c r="A347" s="677"/>
      <c r="C347" s="608"/>
      <c r="D347" s="678"/>
      <c r="E347" s="678"/>
    </row>
    <row r="348" spans="1:5" s="676" customFormat="1" ht="15.6" x14ac:dyDescent="0.25">
      <c r="A348" s="677"/>
      <c r="C348" s="608"/>
      <c r="D348" s="678"/>
      <c r="E348" s="678"/>
    </row>
    <row r="349" spans="1:5" s="676" customFormat="1" ht="15.6" x14ac:dyDescent="0.25">
      <c r="A349" s="677"/>
      <c r="C349" s="608"/>
      <c r="D349" s="678"/>
      <c r="E349" s="678"/>
    </row>
    <row r="350" spans="1:5" s="676" customFormat="1" ht="15.6" x14ac:dyDescent="0.25">
      <c r="A350" s="677"/>
      <c r="C350" s="608"/>
      <c r="D350" s="678"/>
      <c r="E350" s="678"/>
    </row>
    <row r="351" spans="1:5" s="676" customFormat="1" ht="15.6" x14ac:dyDescent="0.25">
      <c r="A351" s="677"/>
      <c r="C351" s="608"/>
      <c r="D351" s="678"/>
      <c r="E351" s="678"/>
    </row>
    <row r="352" spans="1:5" s="676" customFormat="1" ht="15.6" x14ac:dyDescent="0.25">
      <c r="A352" s="677"/>
      <c r="C352" s="608"/>
      <c r="D352" s="678"/>
      <c r="E352" s="678"/>
    </row>
    <row r="353" spans="1:5" s="676" customFormat="1" ht="15.6" x14ac:dyDescent="0.25">
      <c r="A353" s="677"/>
      <c r="C353" s="608"/>
      <c r="D353" s="678"/>
      <c r="E353" s="678"/>
    </row>
    <row r="354" spans="1:5" s="676" customFormat="1" ht="15.6" x14ac:dyDescent="0.25">
      <c r="A354" s="677"/>
      <c r="C354" s="608"/>
      <c r="D354" s="678"/>
      <c r="E354" s="678"/>
    </row>
    <row r="355" spans="1:5" s="676" customFormat="1" ht="15.6" x14ac:dyDescent="0.25">
      <c r="A355" s="677"/>
      <c r="C355" s="608"/>
      <c r="D355" s="678"/>
      <c r="E355" s="678"/>
    </row>
    <row r="356" spans="1:5" s="676" customFormat="1" ht="15.6" x14ac:dyDescent="0.25">
      <c r="A356" s="677"/>
      <c r="C356" s="608"/>
      <c r="D356" s="678"/>
      <c r="E356" s="678"/>
    </row>
    <row r="357" spans="1:5" s="676" customFormat="1" ht="15.6" x14ac:dyDescent="0.25">
      <c r="A357" s="677"/>
      <c r="C357" s="608"/>
      <c r="D357" s="678"/>
      <c r="E357" s="678"/>
    </row>
    <row r="358" spans="1:5" s="676" customFormat="1" ht="15.6" x14ac:dyDescent="0.25">
      <c r="A358" s="677"/>
      <c r="C358" s="608"/>
      <c r="D358" s="678"/>
      <c r="E358" s="678"/>
    </row>
    <row r="359" spans="1:5" s="676" customFormat="1" ht="15.6" x14ac:dyDescent="0.25">
      <c r="A359" s="677"/>
      <c r="C359" s="608"/>
      <c r="D359" s="678"/>
      <c r="E359" s="678"/>
    </row>
    <row r="360" spans="1:5" s="676" customFormat="1" ht="15.6" x14ac:dyDescent="0.25">
      <c r="A360" s="677"/>
      <c r="C360" s="608"/>
      <c r="D360" s="678"/>
      <c r="E360" s="678"/>
    </row>
    <row r="361" spans="1:5" s="676" customFormat="1" ht="15.6" x14ac:dyDescent="0.25">
      <c r="A361" s="677"/>
      <c r="C361" s="608"/>
      <c r="D361" s="678"/>
      <c r="E361" s="678"/>
    </row>
    <row r="362" spans="1:5" s="676" customFormat="1" ht="15.6" x14ac:dyDescent="0.25">
      <c r="A362" s="677"/>
      <c r="C362" s="608"/>
      <c r="D362" s="678"/>
      <c r="E362" s="678"/>
    </row>
    <row r="363" spans="1:5" s="676" customFormat="1" ht="15.6" x14ac:dyDescent="0.25">
      <c r="A363" s="677"/>
      <c r="C363" s="608"/>
      <c r="D363" s="678"/>
      <c r="E363" s="678"/>
    </row>
    <row r="364" spans="1:5" s="676" customFormat="1" ht="15.6" x14ac:dyDescent="0.25">
      <c r="A364" s="677"/>
      <c r="C364" s="608"/>
      <c r="D364" s="678"/>
      <c r="E364" s="678"/>
    </row>
    <row r="365" spans="1:5" s="676" customFormat="1" ht="15.6" x14ac:dyDescent="0.25">
      <c r="A365" s="677"/>
      <c r="C365" s="608"/>
      <c r="D365" s="678"/>
      <c r="E365" s="678"/>
    </row>
    <row r="366" spans="1:5" s="676" customFormat="1" ht="15.6" x14ac:dyDescent="0.25">
      <c r="A366" s="677"/>
      <c r="C366" s="608"/>
      <c r="D366" s="678"/>
      <c r="E366" s="678"/>
    </row>
    <row r="367" spans="1:5" s="676" customFormat="1" ht="15.6" x14ac:dyDescent="0.25">
      <c r="A367" s="677"/>
      <c r="C367" s="608"/>
      <c r="D367" s="678"/>
      <c r="E367" s="678"/>
    </row>
    <row r="368" spans="1:5" s="676" customFormat="1" ht="15.6" x14ac:dyDescent="0.25">
      <c r="A368" s="677"/>
      <c r="C368" s="608"/>
      <c r="D368" s="678"/>
      <c r="E368" s="678"/>
    </row>
    <row r="369" spans="1:5" s="676" customFormat="1" ht="15.6" x14ac:dyDescent="0.25">
      <c r="A369" s="677"/>
      <c r="C369" s="608"/>
      <c r="D369" s="678"/>
      <c r="E369" s="678"/>
    </row>
    <row r="370" spans="1:5" s="676" customFormat="1" ht="15.6" x14ac:dyDescent="0.25">
      <c r="A370" s="677"/>
      <c r="C370" s="608"/>
      <c r="D370" s="678"/>
      <c r="E370" s="678"/>
    </row>
    <row r="371" spans="1:5" s="676" customFormat="1" ht="15.6" x14ac:dyDescent="0.25">
      <c r="A371" s="677"/>
      <c r="C371" s="608"/>
      <c r="D371" s="678"/>
      <c r="E371" s="678"/>
    </row>
    <row r="372" spans="1:5" s="676" customFormat="1" ht="15.6" x14ac:dyDescent="0.25">
      <c r="A372" s="677"/>
      <c r="C372" s="608"/>
      <c r="D372" s="678"/>
      <c r="E372" s="678"/>
    </row>
    <row r="373" spans="1:5" s="676" customFormat="1" ht="15.6" x14ac:dyDescent="0.25">
      <c r="A373" s="677"/>
      <c r="C373" s="608"/>
      <c r="D373" s="678"/>
      <c r="E373" s="678"/>
    </row>
    <row r="374" spans="1:5" s="676" customFormat="1" ht="15.6" x14ac:dyDescent="0.25">
      <c r="A374" s="677"/>
      <c r="C374" s="608"/>
      <c r="D374" s="678"/>
      <c r="E374" s="678"/>
    </row>
    <row r="375" spans="1:5" s="676" customFormat="1" ht="15.6" x14ac:dyDescent="0.25">
      <c r="A375" s="677"/>
      <c r="C375" s="608"/>
      <c r="D375" s="678"/>
      <c r="E375" s="678"/>
    </row>
    <row r="376" spans="1:5" s="676" customFormat="1" ht="15.6" x14ac:dyDescent="0.25">
      <c r="A376" s="677"/>
      <c r="C376" s="608"/>
      <c r="D376" s="678"/>
      <c r="E376" s="678"/>
    </row>
    <row r="377" spans="1:5" s="676" customFormat="1" ht="15.6" x14ac:dyDescent="0.25">
      <c r="A377" s="677"/>
      <c r="C377" s="608"/>
      <c r="D377" s="678"/>
      <c r="E377" s="678"/>
    </row>
    <row r="378" spans="1:5" s="676" customFormat="1" ht="15.6" x14ac:dyDescent="0.25">
      <c r="A378" s="677"/>
      <c r="C378" s="608"/>
      <c r="D378" s="678"/>
      <c r="E378" s="678"/>
    </row>
    <row r="379" spans="1:5" s="676" customFormat="1" ht="15.6" x14ac:dyDescent="0.25">
      <c r="A379" s="677"/>
      <c r="C379" s="608"/>
      <c r="D379" s="678"/>
      <c r="E379" s="678"/>
    </row>
    <row r="380" spans="1:5" s="676" customFormat="1" ht="15.6" x14ac:dyDescent="0.25">
      <c r="A380" s="677"/>
      <c r="C380" s="608"/>
      <c r="D380" s="678"/>
      <c r="E380" s="678"/>
    </row>
    <row r="381" spans="1:5" s="676" customFormat="1" ht="15.6" x14ac:dyDescent="0.25">
      <c r="A381" s="677"/>
      <c r="C381" s="608"/>
      <c r="D381" s="678"/>
      <c r="E381" s="678"/>
    </row>
    <row r="382" spans="1:5" s="676" customFormat="1" ht="15.6" x14ac:dyDescent="0.25">
      <c r="A382" s="677"/>
      <c r="C382" s="608"/>
      <c r="D382" s="678"/>
      <c r="E382" s="678"/>
    </row>
    <row r="383" spans="1:5" s="676" customFormat="1" ht="15.6" x14ac:dyDescent="0.25">
      <c r="A383" s="677"/>
      <c r="C383" s="608"/>
      <c r="D383" s="678"/>
      <c r="E383" s="678"/>
    </row>
    <row r="384" spans="1:5" s="676" customFormat="1" ht="15.6" x14ac:dyDescent="0.25">
      <c r="A384" s="677"/>
      <c r="C384" s="608"/>
      <c r="D384" s="678"/>
      <c r="E384" s="678"/>
    </row>
    <row r="385" spans="1:5" s="676" customFormat="1" ht="15.6" x14ac:dyDescent="0.25">
      <c r="A385" s="677"/>
      <c r="C385" s="608"/>
      <c r="D385" s="678"/>
      <c r="E385" s="678"/>
    </row>
    <row r="386" spans="1:5" s="676" customFormat="1" ht="15.6" x14ac:dyDescent="0.25">
      <c r="A386" s="677"/>
      <c r="C386" s="608"/>
      <c r="D386" s="678"/>
      <c r="E386" s="678"/>
    </row>
    <row r="387" spans="1:5" s="676" customFormat="1" ht="15.6" x14ac:dyDescent="0.25">
      <c r="A387" s="677"/>
      <c r="C387" s="608"/>
      <c r="D387" s="678"/>
      <c r="E387" s="678"/>
    </row>
    <row r="388" spans="1:5" s="676" customFormat="1" ht="15.6" x14ac:dyDescent="0.25">
      <c r="A388" s="677"/>
      <c r="C388" s="608"/>
      <c r="D388" s="678"/>
      <c r="E388" s="678"/>
    </row>
    <row r="389" spans="1:5" s="676" customFormat="1" ht="15.6" x14ac:dyDescent="0.25">
      <c r="A389" s="677"/>
      <c r="C389" s="608"/>
      <c r="D389" s="678"/>
      <c r="E389" s="678"/>
    </row>
    <row r="390" spans="1:5" s="676" customFormat="1" ht="15.6" x14ac:dyDescent="0.25">
      <c r="A390" s="677"/>
      <c r="C390" s="608"/>
      <c r="D390" s="678"/>
      <c r="E390" s="678"/>
    </row>
    <row r="391" spans="1:5" s="676" customFormat="1" ht="15.6" x14ac:dyDescent="0.25">
      <c r="A391" s="677"/>
      <c r="C391" s="608"/>
      <c r="D391" s="678"/>
      <c r="E391" s="678"/>
    </row>
    <row r="392" spans="1:5" s="676" customFormat="1" ht="15.6" x14ac:dyDescent="0.25">
      <c r="A392" s="677"/>
      <c r="C392" s="608"/>
      <c r="D392" s="678"/>
      <c r="E392" s="678"/>
    </row>
    <row r="393" spans="1:5" s="676" customFormat="1" ht="15.6" x14ac:dyDescent="0.25">
      <c r="A393" s="677"/>
      <c r="C393" s="608"/>
      <c r="D393" s="678"/>
      <c r="E393" s="678"/>
    </row>
    <row r="394" spans="1:5" s="676" customFormat="1" ht="15.6" x14ac:dyDescent="0.25">
      <c r="A394" s="677"/>
      <c r="C394" s="608"/>
      <c r="D394" s="678"/>
      <c r="E394" s="678"/>
    </row>
    <row r="395" spans="1:5" s="676" customFormat="1" ht="15.6" x14ac:dyDescent="0.25">
      <c r="A395" s="677"/>
      <c r="C395" s="608"/>
      <c r="D395" s="678"/>
      <c r="E395" s="678"/>
    </row>
    <row r="396" spans="1:5" s="676" customFormat="1" ht="15.6" x14ac:dyDescent="0.25">
      <c r="A396" s="677"/>
      <c r="C396" s="608"/>
      <c r="D396" s="678"/>
      <c r="E396" s="678"/>
    </row>
    <row r="397" spans="1:5" s="676" customFormat="1" ht="15.6" x14ac:dyDescent="0.25">
      <c r="A397" s="677"/>
      <c r="C397" s="608"/>
      <c r="D397" s="678"/>
      <c r="E397" s="678"/>
    </row>
    <row r="398" spans="1:5" s="676" customFormat="1" ht="15.6" x14ac:dyDescent="0.25">
      <c r="A398" s="677"/>
      <c r="C398" s="608"/>
      <c r="D398" s="678"/>
      <c r="E398" s="678"/>
    </row>
    <row r="399" spans="1:5" s="676" customFormat="1" ht="15.6" x14ac:dyDescent="0.25">
      <c r="A399" s="677"/>
      <c r="C399" s="608"/>
      <c r="D399" s="678"/>
      <c r="E399" s="678"/>
    </row>
    <row r="400" spans="1:5" s="676" customFormat="1" ht="15.6" x14ac:dyDescent="0.25">
      <c r="A400" s="677"/>
      <c r="C400" s="608"/>
      <c r="D400" s="678"/>
      <c r="E400" s="678"/>
    </row>
    <row r="401" spans="1:5" s="676" customFormat="1" ht="15.6" x14ac:dyDescent="0.25">
      <c r="A401" s="677"/>
      <c r="C401" s="608"/>
      <c r="D401" s="678"/>
      <c r="E401" s="678"/>
    </row>
    <row r="402" spans="1:5" s="676" customFormat="1" ht="15.6" x14ac:dyDescent="0.25">
      <c r="A402" s="677"/>
      <c r="C402" s="608"/>
      <c r="D402" s="678"/>
      <c r="E402" s="678"/>
    </row>
    <row r="403" spans="1:5" s="676" customFormat="1" ht="15.6" x14ac:dyDescent="0.25">
      <c r="A403" s="677"/>
      <c r="C403" s="608"/>
      <c r="D403" s="678"/>
      <c r="E403" s="678"/>
    </row>
    <row r="404" spans="1:5" s="676" customFormat="1" ht="15.6" x14ac:dyDescent="0.25">
      <c r="A404" s="677"/>
      <c r="C404" s="608"/>
      <c r="D404" s="678"/>
      <c r="E404" s="678"/>
    </row>
    <row r="405" spans="1:5" s="676" customFormat="1" ht="15.6" x14ac:dyDescent="0.25">
      <c r="A405" s="677"/>
      <c r="C405" s="608"/>
      <c r="D405" s="678"/>
      <c r="E405" s="678"/>
    </row>
    <row r="406" spans="1:5" s="676" customFormat="1" ht="15.6" x14ac:dyDescent="0.25">
      <c r="A406" s="677"/>
      <c r="C406" s="608"/>
      <c r="D406" s="678"/>
      <c r="E406" s="678"/>
    </row>
    <row r="407" spans="1:5" s="676" customFormat="1" ht="15.6" x14ac:dyDescent="0.25">
      <c r="A407" s="677"/>
      <c r="C407" s="608"/>
      <c r="D407" s="678"/>
      <c r="E407" s="678"/>
    </row>
    <row r="408" spans="1:5" s="676" customFormat="1" ht="15.6" x14ac:dyDescent="0.25">
      <c r="A408" s="677"/>
      <c r="C408" s="608"/>
      <c r="D408" s="678"/>
      <c r="E408" s="678"/>
    </row>
    <row r="409" spans="1:5" s="676" customFormat="1" ht="15.6" x14ac:dyDescent="0.25">
      <c r="A409" s="677"/>
      <c r="C409" s="608"/>
      <c r="D409" s="678"/>
      <c r="E409" s="678"/>
    </row>
    <row r="410" spans="1:5" s="676" customFormat="1" ht="15.6" x14ac:dyDescent="0.25">
      <c r="A410" s="677"/>
      <c r="C410" s="608"/>
      <c r="D410" s="678"/>
      <c r="E410" s="678"/>
    </row>
    <row r="411" spans="1:5" s="676" customFormat="1" ht="15.6" x14ac:dyDescent="0.25">
      <c r="A411" s="677"/>
      <c r="C411" s="608"/>
      <c r="D411" s="678"/>
      <c r="E411" s="678"/>
    </row>
    <row r="412" spans="1:5" s="676" customFormat="1" ht="15.6" x14ac:dyDescent="0.25">
      <c r="A412" s="677"/>
      <c r="C412" s="608"/>
      <c r="D412" s="678"/>
      <c r="E412" s="678"/>
    </row>
    <row r="413" spans="1:5" s="676" customFormat="1" ht="15.6" x14ac:dyDescent="0.25">
      <c r="A413" s="677"/>
      <c r="C413" s="608"/>
      <c r="D413" s="678"/>
      <c r="E413" s="678"/>
    </row>
    <row r="414" spans="1:5" s="676" customFormat="1" ht="15.6" x14ac:dyDescent="0.25">
      <c r="A414" s="677"/>
      <c r="C414" s="608"/>
      <c r="D414" s="678"/>
      <c r="E414" s="678"/>
    </row>
    <row r="415" spans="1:5" s="676" customFormat="1" ht="15.6" x14ac:dyDescent="0.25">
      <c r="A415" s="677"/>
      <c r="C415" s="608"/>
      <c r="D415" s="678"/>
      <c r="E415" s="678"/>
    </row>
    <row r="416" spans="1:5" s="676" customFormat="1" ht="15.6" x14ac:dyDescent="0.25">
      <c r="A416" s="677"/>
      <c r="C416" s="608"/>
      <c r="D416" s="678"/>
      <c r="E416" s="678"/>
    </row>
    <row r="417" spans="1:5" s="676" customFormat="1" ht="15.6" x14ac:dyDescent="0.25">
      <c r="A417" s="677"/>
      <c r="C417" s="608"/>
      <c r="D417" s="678"/>
      <c r="E417" s="678"/>
    </row>
    <row r="418" spans="1:5" s="676" customFormat="1" ht="15.6" x14ac:dyDescent="0.25">
      <c r="A418" s="677"/>
      <c r="C418" s="608"/>
      <c r="D418" s="678"/>
      <c r="E418" s="678"/>
    </row>
    <row r="419" spans="1:5" s="676" customFormat="1" ht="15.6" x14ac:dyDescent="0.25">
      <c r="A419" s="677"/>
      <c r="C419" s="608"/>
      <c r="D419" s="678"/>
      <c r="E419" s="678"/>
    </row>
    <row r="420" spans="1:5" s="676" customFormat="1" ht="15.6" x14ac:dyDescent="0.25">
      <c r="A420" s="677"/>
      <c r="C420" s="608"/>
      <c r="D420" s="678"/>
      <c r="E420" s="678"/>
    </row>
    <row r="421" spans="1:5" s="676" customFormat="1" ht="15.6" x14ac:dyDescent="0.25">
      <c r="A421" s="677"/>
      <c r="C421" s="608"/>
      <c r="D421" s="678"/>
      <c r="E421" s="678"/>
    </row>
    <row r="422" spans="1:5" s="676" customFormat="1" ht="15.6" x14ac:dyDescent="0.25">
      <c r="A422" s="677"/>
      <c r="C422" s="608"/>
      <c r="D422" s="678"/>
      <c r="E422" s="67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4.4" x14ac:dyDescent="0.3"/>
  <cols>
    <col min="1" max="2" width="3.88671875" customWidth="1"/>
    <col min="3" max="3" width="20.5546875" customWidth="1"/>
    <col min="4" max="4" width="3.88671875" customWidth="1"/>
    <col min="5" max="5" width="20.5546875" customWidth="1"/>
    <col min="6" max="6" width="3.88671875" customWidth="1"/>
    <col min="7" max="7" width="20.5546875" customWidth="1"/>
    <col min="8" max="8" width="3.88671875" customWidth="1"/>
    <col min="9" max="9" width="20.5546875" customWidth="1"/>
    <col min="10" max="10" width="3.88671875" customWidth="1"/>
    <col min="11" max="11" width="20.5546875" customWidth="1"/>
    <col min="12" max="14" width="3.88671875" customWidth="1"/>
    <col min="15" max="15" width="20.5546875" customWidth="1"/>
    <col min="16" max="16" width="3.88671875" customWidth="1"/>
    <col min="17" max="17" width="20.5546875" customWidth="1"/>
    <col min="18" max="18" width="3.88671875" customWidth="1"/>
    <col min="19" max="19" width="20.5546875" customWidth="1"/>
    <col min="20" max="20" width="3.88671875" customWidth="1"/>
  </cols>
  <sheetData>
    <row r="2" spans="2:21" ht="25.8" x14ac:dyDescent="0.5">
      <c r="B2" s="340" t="s">
        <v>1841</v>
      </c>
      <c r="C2" s="338"/>
      <c r="D2" s="338"/>
      <c r="E2" s="338"/>
      <c r="F2" s="338"/>
      <c r="G2" s="338"/>
      <c r="H2" s="338"/>
      <c r="I2" s="338"/>
      <c r="J2" s="338"/>
      <c r="K2" s="338"/>
      <c r="L2" s="338"/>
      <c r="M2" s="338"/>
      <c r="N2" s="338"/>
      <c r="O2" s="338"/>
      <c r="P2" s="338"/>
      <c r="Q2" s="338"/>
      <c r="R2" s="338"/>
      <c r="S2" s="338"/>
      <c r="T2" s="339"/>
    </row>
    <row r="4" spans="2:21" x14ac:dyDescent="0.3">
      <c r="B4" s="205" t="s">
        <v>1842</v>
      </c>
      <c r="C4" s="799"/>
      <c r="D4" s="799"/>
      <c r="E4" s="799"/>
      <c r="F4" s="799"/>
      <c r="G4" s="799"/>
      <c r="H4" s="799"/>
      <c r="I4" s="799"/>
      <c r="J4" s="799"/>
      <c r="K4" s="799"/>
      <c r="L4" s="799"/>
      <c r="M4" s="799"/>
      <c r="N4" s="799"/>
      <c r="O4" s="799"/>
      <c r="P4" s="799"/>
      <c r="Q4" s="799"/>
      <c r="R4" s="799"/>
      <c r="S4" s="799"/>
      <c r="T4" s="800"/>
    </row>
    <row r="5" spans="2:21" x14ac:dyDescent="0.3">
      <c r="B5" s="207" t="s">
        <v>1843</v>
      </c>
      <c r="C5" s="206"/>
      <c r="D5" s="206"/>
      <c r="E5" s="206"/>
      <c r="F5" s="206"/>
      <c r="G5" s="206"/>
      <c r="H5" s="206"/>
      <c r="I5" s="206"/>
      <c r="J5" s="206"/>
      <c r="K5" s="206"/>
      <c r="L5" s="206"/>
      <c r="M5" s="206"/>
      <c r="N5" s="206"/>
      <c r="O5" s="206"/>
      <c r="P5" s="206"/>
      <c r="Q5" s="206"/>
      <c r="R5" s="206"/>
      <c r="S5" s="206"/>
      <c r="T5" s="208"/>
    </row>
    <row r="6" spans="2:21" x14ac:dyDescent="0.3">
      <c r="R6" s="178"/>
      <c r="S6" s="178"/>
      <c r="T6" s="178"/>
    </row>
    <row r="7" spans="2:21" x14ac:dyDescent="0.3">
      <c r="B7" s="205"/>
      <c r="C7" s="799"/>
      <c r="D7" s="799"/>
      <c r="E7" s="799"/>
      <c r="F7" s="799"/>
      <c r="G7" s="799"/>
      <c r="H7" s="799"/>
      <c r="I7" s="799"/>
      <c r="J7" s="799"/>
      <c r="K7" s="799"/>
      <c r="L7" s="800"/>
      <c r="N7" s="205"/>
      <c r="O7" s="799"/>
      <c r="P7" s="799"/>
      <c r="Q7" s="799"/>
      <c r="R7" s="203"/>
      <c r="S7" s="203"/>
      <c r="T7" s="203"/>
      <c r="U7" s="147"/>
    </row>
    <row r="8" spans="2:21" ht="46.8" x14ac:dyDescent="0.3">
      <c r="B8" s="209"/>
      <c r="C8" s="325" t="s">
        <v>1844</v>
      </c>
      <c r="D8" s="405"/>
      <c r="E8" s="325" t="s">
        <v>1845</v>
      </c>
      <c r="F8" s="405"/>
      <c r="G8" s="325" t="s">
        <v>1846</v>
      </c>
      <c r="H8" s="405"/>
      <c r="I8" s="325" t="s">
        <v>1847</v>
      </c>
      <c r="J8" s="405"/>
      <c r="K8" s="402" t="s">
        <v>1848</v>
      </c>
      <c r="L8" s="406"/>
      <c r="M8" s="326"/>
      <c r="N8" s="409"/>
      <c r="O8" s="327" t="s">
        <v>1849</v>
      </c>
      <c r="P8" s="409"/>
      <c r="Q8" s="327" t="s">
        <v>1850</v>
      </c>
      <c r="R8" s="405"/>
      <c r="S8" s="327" t="s">
        <v>1851</v>
      </c>
      <c r="T8" s="405"/>
      <c r="U8" s="147"/>
    </row>
    <row r="9" spans="2:21" x14ac:dyDescent="0.3">
      <c r="B9" s="209"/>
      <c r="C9" s="203"/>
      <c r="D9" s="203"/>
      <c r="E9" s="203"/>
      <c r="F9" s="203"/>
      <c r="G9" s="203"/>
      <c r="H9" s="203"/>
      <c r="I9" s="203"/>
      <c r="J9" s="203"/>
      <c r="K9" s="203"/>
      <c r="L9" s="210"/>
      <c r="N9" s="209"/>
      <c r="O9" s="203"/>
      <c r="P9" s="203"/>
      <c r="Q9" s="203"/>
      <c r="R9" s="203"/>
      <c r="S9" s="203"/>
      <c r="T9" s="203"/>
      <c r="U9" s="147"/>
    </row>
    <row r="10" spans="2:21" ht="39.9" customHeight="1" x14ac:dyDescent="0.3">
      <c r="B10" s="209"/>
      <c r="C10" s="403"/>
      <c r="D10" s="178"/>
      <c r="E10" s="699"/>
      <c r="F10" s="178"/>
      <c r="G10" s="444" t="s">
        <v>1852</v>
      </c>
      <c r="H10" s="445"/>
      <c r="I10" s="445"/>
      <c r="J10" s="178"/>
      <c r="K10" s="404"/>
      <c r="L10" s="210"/>
      <c r="N10" s="209"/>
      <c r="O10" s="403"/>
      <c r="P10" s="178"/>
      <c r="Q10" s="445" t="s">
        <v>1853</v>
      </c>
      <c r="R10" s="178"/>
      <c r="S10" s="404"/>
      <c r="T10" s="203"/>
      <c r="U10" s="147"/>
    </row>
    <row r="11" spans="2:21" x14ac:dyDescent="0.3">
      <c r="B11" s="209"/>
      <c r="C11" s="203"/>
      <c r="D11" s="203"/>
      <c r="E11" s="203"/>
      <c r="F11" s="203"/>
      <c r="G11" s="203"/>
      <c r="H11" s="203"/>
      <c r="I11" s="203"/>
      <c r="J11" s="203"/>
      <c r="K11" s="203"/>
      <c r="L11" s="210"/>
      <c r="N11" s="209"/>
      <c r="O11" s="203"/>
      <c r="P11" s="203"/>
      <c r="Q11" s="203"/>
      <c r="R11" s="203"/>
      <c r="S11" s="203"/>
      <c r="T11" s="203"/>
      <c r="U11" s="147"/>
    </row>
    <row r="12" spans="2:21" ht="174.9" customHeight="1" x14ac:dyDescent="0.3">
      <c r="B12" s="209"/>
      <c r="C12" s="324" t="s">
        <v>1854</v>
      </c>
      <c r="D12" s="407"/>
      <c r="E12" s="324" t="s">
        <v>1855</v>
      </c>
      <c r="F12" s="407"/>
      <c r="G12" s="322" t="s">
        <v>1856</v>
      </c>
      <c r="H12" s="407"/>
      <c r="I12" s="323" t="s">
        <v>1857</v>
      </c>
      <c r="J12" s="407"/>
      <c r="K12" s="322" t="s">
        <v>1858</v>
      </c>
      <c r="L12" s="408"/>
      <c r="M12" s="217"/>
      <c r="N12" s="410"/>
      <c r="O12" s="324" t="s">
        <v>1859</v>
      </c>
      <c r="P12" s="410"/>
      <c r="Q12" s="362" t="s">
        <v>1860</v>
      </c>
      <c r="R12" s="407"/>
      <c r="S12" s="362" t="s">
        <v>1861</v>
      </c>
      <c r="T12" s="407"/>
      <c r="U12" s="147"/>
    </row>
    <row r="13" spans="2:21" x14ac:dyDescent="0.3">
      <c r="B13" s="207"/>
      <c r="C13" s="206"/>
      <c r="D13" s="206"/>
      <c r="E13" s="206"/>
      <c r="F13" s="206"/>
      <c r="G13" s="206"/>
      <c r="H13" s="206"/>
      <c r="I13" s="206"/>
      <c r="J13" s="206"/>
      <c r="K13" s="206"/>
      <c r="L13" s="208"/>
      <c r="N13" s="207"/>
      <c r="O13" s="206"/>
      <c r="P13" s="411"/>
      <c r="Q13" s="411"/>
      <c r="R13" s="411"/>
      <c r="S13" s="411"/>
      <c r="T13" s="411"/>
      <c r="U13" s="147"/>
    </row>
    <row r="16" spans="2:21" x14ac:dyDescent="0.3">
      <c r="B16" s="205"/>
      <c r="C16" s="799"/>
      <c r="D16" s="799"/>
      <c r="E16" s="799"/>
      <c r="F16" s="799"/>
      <c r="G16" s="799"/>
      <c r="H16" s="799"/>
      <c r="I16" s="799"/>
      <c r="J16" s="799"/>
      <c r="K16" s="799"/>
      <c r="L16" s="799"/>
      <c r="M16" s="799"/>
      <c r="N16" s="799"/>
      <c r="O16" s="799"/>
      <c r="P16" s="799"/>
      <c r="Q16" s="799"/>
      <c r="R16" s="799"/>
      <c r="S16" s="799"/>
      <c r="T16" s="800"/>
    </row>
    <row r="17" spans="2:20" x14ac:dyDescent="0.3">
      <c r="B17" s="209" t="s">
        <v>1862</v>
      </c>
      <c r="C17" s="203"/>
      <c r="D17" s="203"/>
      <c r="E17" s="203"/>
      <c r="F17" s="203"/>
      <c r="G17" s="203"/>
      <c r="H17" s="203"/>
      <c r="I17" s="203"/>
      <c r="J17" s="203"/>
      <c r="K17" s="203"/>
      <c r="L17" s="203"/>
      <c r="M17" s="203"/>
      <c r="N17" s="203"/>
      <c r="O17" s="203"/>
      <c r="P17" s="203"/>
      <c r="Q17" s="203"/>
      <c r="R17" s="203"/>
      <c r="S17" s="203"/>
      <c r="T17" s="210"/>
    </row>
    <row r="18" spans="2:20" x14ac:dyDescent="0.3">
      <c r="B18" s="412" t="s">
        <v>1863</v>
      </c>
      <c r="C18" s="203"/>
      <c r="D18" s="203"/>
      <c r="E18" s="203"/>
      <c r="F18" s="203"/>
      <c r="G18" s="203"/>
      <c r="H18" s="203"/>
      <c r="I18" s="203"/>
      <c r="J18" s="203"/>
      <c r="K18" s="203"/>
      <c r="L18" s="203"/>
      <c r="M18" s="203"/>
      <c r="N18" s="203"/>
      <c r="O18" s="203"/>
      <c r="P18" s="203"/>
      <c r="Q18" s="203"/>
      <c r="R18" s="203"/>
      <c r="S18" s="203"/>
      <c r="T18" s="210"/>
    </row>
    <row r="19" spans="2:20" x14ac:dyDescent="0.3">
      <c r="B19" s="413" t="s">
        <v>1864</v>
      </c>
      <c r="C19" s="203"/>
      <c r="D19" s="203"/>
      <c r="E19" s="203"/>
      <c r="F19" s="203"/>
      <c r="G19" s="203"/>
      <c r="H19" s="203"/>
      <c r="I19" s="203"/>
      <c r="J19" s="203"/>
      <c r="K19" s="203"/>
      <c r="L19" s="203"/>
      <c r="M19" s="203"/>
      <c r="N19" s="203"/>
      <c r="O19" s="203"/>
      <c r="P19" s="203"/>
      <c r="Q19" s="203"/>
      <c r="R19" s="203"/>
      <c r="S19" s="203"/>
      <c r="T19" s="210"/>
    </row>
    <row r="20" spans="2:20" x14ac:dyDescent="0.3">
      <c r="B20" s="414" t="s">
        <v>1865</v>
      </c>
      <c r="C20" s="203"/>
      <c r="D20" s="203"/>
      <c r="E20" s="203"/>
      <c r="F20" s="203"/>
      <c r="G20" s="203"/>
      <c r="H20" s="203"/>
      <c r="I20" s="203"/>
      <c r="J20" s="203"/>
      <c r="K20" s="203"/>
      <c r="L20" s="203"/>
      <c r="M20" s="203"/>
      <c r="N20" s="203"/>
      <c r="O20" s="203"/>
      <c r="P20" s="203"/>
      <c r="Q20" s="203"/>
      <c r="R20" s="203"/>
      <c r="S20" s="203"/>
      <c r="T20" s="210"/>
    </row>
    <row r="21" spans="2:20" x14ac:dyDescent="0.3">
      <c r="B21" s="413" t="s">
        <v>1866</v>
      </c>
      <c r="C21" s="203"/>
      <c r="D21" s="203"/>
      <c r="E21" s="203"/>
      <c r="F21" s="203"/>
      <c r="G21" s="203"/>
      <c r="H21" s="203"/>
      <c r="I21" s="203"/>
      <c r="J21" s="203"/>
      <c r="K21" s="203"/>
      <c r="L21" s="203"/>
      <c r="M21" s="203"/>
      <c r="N21" s="203"/>
      <c r="O21" s="203"/>
      <c r="P21" s="203"/>
      <c r="Q21" s="203"/>
      <c r="R21" s="203"/>
      <c r="S21" s="203"/>
      <c r="T21" s="210"/>
    </row>
    <row r="22" spans="2:20" x14ac:dyDescent="0.3">
      <c r="B22" s="413" t="s">
        <v>1867</v>
      </c>
      <c r="C22" s="203"/>
      <c r="D22" s="203"/>
      <c r="E22" s="203"/>
      <c r="F22" s="203"/>
      <c r="G22" s="203"/>
      <c r="H22" s="203"/>
      <c r="I22" s="203"/>
      <c r="J22" s="203"/>
      <c r="K22" s="203"/>
      <c r="L22" s="203"/>
      <c r="M22" s="203"/>
      <c r="N22" s="203"/>
      <c r="O22" s="203"/>
      <c r="P22" s="203"/>
      <c r="Q22" s="203"/>
      <c r="R22" s="203"/>
      <c r="S22" s="203"/>
      <c r="T22" s="210"/>
    </row>
    <row r="23" spans="2:20" x14ac:dyDescent="0.3">
      <c r="B23" s="209"/>
      <c r="C23" s="203"/>
      <c r="D23" s="203"/>
      <c r="E23" s="203"/>
      <c r="F23" s="203"/>
      <c r="G23" s="203"/>
      <c r="H23" s="203"/>
      <c r="I23" s="203"/>
      <c r="J23" s="203"/>
      <c r="K23" s="203"/>
      <c r="L23" s="203"/>
      <c r="M23" s="203"/>
      <c r="N23" s="203"/>
      <c r="O23" s="203"/>
      <c r="P23" s="203"/>
      <c r="Q23" s="203"/>
      <c r="R23" s="203"/>
      <c r="S23" s="203"/>
      <c r="T23" s="210"/>
    </row>
    <row r="24" spans="2:20" x14ac:dyDescent="0.3">
      <c r="B24" s="415" t="s">
        <v>1868</v>
      </c>
      <c r="C24" s="203"/>
      <c r="D24" s="203"/>
      <c r="E24" s="203"/>
      <c r="F24" s="203"/>
      <c r="G24" s="203"/>
      <c r="H24" s="203"/>
      <c r="I24" s="203"/>
      <c r="J24" s="203"/>
      <c r="K24" s="203"/>
      <c r="L24" s="203"/>
      <c r="M24" s="203"/>
      <c r="N24" s="203"/>
      <c r="O24" s="203"/>
      <c r="P24" s="203"/>
      <c r="Q24" s="203"/>
      <c r="R24" s="203"/>
      <c r="S24" s="203"/>
      <c r="T24" s="210"/>
    </row>
    <row r="25" spans="2:20" x14ac:dyDescent="0.3">
      <c r="B25" s="207"/>
      <c r="C25" s="206"/>
      <c r="D25" s="206"/>
      <c r="E25" s="206"/>
      <c r="F25" s="206"/>
      <c r="G25" s="206"/>
      <c r="H25" s="206"/>
      <c r="I25" s="206"/>
      <c r="J25" s="206"/>
      <c r="K25" s="206"/>
      <c r="L25" s="206"/>
      <c r="M25" s="206"/>
      <c r="N25" s="206"/>
      <c r="O25" s="206"/>
      <c r="P25" s="206"/>
      <c r="Q25" s="206"/>
      <c r="R25" s="206"/>
      <c r="S25" s="206"/>
      <c r="T25" s="208"/>
    </row>
  </sheetData>
  <sheetProtection algorithmName="SHA-512" hashValue="nd/X3IHO/j3wvj13zCATQrPLNiOm9StqZClsS9FqPeOq11pjVt9IJKlcIGFv/tEk0l5HbN51qkyuBi7KZMTAng==" saltValue="PFiSyxM5cbeVt1GoY2BRFQ=="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81"/>
  <sheetViews>
    <sheetView showGridLines="0" zoomScale="90" zoomScaleNormal="90" zoomScaleSheetLayoutView="25" workbookViewId="0">
      <selection activeCell="D28" sqref="D28"/>
    </sheetView>
  </sheetViews>
  <sheetFormatPr defaultRowHeight="14.4" x14ac:dyDescent="0.3"/>
  <cols>
    <col min="1" max="1" width="2.44140625" customWidth="1"/>
    <col min="2" max="2" width="5.88671875" customWidth="1"/>
    <col min="3" max="3" width="63" customWidth="1"/>
    <col min="4" max="4" width="18" customWidth="1"/>
    <col min="5" max="5" width="14.109375" customWidth="1"/>
    <col min="6" max="8" width="13.44140625" customWidth="1"/>
    <col min="9" max="9" width="14" customWidth="1"/>
    <col min="10" max="10" width="16.109375" customWidth="1"/>
    <col min="11" max="16" width="13.44140625" customWidth="1"/>
    <col min="17" max="17" width="3.44140625" customWidth="1"/>
  </cols>
  <sheetData>
    <row r="1" spans="2:22" ht="30" customHeight="1" x14ac:dyDescent="0.3">
      <c r="B1" s="452" t="s">
        <v>2218</v>
      </c>
    </row>
    <row r="2" spans="2:22" ht="30" customHeight="1" x14ac:dyDescent="0.3">
      <c r="B2" s="143" t="s">
        <v>1869</v>
      </c>
      <c r="C2" s="143"/>
      <c r="D2" s="157"/>
      <c r="E2" s="142"/>
      <c r="F2" s="142"/>
      <c r="G2" s="142"/>
      <c r="H2" s="142"/>
      <c r="I2" s="142"/>
      <c r="J2" s="142"/>
      <c r="K2" s="142"/>
      <c r="L2" s="142"/>
      <c r="M2" s="142"/>
      <c r="N2" s="142"/>
      <c r="O2" s="142"/>
      <c r="P2" s="142"/>
      <c r="Q2" s="142"/>
      <c r="R2" s="142"/>
      <c r="S2" s="142"/>
      <c r="T2" s="142"/>
      <c r="U2" s="142"/>
      <c r="V2" s="142"/>
    </row>
    <row r="4" spans="2:22" x14ac:dyDescent="0.3">
      <c r="B4" s="144" t="s">
        <v>1870</v>
      </c>
      <c r="C4" s="755"/>
      <c r="D4" s="755"/>
      <c r="E4" s="755"/>
      <c r="F4" s="755"/>
      <c r="G4" s="755"/>
      <c r="H4" s="755"/>
      <c r="I4" s="755"/>
      <c r="J4" s="755"/>
      <c r="K4" s="755"/>
      <c r="L4" s="755"/>
      <c r="M4" s="755"/>
      <c r="N4" s="755"/>
      <c r="O4" s="755"/>
      <c r="P4" s="755"/>
      <c r="Q4" s="720"/>
    </row>
    <row r="5" spans="2:22" x14ac:dyDescent="0.3">
      <c r="B5" s="147"/>
      <c r="C5" t="s">
        <v>1871</v>
      </c>
      <c r="Q5" s="146"/>
    </row>
    <row r="6" spans="2:22" x14ac:dyDescent="0.3">
      <c r="B6" s="147"/>
      <c r="C6" t="s">
        <v>1872</v>
      </c>
      <c r="Q6" s="146"/>
    </row>
    <row r="7" spans="2:22" x14ac:dyDescent="0.3">
      <c r="B7" s="147"/>
      <c r="C7" t="s">
        <v>1873</v>
      </c>
      <c r="Q7" s="146"/>
    </row>
    <row r="8" spans="2:22" x14ac:dyDescent="0.3">
      <c r="B8" s="148"/>
      <c r="C8" s="149"/>
      <c r="D8" s="149"/>
      <c r="E8" s="149"/>
      <c r="F8" s="149"/>
      <c r="G8" s="149"/>
      <c r="H8" s="149"/>
      <c r="I8" s="149"/>
      <c r="J8" s="149"/>
      <c r="K8" s="149"/>
      <c r="L8" s="149"/>
      <c r="M8" s="149"/>
      <c r="N8" s="149"/>
      <c r="O8" s="149"/>
      <c r="P8" s="149"/>
      <c r="Q8" s="146"/>
    </row>
    <row r="9" spans="2:22" x14ac:dyDescent="0.3">
      <c r="Q9" s="178"/>
    </row>
    <row r="10" spans="2:22" x14ac:dyDescent="0.3">
      <c r="B10" s="144" t="s">
        <v>1874</v>
      </c>
      <c r="C10" s="755"/>
      <c r="D10" s="755"/>
      <c r="E10" s="755"/>
      <c r="F10" s="755"/>
      <c r="G10" s="755"/>
      <c r="H10" s="755"/>
      <c r="I10" s="755"/>
      <c r="J10" s="755"/>
      <c r="K10" s="755"/>
      <c r="L10" s="755"/>
      <c r="M10" s="755"/>
      <c r="N10" s="755"/>
      <c r="O10" s="755"/>
      <c r="P10" s="755"/>
      <c r="Q10" s="146"/>
    </row>
    <row r="11" spans="2:22" x14ac:dyDescent="0.3">
      <c r="B11" s="145"/>
      <c r="C11" s="140" t="s">
        <v>1875</v>
      </c>
      <c r="D11" s="138" t="s">
        <v>21</v>
      </c>
      <c r="Q11" s="146"/>
    </row>
    <row r="12" spans="2:22" x14ac:dyDescent="0.3">
      <c r="B12" s="145"/>
      <c r="C12" s="140" t="s">
        <v>41</v>
      </c>
      <c r="D12" s="138" t="s">
        <v>62</v>
      </c>
      <c r="E12" s="116">
        <f>'Population selection'!F14</f>
        <v>45691677</v>
      </c>
      <c r="F12" s="743" t="s">
        <v>1876</v>
      </c>
      <c r="Q12" s="146"/>
    </row>
    <row r="13" spans="2:22" x14ac:dyDescent="0.3">
      <c r="B13" s="145"/>
      <c r="C13" s="140"/>
      <c r="E13" s="778">
        <v>2.5222393017283001E-2</v>
      </c>
      <c r="F13" s="171" t="s">
        <v>1877</v>
      </c>
      <c r="Q13" s="146"/>
    </row>
    <row r="14" spans="2:22" x14ac:dyDescent="0.3">
      <c r="B14" s="145"/>
      <c r="C14" s="136"/>
      <c r="E14" s="163">
        <f>(100%+E13)*E12</f>
        <v>46844130.434912749</v>
      </c>
      <c r="F14" t="s">
        <v>1878</v>
      </c>
      <c r="Q14" s="146"/>
    </row>
    <row r="15" spans="2:22" x14ac:dyDescent="0.3">
      <c r="B15" s="145"/>
      <c r="C15" s="136"/>
      <c r="F15" s="260"/>
      <c r="Q15" s="146"/>
    </row>
    <row r="16" spans="2:22" x14ac:dyDescent="0.3">
      <c r="B16" s="145"/>
      <c r="C16" s="140" t="s">
        <v>1879</v>
      </c>
      <c r="D16" s="816"/>
      <c r="E16" t="s">
        <v>1880</v>
      </c>
      <c r="F16" s="260"/>
      <c r="Q16" s="146"/>
    </row>
    <row r="17" spans="2:22" x14ac:dyDescent="0.3">
      <c r="B17" s="145"/>
      <c r="C17" s="136"/>
      <c r="F17" s="260"/>
      <c r="Q17" s="146"/>
    </row>
    <row r="18" spans="2:22" x14ac:dyDescent="0.3">
      <c r="B18" s="147"/>
      <c r="C18" s="140" t="s">
        <v>1881</v>
      </c>
      <c r="D18" s="514">
        <v>8.7908194773067497E-3</v>
      </c>
      <c r="E18" t="str">
        <f>IF(D18=0.00879081947730675,"Enter local estimate or delete the NICE assumption if required","Local value")</f>
        <v>Enter local estimate or delete the NICE assumption if required</v>
      </c>
      <c r="Q18" s="146"/>
    </row>
    <row r="19" spans="2:22" x14ac:dyDescent="0.3">
      <c r="B19" s="147"/>
      <c r="C19" s="140" t="s">
        <v>1882</v>
      </c>
      <c r="D19" s="514">
        <v>0</v>
      </c>
      <c r="E19" t="str">
        <f>IF(D19=0,"Enter local estimate or delete the NICE assumption if required","Local value")</f>
        <v>Enter local estimate or delete the NICE assumption if required</v>
      </c>
      <c r="Q19" s="146"/>
    </row>
    <row r="20" spans="2:22" x14ac:dyDescent="0.3">
      <c r="B20" s="148"/>
      <c r="C20" s="149"/>
      <c r="D20" s="149"/>
      <c r="E20" s="149"/>
      <c r="F20" s="149"/>
      <c r="G20" s="149"/>
      <c r="H20" s="149"/>
      <c r="I20" s="149"/>
      <c r="J20" s="149"/>
      <c r="K20" s="149"/>
      <c r="L20" s="149"/>
      <c r="M20" s="149"/>
      <c r="N20" s="149"/>
      <c r="O20" s="149"/>
      <c r="P20" s="149"/>
      <c r="Q20" s="150"/>
    </row>
    <row r="22" spans="2:22" x14ac:dyDescent="0.3">
      <c r="B22" s="144" t="s">
        <v>1883</v>
      </c>
      <c r="C22" s="755"/>
      <c r="D22" s="755"/>
      <c r="E22" s="755"/>
      <c r="F22" s="755"/>
      <c r="G22" s="755"/>
      <c r="H22" s="755"/>
      <c r="I22" s="755"/>
      <c r="J22" s="755"/>
      <c r="K22" s="755"/>
      <c r="L22" s="755"/>
      <c r="M22" s="755"/>
      <c r="N22" s="755"/>
      <c r="O22" s="755"/>
      <c r="P22" s="755"/>
      <c r="Q22" s="755"/>
      <c r="R22" s="755"/>
      <c r="S22" s="755"/>
      <c r="T22" s="755"/>
      <c r="U22" s="755"/>
      <c r="V22" s="720"/>
    </row>
    <row r="23" spans="2:22" ht="88.5" customHeight="1" x14ac:dyDescent="0.3">
      <c r="B23" s="145"/>
      <c r="E23" s="215" t="s">
        <v>1884</v>
      </c>
      <c r="F23" s="152" t="s">
        <v>1885</v>
      </c>
      <c r="G23" s="152" t="s">
        <v>1886</v>
      </c>
      <c r="H23" s="213" t="s">
        <v>1887</v>
      </c>
      <c r="I23" s="152" t="s">
        <v>1888</v>
      </c>
      <c r="J23" s="152" t="s">
        <v>1889</v>
      </c>
      <c r="K23" s="799"/>
      <c r="L23" s="799"/>
      <c r="M23" s="799"/>
      <c r="N23" s="799"/>
      <c r="O23" s="799"/>
      <c r="P23" s="799"/>
      <c r="Q23" s="799"/>
      <c r="R23" s="799"/>
      <c r="S23" s="799"/>
      <c r="T23" s="799"/>
      <c r="U23" s="799"/>
      <c r="V23" s="800"/>
    </row>
    <row r="24" spans="2:22" x14ac:dyDescent="0.3">
      <c r="B24" s="145"/>
      <c r="C24" s="214" t="s">
        <v>1890</v>
      </c>
      <c r="D24" s="155"/>
      <c r="E24" s="188"/>
      <c r="F24" s="315">
        <f>IF(D18&lt;&gt;"",D18+100%,100%)</f>
        <v>1.0087908194773068</v>
      </c>
      <c r="G24" s="315">
        <f>IF($D$18&lt;&gt;"",F24*(100%+$D$18),100%)</f>
        <v>1.0176589174616961</v>
      </c>
      <c r="H24" s="315">
        <f>IF($D$18&lt;&gt;"",G24*(100%+$D$18),100%)</f>
        <v>1.0266049732945732</v>
      </c>
      <c r="I24" s="315">
        <f>IF($D$18&lt;&gt;"",H24*(100%+$D$18),100%)</f>
        <v>1.0356296722893112</v>
      </c>
      <c r="J24" s="315">
        <f>IF($D$18&lt;&gt;"",I24*(100%+$D$18),100%)</f>
        <v>1.0447337057837489</v>
      </c>
      <c r="K24" s="178" t="s">
        <v>1891</v>
      </c>
      <c r="L24" s="178"/>
      <c r="M24" s="178"/>
      <c r="N24" s="178"/>
      <c r="O24" s="178"/>
      <c r="P24" s="178"/>
      <c r="Q24" s="178"/>
      <c r="R24" s="178"/>
      <c r="S24" s="178"/>
      <c r="T24" s="178"/>
      <c r="U24" s="178"/>
      <c r="V24" s="155"/>
    </row>
    <row r="25" spans="2:22" x14ac:dyDescent="0.3">
      <c r="B25" s="145"/>
      <c r="C25" s="214" t="s">
        <v>1892</v>
      </c>
      <c r="D25" s="155"/>
      <c r="E25" s="188"/>
      <c r="F25" s="315">
        <f>IF(D19&lt;&gt;"",D19+100%,100%)</f>
        <v>1</v>
      </c>
      <c r="G25" s="315">
        <f>IF($D$19&lt;&gt;"",F25*(100%+$D$19),100%)</f>
        <v>1</v>
      </c>
      <c r="H25" s="315">
        <f>IF($D$19&lt;&gt;"",G25*(100%+$D$19),100%)</f>
        <v>1</v>
      </c>
      <c r="I25" s="315">
        <f>IF($D$19&lt;&gt;"",H25*(100%+$D$19),100%)</f>
        <v>1</v>
      </c>
      <c r="J25" s="315">
        <f>IF($D$19&lt;&gt;"",I25*(100%+$D$19),100%)</f>
        <v>1</v>
      </c>
      <c r="K25" s="149" t="s">
        <v>1891</v>
      </c>
      <c r="L25" s="149"/>
      <c r="M25" s="149"/>
      <c r="N25" s="149"/>
      <c r="O25" s="149"/>
      <c r="P25" s="149"/>
      <c r="Q25" s="149"/>
      <c r="R25" s="149"/>
      <c r="S25" s="149"/>
      <c r="T25" s="149"/>
      <c r="U25" s="149"/>
      <c r="V25" s="150"/>
    </row>
    <row r="26" spans="2:22" x14ac:dyDescent="0.3">
      <c r="B26" s="147"/>
      <c r="C26" s="357" t="str">
        <f>"Baseline population (inflated by growth(s))"</f>
        <v>Baseline population (inflated by growth(s))</v>
      </c>
      <c r="D26" s="155"/>
      <c r="E26" s="116">
        <f>IF(ISBLANK(D16),E14,D16)</f>
        <v>46844130.434912749</v>
      </c>
      <c r="F26" s="116">
        <f>E26*F24</f>
        <v>47255928.72913748</v>
      </c>
      <c r="G26" s="116">
        <f>E26*G24</f>
        <v>47671347.067827798</v>
      </c>
      <c r="H26" s="116">
        <f>E26*H24</f>
        <v>48090417.27414111</v>
      </c>
      <c r="I26" s="116">
        <f>E26*I24</f>
        <v>48513171.450986437</v>
      </c>
      <c r="J26" s="116">
        <f>E26*J24</f>
        <v>48939641.983483694</v>
      </c>
      <c r="K26" s="777" t="s">
        <v>1893</v>
      </c>
      <c r="L26" s="178"/>
      <c r="M26" s="178"/>
      <c r="N26" s="178"/>
      <c r="O26" s="178"/>
      <c r="P26" s="178"/>
      <c r="Q26" s="178"/>
      <c r="R26" s="178"/>
      <c r="S26" s="178"/>
      <c r="T26" s="178"/>
      <c r="U26" s="178"/>
      <c r="V26" s="155"/>
    </row>
    <row r="27" spans="2:22" x14ac:dyDescent="0.3">
      <c r="B27" s="147"/>
      <c r="C27" s="154" t="s">
        <v>2199</v>
      </c>
      <c r="D27" s="869">
        <f>(5575-27)/45691677</f>
        <v>1.2142255142003214E-4</v>
      </c>
      <c r="E27" s="776">
        <f>E26*$D27</f>
        <v>5687.9338364598862</v>
      </c>
      <c r="F27" s="776">
        <f t="shared" ref="F27:J29" si="0">F26*$D27</f>
        <v>5737.9354360150701</v>
      </c>
      <c r="G27" s="776">
        <f t="shared" si="0"/>
        <v>5788.3765906055196</v>
      </c>
      <c r="H27" s="776">
        <f t="shared" si="0"/>
        <v>5839.2611642802012</v>
      </c>
      <c r="I27" s="776">
        <f t="shared" si="0"/>
        <v>5890.5930550562362</v>
      </c>
      <c r="J27" s="776">
        <f t="shared" si="0"/>
        <v>5942.3761952175128</v>
      </c>
      <c r="K27" s="888" t="s">
        <v>2216</v>
      </c>
      <c r="L27" s="216"/>
      <c r="M27" s="216"/>
      <c r="N27" s="216"/>
      <c r="O27" s="216"/>
      <c r="P27" s="216"/>
      <c r="Q27" s="216"/>
      <c r="R27" s="216"/>
      <c r="S27" s="216"/>
      <c r="T27" s="216"/>
      <c r="U27" s="216"/>
      <c r="V27" s="742"/>
    </row>
    <row r="28" spans="2:22" x14ac:dyDescent="0.3">
      <c r="B28" s="147"/>
      <c r="C28" s="154" t="s">
        <v>2200</v>
      </c>
      <c r="D28" s="514">
        <v>0.505</v>
      </c>
      <c r="E28" s="776">
        <f>E27*$D28</f>
        <v>2872.4065874122425</v>
      </c>
      <c r="F28" s="776">
        <f t="shared" si="0"/>
        <v>2897.6573951876103</v>
      </c>
      <c r="G28" s="776">
        <f t="shared" si="0"/>
        <v>2923.1301782557875</v>
      </c>
      <c r="H28" s="776">
        <f t="shared" si="0"/>
        <v>2948.8268879615016</v>
      </c>
      <c r="I28" s="776">
        <f t="shared" si="0"/>
        <v>2974.7494928033993</v>
      </c>
      <c r="J28" s="776">
        <f t="shared" si="0"/>
        <v>3000.8999785848441</v>
      </c>
      <c r="K28" s="888" t="s">
        <v>2202</v>
      </c>
      <c r="L28" s="216"/>
      <c r="M28" s="216"/>
      <c r="N28" s="216"/>
      <c r="O28" s="216"/>
      <c r="P28" s="216"/>
      <c r="Q28" s="216"/>
      <c r="R28" s="216"/>
      <c r="S28" s="216"/>
      <c r="T28" s="216"/>
      <c r="U28" s="216"/>
      <c r="V28" s="742"/>
    </row>
    <row r="29" spans="2:22" ht="28.8" x14ac:dyDescent="0.3">
      <c r="B29" s="147"/>
      <c r="C29" s="154" t="s">
        <v>2201</v>
      </c>
      <c r="D29" s="514">
        <v>0.41</v>
      </c>
      <c r="E29" s="776">
        <f t="shared" ref="E29" si="1">E28*$D29</f>
        <v>1177.6867008390193</v>
      </c>
      <c r="F29" s="776">
        <f t="shared" si="0"/>
        <v>1188.0395320269201</v>
      </c>
      <c r="G29" s="776">
        <f t="shared" si="0"/>
        <v>1198.4833730848727</v>
      </c>
      <c r="H29" s="776">
        <f t="shared" si="0"/>
        <v>1209.0190240642155</v>
      </c>
      <c r="I29" s="776">
        <f t="shared" si="0"/>
        <v>1219.6472920493936</v>
      </c>
      <c r="J29" s="776">
        <f t="shared" si="0"/>
        <v>1230.368991219786</v>
      </c>
      <c r="K29" s="178" t="s">
        <v>2203</v>
      </c>
      <c r="L29" s="178"/>
      <c r="M29" s="178"/>
      <c r="N29" s="178"/>
      <c r="O29" s="178"/>
      <c r="P29" s="178"/>
      <c r="Q29" s="178"/>
      <c r="R29" s="178"/>
      <c r="S29" s="178"/>
      <c r="T29" s="178"/>
      <c r="U29" s="178"/>
      <c r="V29" s="155"/>
    </row>
    <row r="30" spans="2:22" x14ac:dyDescent="0.3">
      <c r="B30" s="147"/>
      <c r="C30" s="747" t="s">
        <v>1894</v>
      </c>
      <c r="D30" s="748"/>
      <c r="E30" s="745">
        <f>E29</f>
        <v>1177.6867008390193</v>
      </c>
      <c r="F30" s="745">
        <f t="shared" ref="F30:J30" si="2">F29</f>
        <v>1188.0395320269201</v>
      </c>
      <c r="G30" s="745">
        <f t="shared" si="2"/>
        <v>1198.4833730848727</v>
      </c>
      <c r="H30" s="745">
        <f t="shared" si="2"/>
        <v>1209.0190240642155</v>
      </c>
      <c r="I30" s="745">
        <f t="shared" si="2"/>
        <v>1219.6472920493936</v>
      </c>
      <c r="J30" s="745">
        <f t="shared" si="2"/>
        <v>1230.368991219786</v>
      </c>
      <c r="K30" s="178" t="s">
        <v>1895</v>
      </c>
      <c r="L30" s="178"/>
      <c r="M30" s="178"/>
      <c r="N30" s="178"/>
      <c r="O30" s="178"/>
      <c r="P30" s="178"/>
      <c r="Q30" s="178"/>
      <c r="R30" s="178"/>
      <c r="S30" s="178"/>
      <c r="T30" s="178"/>
      <c r="U30" s="178"/>
      <c r="V30" s="155"/>
    </row>
    <row r="31" spans="2:22" x14ac:dyDescent="0.3">
      <c r="B31" s="147"/>
      <c r="C31" s="749" t="s">
        <v>1896</v>
      </c>
      <c r="D31" s="750"/>
      <c r="E31" s="746">
        <f>E30</f>
        <v>1177.6867008390193</v>
      </c>
      <c r="F31" s="744">
        <f>F30*F25</f>
        <v>1188.0395320269201</v>
      </c>
      <c r="G31" s="744">
        <f>G30*G25</f>
        <v>1198.4833730848727</v>
      </c>
      <c r="H31" s="744">
        <f>H30*H25</f>
        <v>1209.0190240642155</v>
      </c>
      <c r="I31" s="744">
        <f>I30*I25</f>
        <v>1219.6472920493936</v>
      </c>
      <c r="J31" s="744">
        <f>J30*J25</f>
        <v>1230.368991219786</v>
      </c>
      <c r="V31" s="146"/>
    </row>
    <row r="32" spans="2:22" x14ac:dyDescent="0.3">
      <c r="B32" s="147"/>
      <c r="C32" s="930"/>
      <c r="D32" s="931"/>
      <c r="E32" s="321"/>
      <c r="F32" s="321"/>
      <c r="G32" s="171"/>
      <c r="Q32" s="149"/>
      <c r="R32" s="149"/>
      <c r="S32" s="149"/>
      <c r="T32" s="149"/>
      <c r="U32" s="149"/>
      <c r="V32" s="150"/>
    </row>
    <row r="33" spans="2:22" x14ac:dyDescent="0.3">
      <c r="B33" s="158"/>
      <c r="C33" s="932" t="s">
        <v>1925</v>
      </c>
      <c r="D33" s="755"/>
      <c r="E33" s="755"/>
      <c r="F33" s="755"/>
      <c r="G33" s="755"/>
      <c r="H33" s="755"/>
      <c r="I33" s="755"/>
      <c r="J33" s="755"/>
      <c r="K33" s="755"/>
      <c r="L33" s="755"/>
      <c r="M33" s="755"/>
      <c r="N33" s="755"/>
      <c r="O33" s="755"/>
      <c r="P33" s="755"/>
      <c r="V33" s="720"/>
    </row>
    <row r="34" spans="2:22" x14ac:dyDescent="0.3">
      <c r="B34" s="147"/>
      <c r="D34" s="191" t="s">
        <v>1926</v>
      </c>
      <c r="E34" s="191" t="s">
        <v>1927</v>
      </c>
      <c r="F34" s="191" t="s">
        <v>1928</v>
      </c>
      <c r="G34" s="191" t="s">
        <v>1929</v>
      </c>
      <c r="H34" s="190" t="s">
        <v>1930</v>
      </c>
      <c r="I34" s="190" t="s">
        <v>1931</v>
      </c>
      <c r="K34" s="190" t="s">
        <v>1926</v>
      </c>
      <c r="L34" s="470" t="s">
        <v>1927</v>
      </c>
      <c r="M34" s="191" t="s">
        <v>1928</v>
      </c>
      <c r="N34" s="191" t="s">
        <v>1929</v>
      </c>
      <c r="O34" s="190" t="s">
        <v>1930</v>
      </c>
      <c r="P34" s="190" t="s">
        <v>1931</v>
      </c>
      <c r="V34" s="146"/>
    </row>
    <row r="35" spans="2:22" x14ac:dyDescent="0.3">
      <c r="B35" s="147"/>
      <c r="C35" s="137" t="s">
        <v>2249</v>
      </c>
      <c r="D35" s="518">
        <v>0</v>
      </c>
      <c r="E35" s="519">
        <v>7.4999999999999997E-2</v>
      </c>
      <c r="F35" s="519">
        <v>0.15</v>
      </c>
      <c r="G35" s="519">
        <v>0.15</v>
      </c>
      <c r="H35" s="519">
        <v>0.15</v>
      </c>
      <c r="I35" s="519">
        <v>0.15</v>
      </c>
      <c r="K35" s="471">
        <f t="shared" ref="K35:P38" si="3">E$31*D35</f>
        <v>0</v>
      </c>
      <c r="L35" s="471">
        <f t="shared" si="3"/>
        <v>89.102964902019011</v>
      </c>
      <c r="M35" s="471">
        <f t="shared" si="3"/>
        <v>179.77250596273089</v>
      </c>
      <c r="N35" s="471">
        <f t="shared" si="3"/>
        <v>181.35285360963232</v>
      </c>
      <c r="O35" s="471">
        <f t="shared" si="3"/>
        <v>182.94709380740903</v>
      </c>
      <c r="P35" s="471">
        <f t="shared" si="3"/>
        <v>184.55534868296789</v>
      </c>
      <c r="V35" s="146"/>
    </row>
    <row r="36" spans="2:22" x14ac:dyDescent="0.3">
      <c r="B36" s="147"/>
      <c r="C36" s="137" t="s">
        <v>2213</v>
      </c>
      <c r="D36" s="518">
        <v>0.57999999999999996</v>
      </c>
      <c r="E36" s="519">
        <v>0.55500000000000005</v>
      </c>
      <c r="F36" s="519">
        <v>0.53</v>
      </c>
      <c r="G36" s="519">
        <v>0.53</v>
      </c>
      <c r="H36" s="519">
        <v>0.53</v>
      </c>
      <c r="I36" s="519">
        <v>0.53</v>
      </c>
      <c r="K36" s="471">
        <f t="shared" si="3"/>
        <v>683.05828648663112</v>
      </c>
      <c r="L36" s="471">
        <f t="shared" si="3"/>
        <v>659.36194027494071</v>
      </c>
      <c r="M36" s="471">
        <f t="shared" si="3"/>
        <v>635.19618773498257</v>
      </c>
      <c r="N36" s="471">
        <f t="shared" si="3"/>
        <v>640.7800827540342</v>
      </c>
      <c r="O36" s="471">
        <f t="shared" si="3"/>
        <v>646.41306478617867</v>
      </c>
      <c r="P36" s="471">
        <f t="shared" si="3"/>
        <v>652.09556534648664</v>
      </c>
      <c r="V36" s="146"/>
    </row>
    <row r="37" spans="2:22" x14ac:dyDescent="0.3">
      <c r="B37" s="147"/>
      <c r="C37" s="137" t="s">
        <v>2214</v>
      </c>
      <c r="D37" s="518">
        <v>0.19</v>
      </c>
      <c r="E37" s="519">
        <v>0.16500000000000001</v>
      </c>
      <c r="F37" s="519">
        <v>0.14000000000000001</v>
      </c>
      <c r="G37" s="519">
        <v>0.14000000000000001</v>
      </c>
      <c r="H37" s="519">
        <v>0.14000000000000001</v>
      </c>
      <c r="I37" s="519">
        <v>0.14000000000000001</v>
      </c>
      <c r="K37" s="471">
        <f t="shared" si="3"/>
        <v>223.76047315941366</v>
      </c>
      <c r="L37" s="471">
        <f t="shared" si="3"/>
        <v>196.02652278444182</v>
      </c>
      <c r="M37" s="471">
        <f t="shared" si="3"/>
        <v>167.7876722318822</v>
      </c>
      <c r="N37" s="471">
        <f t="shared" si="3"/>
        <v>169.26266336899019</v>
      </c>
      <c r="O37" s="471">
        <f t="shared" si="3"/>
        <v>170.75062088691513</v>
      </c>
      <c r="P37" s="471">
        <f t="shared" si="3"/>
        <v>172.25165877077006</v>
      </c>
      <c r="V37" s="146"/>
    </row>
    <row r="38" spans="2:22" x14ac:dyDescent="0.3">
      <c r="B38" s="147"/>
      <c r="C38" s="137" t="s">
        <v>2215</v>
      </c>
      <c r="D38" s="518">
        <v>0.23</v>
      </c>
      <c r="E38" s="519">
        <v>0.20499999999999999</v>
      </c>
      <c r="F38" s="519">
        <v>0.18</v>
      </c>
      <c r="G38" s="519">
        <v>0.18</v>
      </c>
      <c r="H38" s="519">
        <v>0.18</v>
      </c>
      <c r="I38" s="519">
        <v>0.18</v>
      </c>
      <c r="K38" s="471">
        <f t="shared" si="3"/>
        <v>270.86794119297446</v>
      </c>
      <c r="L38" s="471">
        <f t="shared" si="3"/>
        <v>243.5481040655186</v>
      </c>
      <c r="M38" s="471">
        <f t="shared" si="3"/>
        <v>215.72700715527708</v>
      </c>
      <c r="N38" s="471">
        <f t="shared" si="3"/>
        <v>217.62342433155879</v>
      </c>
      <c r="O38" s="471">
        <f t="shared" si="3"/>
        <v>219.53651256889086</v>
      </c>
      <c r="P38" s="471">
        <f t="shared" si="3"/>
        <v>221.46641841956148</v>
      </c>
      <c r="V38" s="146"/>
    </row>
    <row r="39" spans="2:22" x14ac:dyDescent="0.3">
      <c r="B39" s="147"/>
      <c r="D39" s="139">
        <f t="shared" ref="D39:I39" si="4">SUM(D35:D38)</f>
        <v>1</v>
      </c>
      <c r="E39" s="139">
        <f t="shared" si="4"/>
        <v>1</v>
      </c>
      <c r="F39" s="139">
        <f t="shared" si="4"/>
        <v>1</v>
      </c>
      <c r="G39" s="139">
        <f t="shared" si="4"/>
        <v>1</v>
      </c>
      <c r="H39" s="139">
        <f t="shared" si="4"/>
        <v>1</v>
      </c>
      <c r="I39" s="139">
        <f t="shared" si="4"/>
        <v>1</v>
      </c>
      <c r="K39" s="316">
        <f>SUM(K35:K38)</f>
        <v>1177.6867008390193</v>
      </c>
      <c r="L39" s="316">
        <f>SUM(L35:L38)</f>
        <v>1188.0395320269201</v>
      </c>
      <c r="M39" s="316">
        <f>SUM(M35:M38)</f>
        <v>1198.4833730848727</v>
      </c>
      <c r="N39" s="316">
        <f>SUM(N35:N38)</f>
        <v>1209.0190240642155</v>
      </c>
      <c r="O39" s="316">
        <f>SUM(O35:O38)</f>
        <v>1219.6472920493936</v>
      </c>
      <c r="P39" s="316">
        <f t="shared" ref="P39" si="5">SUM(P35:P38)</f>
        <v>1230.368991219786</v>
      </c>
      <c r="V39" s="146"/>
    </row>
    <row r="40" spans="2:22" x14ac:dyDescent="0.3">
      <c r="B40" s="147"/>
      <c r="C40" s="913" t="s">
        <v>2261</v>
      </c>
      <c r="D40" s="838"/>
      <c r="E40" s="838"/>
      <c r="F40" s="838"/>
      <c r="G40" s="838"/>
      <c r="H40" s="838"/>
      <c r="I40" s="838"/>
      <c r="V40" s="146"/>
    </row>
    <row r="41" spans="2:22" x14ac:dyDescent="0.3">
      <c r="B41" s="148"/>
      <c r="C41" s="933"/>
      <c r="D41" s="934"/>
      <c r="E41" s="934"/>
      <c r="F41" s="934"/>
      <c r="G41" s="934"/>
      <c r="H41" s="934"/>
      <c r="I41" s="934"/>
      <c r="J41" s="149"/>
      <c r="K41" s="149"/>
      <c r="L41" s="149"/>
      <c r="M41" s="149"/>
      <c r="N41" s="149"/>
      <c r="O41" s="149"/>
      <c r="P41" s="149"/>
      <c r="Q41" s="149"/>
      <c r="R41" s="149"/>
      <c r="S41" s="149"/>
      <c r="T41" s="149"/>
      <c r="U41" s="149"/>
      <c r="V41" s="150"/>
    </row>
    <row r="43" spans="2:22" x14ac:dyDescent="0.3">
      <c r="B43" s="144" t="s">
        <v>1897</v>
      </c>
      <c r="C43" s="755"/>
      <c r="D43" s="755"/>
      <c r="E43" s="755"/>
      <c r="F43" s="755"/>
      <c r="G43" s="755"/>
      <c r="H43" s="755"/>
      <c r="I43" s="755"/>
      <c r="J43" s="755"/>
      <c r="K43" s="755"/>
      <c r="L43" s="755"/>
      <c r="M43" s="755"/>
      <c r="N43" s="755"/>
      <c r="O43" s="755"/>
      <c r="P43" s="755"/>
      <c r="Q43" s="720"/>
    </row>
    <row r="44" spans="2:22" ht="39.75" customHeight="1" x14ac:dyDescent="0.3">
      <c r="B44" s="147"/>
      <c r="D44" s="152" t="s">
        <v>1898</v>
      </c>
      <c r="E44" s="213" t="s">
        <v>1899</v>
      </c>
      <c r="F44" s="152" t="s">
        <v>1900</v>
      </c>
      <c r="G44" s="152" t="s">
        <v>1901</v>
      </c>
      <c r="J44" s="466"/>
      <c r="K44" s="466"/>
      <c r="L44" s="922"/>
      <c r="M44" s="913"/>
      <c r="N44" s="923"/>
      <c r="O44" s="924"/>
      <c r="P44" s="913"/>
      <c r="Q44" s="146"/>
    </row>
    <row r="45" spans="2:22" x14ac:dyDescent="0.3">
      <c r="B45" s="147"/>
      <c r="C45" s="181" t="s">
        <v>1902</v>
      </c>
      <c r="D45" s="759">
        <v>28</v>
      </c>
      <c r="E45" s="693" t="s">
        <v>1903</v>
      </c>
      <c r="F45" s="512">
        <v>1</v>
      </c>
      <c r="G45" s="517"/>
      <c r="H45" t="s">
        <v>2205</v>
      </c>
      <c r="L45" s="913"/>
      <c r="M45" s="913"/>
      <c r="N45" s="923"/>
      <c r="O45" s="924"/>
      <c r="P45" s="913"/>
      <c r="Q45" s="146"/>
    </row>
    <row r="46" spans="2:22" x14ac:dyDescent="0.3">
      <c r="B46" s="147"/>
      <c r="C46" s="912" t="s">
        <v>2251</v>
      </c>
      <c r="D46" s="759">
        <v>1</v>
      </c>
      <c r="E46" s="693">
        <v>1</v>
      </c>
      <c r="F46" s="512">
        <v>1</v>
      </c>
      <c r="G46" s="517">
        <v>1</v>
      </c>
      <c r="L46" s="913"/>
      <c r="M46" s="913"/>
      <c r="N46" s="923"/>
      <c r="O46" s="924"/>
      <c r="P46" s="913"/>
      <c r="Q46" s="146"/>
    </row>
    <row r="47" spans="2:22" x14ac:dyDescent="0.3">
      <c r="B47" s="147"/>
      <c r="C47" s="912" t="s">
        <v>2277</v>
      </c>
      <c r="D47" s="522">
        <v>21</v>
      </c>
      <c r="E47" s="694">
        <v>1</v>
      </c>
      <c r="F47" s="512">
        <v>1</v>
      </c>
      <c r="G47" s="517">
        <v>9.6999999999999993</v>
      </c>
      <c r="J47" s="464"/>
      <c r="K47" s="464"/>
      <c r="L47" s="925"/>
      <c r="M47" s="913"/>
      <c r="N47" s="923"/>
      <c r="O47" s="924"/>
      <c r="P47" s="913"/>
      <c r="Q47" s="146"/>
    </row>
    <row r="48" spans="2:22" x14ac:dyDescent="0.3">
      <c r="B48" s="147"/>
      <c r="C48" s="912" t="s">
        <v>1905</v>
      </c>
      <c r="D48" s="522">
        <v>21</v>
      </c>
      <c r="E48" s="694">
        <v>1</v>
      </c>
      <c r="F48" s="512">
        <v>1</v>
      </c>
      <c r="G48" s="517">
        <v>9.6999999999999993</v>
      </c>
      <c r="J48" s="464"/>
      <c r="K48" s="464"/>
      <c r="L48" s="925"/>
      <c r="M48" s="913"/>
      <c r="N48" s="923"/>
      <c r="O48" s="924"/>
      <c r="P48" s="913"/>
      <c r="Q48" s="146"/>
    </row>
    <row r="49" spans="2:17" x14ac:dyDescent="0.3">
      <c r="B49" s="147"/>
      <c r="C49" s="137" t="s">
        <v>1906</v>
      </c>
      <c r="D49" s="522">
        <v>30</v>
      </c>
      <c r="E49" s="694" t="s">
        <v>2217</v>
      </c>
      <c r="F49" s="512">
        <v>30</v>
      </c>
      <c r="G49" s="517">
        <v>8.5</v>
      </c>
      <c r="J49" s="464"/>
      <c r="K49" s="464"/>
      <c r="L49" s="925"/>
      <c r="M49" s="913"/>
      <c r="N49" s="923"/>
      <c r="O49" s="924"/>
      <c r="P49" s="913"/>
      <c r="Q49" s="146"/>
    </row>
    <row r="50" spans="2:17" x14ac:dyDescent="0.3">
      <c r="B50" s="147"/>
      <c r="C50" s="137" t="s">
        <v>1907</v>
      </c>
      <c r="D50" s="522">
        <v>30</v>
      </c>
      <c r="E50" s="694" t="s">
        <v>2217</v>
      </c>
      <c r="F50" s="512">
        <v>30</v>
      </c>
      <c r="G50" s="517"/>
      <c r="H50" t="s">
        <v>2205</v>
      </c>
      <c r="J50" s="464"/>
      <c r="K50" s="464"/>
      <c r="L50" s="464"/>
      <c r="O50" s="921"/>
      <c r="Q50" s="146"/>
    </row>
    <row r="51" spans="2:17" x14ac:dyDescent="0.3">
      <c r="B51" s="147"/>
      <c r="C51" s="681" t="s">
        <v>2235</v>
      </c>
      <c r="D51" s="222"/>
      <c r="E51" s="222"/>
      <c r="F51" s="140"/>
      <c r="O51" s="926"/>
      <c r="P51" s="913"/>
      <c r="Q51" s="146"/>
    </row>
    <row r="52" spans="2:17" x14ac:dyDescent="0.3">
      <c r="B52" s="147"/>
      <c r="D52" s="781"/>
      <c r="E52" s="780"/>
      <c r="F52" s="381" t="s">
        <v>1908</v>
      </c>
      <c r="G52" s="383"/>
      <c r="H52" s="545"/>
      <c r="I52" s="233"/>
      <c r="J52" s="383" t="s">
        <v>1909</v>
      </c>
      <c r="K52" s="545"/>
      <c r="L52" s="148"/>
      <c r="O52" s="927"/>
      <c r="P52" s="913"/>
      <c r="Q52" s="146"/>
    </row>
    <row r="53" spans="2:17" ht="48" customHeight="1" x14ac:dyDescent="0.3">
      <c r="B53" s="147"/>
      <c r="C53" s="281" t="s">
        <v>1910</v>
      </c>
      <c r="D53" s="782" t="s">
        <v>1911</v>
      </c>
      <c r="E53" s="782" t="s">
        <v>1912</v>
      </c>
      <c r="F53" s="782" t="s">
        <v>1913</v>
      </c>
      <c r="G53" s="782" t="s">
        <v>1914</v>
      </c>
      <c r="H53" s="782" t="s">
        <v>1915</v>
      </c>
      <c r="I53" s="783" t="s">
        <v>1916</v>
      </c>
      <c r="J53" s="784" t="s">
        <v>1917</v>
      </c>
      <c r="K53" s="785" t="s">
        <v>1918</v>
      </c>
      <c r="L53" s="768" t="s">
        <v>1919</v>
      </c>
      <c r="M53" s="767" t="s">
        <v>1920</v>
      </c>
      <c r="O53" s="928"/>
      <c r="P53" s="913"/>
      <c r="Q53" s="146"/>
    </row>
    <row r="54" spans="2:17" x14ac:dyDescent="0.3">
      <c r="B54" s="147"/>
      <c r="C54" s="181" t="s">
        <v>1902</v>
      </c>
      <c r="D54" s="525" t="s">
        <v>1921</v>
      </c>
      <c r="E54" s="525" t="s">
        <v>1922</v>
      </c>
      <c r="F54" s="526">
        <v>500</v>
      </c>
      <c r="G54" s="526">
        <v>1</v>
      </c>
      <c r="H54" s="526">
        <f>F54*G54</f>
        <v>500</v>
      </c>
      <c r="I54" s="779">
        <v>1500</v>
      </c>
      <c r="J54" s="760">
        <f>F45</f>
        <v>1</v>
      </c>
      <c r="K54" s="516"/>
      <c r="L54" s="766">
        <v>0.2</v>
      </c>
      <c r="M54" s="936" t="s">
        <v>2205</v>
      </c>
      <c r="O54" s="926"/>
      <c r="P54" s="913"/>
      <c r="Q54" s="146"/>
    </row>
    <row r="55" spans="2:17" x14ac:dyDescent="0.3">
      <c r="B55" s="147"/>
      <c r="C55" s="912" t="s">
        <v>2251</v>
      </c>
      <c r="D55" s="525" t="s">
        <v>1921</v>
      </c>
      <c r="E55" s="525" t="s">
        <v>1922</v>
      </c>
      <c r="F55" s="526">
        <v>300</v>
      </c>
      <c r="G55" s="526">
        <v>1</v>
      </c>
      <c r="H55" s="526">
        <f t="shared" ref="H55:H59" si="6">F55*G55</f>
        <v>300</v>
      </c>
      <c r="I55" s="779">
        <v>300</v>
      </c>
      <c r="J55" s="760">
        <f>F46</f>
        <v>1</v>
      </c>
      <c r="K55" s="516"/>
      <c r="L55" s="766">
        <v>0.2</v>
      </c>
      <c r="M55" s="936" t="s">
        <v>2205</v>
      </c>
      <c r="O55" s="926"/>
      <c r="P55" s="913"/>
      <c r="Q55" s="146"/>
    </row>
    <row r="56" spans="2:17" x14ac:dyDescent="0.3">
      <c r="B56" s="147"/>
      <c r="C56" s="181" t="s">
        <v>2277</v>
      </c>
      <c r="D56" s="525" t="s">
        <v>2279</v>
      </c>
      <c r="E56" s="525" t="s">
        <v>1922</v>
      </c>
      <c r="F56" s="526">
        <v>1200</v>
      </c>
      <c r="G56" s="526">
        <v>1</v>
      </c>
      <c r="H56" s="526">
        <f t="shared" si="6"/>
        <v>1200</v>
      </c>
      <c r="I56" s="779">
        <v>1200</v>
      </c>
      <c r="J56" s="760">
        <v>1</v>
      </c>
      <c r="K56" s="516"/>
      <c r="L56" s="766">
        <v>0.2</v>
      </c>
      <c r="M56" s="936" t="s">
        <v>2205</v>
      </c>
      <c r="O56" s="913"/>
      <c r="P56" s="929"/>
      <c r="Q56" s="765"/>
    </row>
    <row r="57" spans="2:17" x14ac:dyDescent="0.3">
      <c r="B57" s="147"/>
      <c r="C57" s="181" t="s">
        <v>1905</v>
      </c>
      <c r="D57" s="525" t="s">
        <v>1921</v>
      </c>
      <c r="E57" s="525" t="s">
        <v>1922</v>
      </c>
      <c r="F57" s="526">
        <v>400</v>
      </c>
      <c r="G57" s="526">
        <v>1</v>
      </c>
      <c r="H57" s="526">
        <f t="shared" si="6"/>
        <v>400</v>
      </c>
      <c r="I57" s="779">
        <f>15*D62</f>
        <v>1063.5</v>
      </c>
      <c r="J57" s="760">
        <v>1</v>
      </c>
      <c r="K57" s="516"/>
      <c r="L57" s="766">
        <v>0.2</v>
      </c>
      <c r="M57" s="936" t="s">
        <v>2205</v>
      </c>
      <c r="O57" s="913"/>
      <c r="P57" s="929"/>
      <c r="Q57" s="765"/>
    </row>
    <row r="58" spans="2:17" x14ac:dyDescent="0.3">
      <c r="B58" s="147"/>
      <c r="C58" s="137" t="s">
        <v>1906</v>
      </c>
      <c r="D58" s="525" t="s">
        <v>1923</v>
      </c>
      <c r="E58" s="525" t="s">
        <v>2204</v>
      </c>
      <c r="F58" s="526">
        <v>4</v>
      </c>
      <c r="G58" s="526">
        <v>30</v>
      </c>
      <c r="H58" s="526">
        <f t="shared" si="6"/>
        <v>120</v>
      </c>
      <c r="I58" s="779">
        <v>12</v>
      </c>
      <c r="J58" s="760">
        <v>30</v>
      </c>
      <c r="K58" s="516"/>
      <c r="L58" s="766">
        <v>0.2</v>
      </c>
      <c r="M58" s="936" t="s">
        <v>2205</v>
      </c>
      <c r="P58" s="465"/>
      <c r="Q58" s="765"/>
    </row>
    <row r="59" spans="2:17" x14ac:dyDescent="0.3">
      <c r="B59" s="147"/>
      <c r="C59" s="137" t="s">
        <v>1907</v>
      </c>
      <c r="D59" s="525" t="s">
        <v>1923</v>
      </c>
      <c r="E59" s="525" t="s">
        <v>2204</v>
      </c>
      <c r="F59" s="526">
        <v>200</v>
      </c>
      <c r="G59" s="526">
        <v>112</v>
      </c>
      <c r="H59" s="526">
        <f t="shared" si="6"/>
        <v>22400</v>
      </c>
      <c r="I59" s="779">
        <v>800</v>
      </c>
      <c r="J59" s="760">
        <v>30</v>
      </c>
      <c r="K59" s="516"/>
      <c r="L59" s="766">
        <v>0.2</v>
      </c>
      <c r="M59" s="936" t="s">
        <v>2205</v>
      </c>
      <c r="P59" s="465"/>
      <c r="Q59" s="765"/>
    </row>
    <row r="60" spans="2:17" x14ac:dyDescent="0.3">
      <c r="B60" s="147"/>
      <c r="C60" s="176"/>
      <c r="D60" s="140"/>
      <c r="E60" s="140"/>
      <c r="F60" s="140"/>
      <c r="Q60" s="146"/>
    </row>
    <row r="61" spans="2:17" x14ac:dyDescent="0.3">
      <c r="B61" s="147"/>
      <c r="D61" s="140"/>
      <c r="E61" s="140"/>
      <c r="F61" s="140"/>
      <c r="Q61" s="146"/>
    </row>
    <row r="62" spans="2:17" x14ac:dyDescent="0.3">
      <c r="B62" s="147"/>
      <c r="C62" s="180" t="s">
        <v>1924</v>
      </c>
      <c r="D62" s="517">
        <v>70.900000000000006</v>
      </c>
      <c r="E62" s="870" t="s">
        <v>2206</v>
      </c>
      <c r="F62" s="140"/>
      <c r="Q62" s="146"/>
    </row>
    <row r="63" spans="2:17" x14ac:dyDescent="0.3">
      <c r="B63" s="147"/>
      <c r="C63" s="222"/>
      <c r="E63" s="695"/>
      <c r="F63" s="140"/>
      <c r="Q63" s="146"/>
    </row>
    <row r="64" spans="2:17" x14ac:dyDescent="0.3">
      <c r="B64" s="148"/>
      <c r="C64" s="149"/>
      <c r="D64" s="149"/>
      <c r="E64" s="149"/>
      <c r="F64" s="149"/>
      <c r="G64" s="149"/>
      <c r="H64" s="149"/>
      <c r="I64" s="149"/>
      <c r="J64" s="149"/>
      <c r="K64" s="149"/>
      <c r="L64" s="149"/>
      <c r="M64" s="149"/>
      <c r="N64" s="149"/>
      <c r="O64" s="149"/>
      <c r="P64" s="149"/>
      <c r="Q64" s="150"/>
    </row>
    <row r="65" spans="2:17" x14ac:dyDescent="0.3">
      <c r="J65" s="178"/>
    </row>
    <row r="66" spans="2:17" x14ac:dyDescent="0.3">
      <c r="B66" s="359" t="s">
        <v>1933</v>
      </c>
      <c r="C66" s="799"/>
      <c r="D66" s="799"/>
      <c r="E66" s="799"/>
      <c r="F66" s="799"/>
      <c r="G66" s="799"/>
      <c r="H66" s="799"/>
      <c r="I66" s="799"/>
      <c r="J66" s="799"/>
      <c r="K66" s="799"/>
      <c r="L66" s="799"/>
      <c r="M66" s="799"/>
      <c r="N66" s="799"/>
      <c r="O66" s="799"/>
      <c r="P66" s="799"/>
      <c r="Q66" s="800"/>
    </row>
    <row r="67" spans="2:17" x14ac:dyDescent="0.3">
      <c r="B67" s="209"/>
      <c r="C67" s="203"/>
      <c r="D67" s="203"/>
      <c r="E67" s="203"/>
      <c r="F67" s="203"/>
      <c r="G67" s="203"/>
      <c r="H67" s="203"/>
      <c r="I67" s="203"/>
      <c r="J67" s="203"/>
      <c r="K67" s="203"/>
      <c r="L67" s="203"/>
      <c r="M67" s="203"/>
      <c r="N67" s="203"/>
      <c r="O67" s="203"/>
      <c r="P67" s="203"/>
      <c r="Q67" s="210"/>
    </row>
    <row r="68" spans="2:17" x14ac:dyDescent="0.3">
      <c r="B68" s="209"/>
      <c r="C68" s="558" t="s">
        <v>1934</v>
      </c>
      <c r="D68" s="203"/>
      <c r="E68" s="203"/>
      <c r="F68" s="203"/>
      <c r="G68" s="203"/>
      <c r="H68" s="203"/>
      <c r="I68" s="203"/>
      <c r="J68" s="203"/>
      <c r="K68" s="203"/>
      <c r="L68" s="203"/>
      <c r="M68" s="203"/>
      <c r="N68" s="203"/>
      <c r="O68" s="203"/>
      <c r="P68" s="203"/>
      <c r="Q68" s="210"/>
    </row>
    <row r="69" spans="2:17" x14ac:dyDescent="0.3">
      <c r="B69" s="209"/>
      <c r="C69" s="555" t="s">
        <v>1935</v>
      </c>
      <c r="D69" s="203"/>
      <c r="E69" s="203"/>
      <c r="F69" s="203"/>
      <c r="G69" s="203"/>
      <c r="H69" s="203"/>
      <c r="I69" s="203"/>
      <c r="J69" s="203"/>
      <c r="K69" s="203"/>
      <c r="L69" s="203"/>
      <c r="M69" s="203"/>
      <c r="N69" s="203"/>
      <c r="O69" s="203"/>
      <c r="P69" s="203"/>
      <c r="Q69" s="210"/>
    </row>
    <row r="70" spans="2:17" x14ac:dyDescent="0.3">
      <c r="B70" s="209"/>
      <c r="C70" s="555" t="s">
        <v>1936</v>
      </c>
      <c r="D70" s="203"/>
      <c r="E70" s="203"/>
      <c r="F70" s="203"/>
      <c r="G70" s="203"/>
      <c r="H70" s="203"/>
      <c r="I70" s="203"/>
      <c r="J70" s="203"/>
      <c r="K70" s="203"/>
      <c r="L70" s="203"/>
      <c r="M70" s="203"/>
      <c r="N70" s="203"/>
      <c r="O70" s="203"/>
      <c r="P70" s="203"/>
      <c r="Q70" s="210"/>
    </row>
    <row r="71" spans="2:17" x14ac:dyDescent="0.3">
      <c r="B71" s="209"/>
      <c r="C71" s="407" t="s">
        <v>1937</v>
      </c>
      <c r="D71" s="203"/>
      <c r="E71" s="203"/>
      <c r="F71" s="203"/>
      <c r="G71" s="203"/>
      <c r="H71" s="203"/>
      <c r="I71" s="203"/>
      <c r="J71" s="203"/>
      <c r="K71" s="203"/>
      <c r="L71" s="203"/>
      <c r="M71" s="203"/>
      <c r="N71" s="203"/>
      <c r="O71" s="203"/>
      <c r="P71" s="203"/>
      <c r="Q71" s="210"/>
    </row>
    <row r="72" spans="2:17" x14ac:dyDescent="0.3">
      <c r="B72" s="209"/>
      <c r="C72" s="407" t="s">
        <v>1938</v>
      </c>
      <c r="D72" s="203"/>
      <c r="E72" s="203"/>
      <c r="F72" s="203"/>
      <c r="G72" s="203"/>
      <c r="H72" s="203"/>
      <c r="I72" s="203"/>
      <c r="J72" s="203"/>
      <c r="K72" s="203"/>
      <c r="L72" s="203"/>
      <c r="M72" s="203"/>
      <c r="N72" s="203"/>
      <c r="O72" s="203"/>
      <c r="P72" s="203"/>
      <c r="Q72" s="210"/>
    </row>
    <row r="73" spans="2:17" x14ac:dyDescent="0.3">
      <c r="B73" s="209"/>
      <c r="C73" s="850" t="s">
        <v>1939</v>
      </c>
      <c r="D73" s="203"/>
      <c r="E73" s="203"/>
      <c r="F73" s="203"/>
      <c r="G73" s="203"/>
      <c r="H73" s="203"/>
      <c r="I73" s="203"/>
      <c r="J73" s="203"/>
      <c r="K73" s="203"/>
      <c r="L73" s="203"/>
      <c r="M73" s="203"/>
      <c r="N73" s="203"/>
      <c r="O73" s="203"/>
      <c r="P73" s="203"/>
      <c r="Q73" s="210"/>
    </row>
    <row r="74" spans="2:17" x14ac:dyDescent="0.3">
      <c r="B74" s="209"/>
      <c r="C74" s="407" t="s">
        <v>1940</v>
      </c>
      <c r="D74" s="203"/>
      <c r="E74" s="203"/>
      <c r="F74" s="203"/>
      <c r="G74" s="203"/>
      <c r="H74" s="203"/>
      <c r="I74" s="203"/>
      <c r="J74" s="203"/>
      <c r="K74" s="203"/>
      <c r="L74" s="203"/>
      <c r="M74" s="203"/>
      <c r="N74" s="203"/>
      <c r="O74" s="203"/>
      <c r="P74" s="203"/>
      <c r="Q74" s="210"/>
    </row>
    <row r="75" spans="2:17" x14ac:dyDescent="0.3">
      <c r="B75" s="209"/>
      <c r="C75" s="407" t="s">
        <v>1941</v>
      </c>
      <c r="D75" s="203"/>
      <c r="E75" s="203"/>
      <c r="F75" s="203"/>
      <c r="G75" s="203"/>
      <c r="H75" s="203"/>
      <c r="I75" s="203"/>
      <c r="J75" s="203"/>
      <c r="K75" s="203"/>
      <c r="L75" s="203"/>
      <c r="M75" s="203"/>
      <c r="N75" s="203"/>
      <c r="O75" s="203"/>
      <c r="P75" s="203"/>
      <c r="Q75" s="210"/>
    </row>
    <row r="76" spans="2:17" x14ac:dyDescent="0.3">
      <c r="B76" s="209"/>
      <c r="C76" s="407"/>
      <c r="D76" s="203"/>
      <c r="E76" s="203"/>
      <c r="F76" s="203"/>
      <c r="G76" s="203"/>
      <c r="H76" s="203"/>
      <c r="I76" s="203"/>
      <c r="J76" s="203"/>
      <c r="K76" s="203"/>
      <c r="L76" s="203"/>
      <c r="M76" s="203"/>
      <c r="N76" s="203"/>
      <c r="O76" s="203"/>
      <c r="P76" s="203"/>
      <c r="Q76" s="210"/>
    </row>
    <row r="77" spans="2:17" x14ac:dyDescent="0.3">
      <c r="B77" s="209"/>
      <c r="C77" s="557" t="s">
        <v>1942</v>
      </c>
      <c r="D77" s="203"/>
      <c r="E77" s="203"/>
      <c r="F77" s="203"/>
      <c r="G77" s="203"/>
      <c r="H77" s="203"/>
      <c r="I77" s="203"/>
      <c r="J77" s="203"/>
      <c r="K77" s="203"/>
      <c r="L77" s="203"/>
      <c r="M77" s="203"/>
      <c r="N77" s="203"/>
      <c r="O77" s="203"/>
      <c r="P77" s="203"/>
      <c r="Q77" s="210"/>
    </row>
    <row r="78" spans="2:17" x14ac:dyDescent="0.3">
      <c r="B78" s="209"/>
      <c r="C78" s="555" t="s">
        <v>1943</v>
      </c>
      <c r="D78" s="203"/>
      <c r="E78" s="203"/>
      <c r="F78" s="203"/>
      <c r="G78" s="203"/>
      <c r="H78" s="203"/>
      <c r="I78" s="203"/>
      <c r="J78" s="203"/>
      <c r="K78" s="203"/>
      <c r="L78" s="203"/>
      <c r="M78" s="203"/>
      <c r="N78" s="203"/>
      <c r="O78" s="203"/>
      <c r="P78" s="203"/>
      <c r="Q78" s="210"/>
    </row>
    <row r="79" spans="2:17" x14ac:dyDescent="0.3">
      <c r="B79" s="209"/>
      <c r="C79" s="407" t="s">
        <v>1944</v>
      </c>
      <c r="D79" s="203"/>
      <c r="E79" s="203"/>
      <c r="F79" s="203"/>
      <c r="G79" s="203"/>
      <c r="H79" s="203"/>
      <c r="I79" s="203"/>
      <c r="J79" s="203"/>
      <c r="K79" s="203"/>
      <c r="L79" s="203"/>
      <c r="M79" s="203"/>
      <c r="N79" s="203"/>
      <c r="O79" s="203"/>
      <c r="P79" s="203"/>
      <c r="Q79" s="210"/>
    </row>
    <row r="80" spans="2:17" x14ac:dyDescent="0.3">
      <c r="B80" s="209"/>
      <c r="C80" s="407" t="s">
        <v>1945</v>
      </c>
      <c r="D80" s="203"/>
      <c r="E80" s="203"/>
      <c r="F80" s="203"/>
      <c r="G80" s="203"/>
      <c r="H80" s="203"/>
      <c r="I80" s="203"/>
      <c r="J80" s="203"/>
      <c r="K80" s="203"/>
      <c r="L80" s="203"/>
      <c r="M80" s="203"/>
      <c r="N80" s="203"/>
      <c r="O80" s="203"/>
      <c r="P80" s="203"/>
      <c r="Q80" s="210"/>
    </row>
    <row r="81" spans="2:17" x14ac:dyDescent="0.3">
      <c r="B81" s="207"/>
      <c r="C81" s="211"/>
      <c r="D81" s="206"/>
      <c r="E81" s="206"/>
      <c r="F81" s="206"/>
      <c r="G81" s="206"/>
      <c r="H81" s="206"/>
      <c r="I81" s="206"/>
      <c r="J81" s="206"/>
      <c r="K81" s="206"/>
      <c r="L81" s="206"/>
      <c r="M81" s="206"/>
      <c r="N81" s="206"/>
      <c r="O81" s="206"/>
      <c r="P81" s="206"/>
      <c r="Q81" s="208"/>
    </row>
  </sheetData>
  <sheetProtection algorithmName="SHA-512" hashValue="HJvoSNyBKlD8VT8RxhgQZqqB15yMYtCQ/vLt3L8qhZ/WfFCSksnsFuSgmc5A2+Soxr1Ozdf2092TCLvl4x0Hvw==" saltValue="iwgaZtL8fQ2y0r1YYi9Rwg==" spinCount="100000" sheet="1" objects="1" scenarios="1"/>
  <protectedRanges>
    <protectedRange sqref="E31:F32 D11:D12 D18:D19 O52:O53 G31:J31 K54:L59 K35:P38 D62 D27:J29 E30:J30 D35:I38 N44:O49 D32 D45:G50" name="Range1"/>
  </protectedRanges>
  <phoneticPr fontId="43" type="noConversion"/>
  <conditionalFormatting sqref="E12 E14 F15:F17">
    <cfRule type="cellIs" dxfId="0"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C69" r:id="rId1" xr:uid="{9E6038DB-C4EC-431A-B5C3-A48009ECA9D3}"/>
    <hyperlink ref="C70" r:id="rId2" xr:uid="{F90404C9-B340-4E9B-AA51-58D791264704}"/>
    <hyperlink ref="C78" r:id="rId3" xr:uid="{FC9107BA-DC63-4474-BE80-C70D0B07C108}"/>
    <hyperlink ref="C73" r:id="rId4" xr:uid="{D457B1CB-8B19-4A1D-996E-899FA025186B}"/>
    <hyperlink ref="E62" r:id="rId5" xr:uid="{221A103B-E446-4306-8991-1F0685C29950}"/>
    <hyperlink ref="K27" r:id="rId6" xr:uid="{7354DDBE-632C-4B6B-AFB2-D2C79D0D9D14}"/>
    <hyperlink ref="K28" r:id="rId7" xr:uid="{7CC6A57F-8AF6-4CBF-8D48-1A6BFDBAA506}"/>
  </hyperlinks>
  <pageMargins left="0.7" right="0.7" top="0.75" bottom="0.75" header="0.3" footer="0.3"/>
  <pageSetup paperSize="9" scale="34" fitToHeight="0" orientation="portrait"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O58"/>
  <sheetViews>
    <sheetView showGridLines="0" zoomScale="80" zoomScaleNormal="80" workbookViewId="0">
      <selection activeCell="C33" sqref="C33"/>
    </sheetView>
  </sheetViews>
  <sheetFormatPr defaultRowHeight="14.4" x14ac:dyDescent="0.3"/>
  <cols>
    <col min="1" max="1" width="2.44140625" customWidth="1"/>
    <col min="2" max="2" width="5.88671875" customWidth="1"/>
    <col min="3" max="3" width="41.109375" customWidth="1"/>
    <col min="4" max="4" width="46.88671875" customWidth="1"/>
    <col min="5" max="5" width="20.44140625" customWidth="1"/>
    <col min="6" max="6" width="12.109375" customWidth="1"/>
    <col min="7" max="7" width="17.6640625" customWidth="1"/>
    <col min="8" max="9" width="16.33203125" customWidth="1"/>
    <col min="10" max="10" width="18.88671875" customWidth="1"/>
    <col min="11" max="11" width="16.33203125" hidden="1" customWidth="1"/>
    <col min="12" max="12" width="2.33203125" customWidth="1"/>
    <col min="13" max="13" width="18.6640625" customWidth="1"/>
    <col min="14" max="14" width="13.44140625" customWidth="1"/>
    <col min="15" max="15" width="14.109375" customWidth="1"/>
  </cols>
  <sheetData>
    <row r="1" spans="2:15" ht="30" customHeight="1" x14ac:dyDescent="0.3">
      <c r="B1" s="452" t="str">
        <f>'Inputs and population'!B1</f>
        <v>Durvalumab with tremelimumab for untreated advanced or unresectable hepatocellular carcinoma</v>
      </c>
    </row>
    <row r="2" spans="2:15" ht="30" customHeight="1" x14ac:dyDescent="0.3">
      <c r="B2" s="143" t="s">
        <v>1845</v>
      </c>
      <c r="C2" s="143"/>
      <c r="D2" s="142"/>
      <c r="E2" s="157"/>
      <c r="F2" s="157"/>
      <c r="G2" s="157"/>
      <c r="H2" s="157"/>
      <c r="I2" s="142"/>
      <c r="J2" s="142"/>
      <c r="K2" s="142"/>
      <c r="L2" s="142"/>
      <c r="M2" s="142"/>
      <c r="N2" s="142"/>
      <c r="O2" s="142"/>
    </row>
    <row r="4" spans="2:15" ht="18" x14ac:dyDescent="0.35">
      <c r="B4" s="696" t="s">
        <v>1946</v>
      </c>
      <c r="C4" s="755"/>
      <c r="D4" s="755"/>
      <c r="E4" s="755"/>
      <c r="F4" s="755"/>
      <c r="G4" s="755"/>
      <c r="H4" s="755"/>
      <c r="I4" s="755"/>
      <c r="J4" s="755"/>
      <c r="K4" s="755"/>
      <c r="L4" s="755"/>
      <c r="M4" s="755"/>
      <c r="N4" s="755"/>
      <c r="O4" s="720"/>
    </row>
    <row r="5" spans="2:15" x14ac:dyDescent="0.3">
      <c r="B5" s="147" t="s">
        <v>1947</v>
      </c>
      <c r="O5" s="146"/>
    </row>
    <row r="6" spans="2:15" x14ac:dyDescent="0.3">
      <c r="B6" s="147" t="s">
        <v>1948</v>
      </c>
      <c r="O6" s="146"/>
    </row>
    <row r="7" spans="2:15" x14ac:dyDescent="0.3">
      <c r="B7" s="145" t="s">
        <v>1949</v>
      </c>
      <c r="O7" s="146"/>
    </row>
    <row r="8" spans="2:15" x14ac:dyDescent="0.3">
      <c r="B8" s="145" t="s">
        <v>2270</v>
      </c>
      <c r="O8" s="146"/>
    </row>
    <row r="9" spans="2:15" x14ac:dyDescent="0.3">
      <c r="B9" s="697"/>
      <c r="C9" s="149"/>
      <c r="D9" s="149"/>
      <c r="E9" s="149"/>
      <c r="F9" s="149"/>
      <c r="G9" s="149"/>
      <c r="H9" s="149"/>
      <c r="I9" s="149"/>
      <c r="J9" s="149"/>
      <c r="K9" s="149"/>
      <c r="L9" s="149"/>
      <c r="M9" s="149"/>
      <c r="N9" s="149"/>
      <c r="O9" s="150"/>
    </row>
    <row r="10" spans="2:15" x14ac:dyDescent="0.3">
      <c r="B10" s="136"/>
      <c r="D10" s="178"/>
    </row>
    <row r="11" spans="2:15" x14ac:dyDescent="0.3">
      <c r="B11" s="144" t="s">
        <v>1950</v>
      </c>
      <c r="C11" s="755"/>
      <c r="E11" s="755"/>
      <c r="F11" s="755"/>
      <c r="G11" s="755"/>
      <c r="H11" s="755"/>
      <c r="I11" s="755"/>
      <c r="J11" s="755"/>
      <c r="K11" s="755"/>
      <c r="L11" s="755"/>
      <c r="M11" s="755"/>
      <c r="N11" s="755"/>
      <c r="O11" s="720"/>
    </row>
    <row r="12" spans="2:15" x14ac:dyDescent="0.3">
      <c r="B12" s="147"/>
      <c r="C12" s="317"/>
      <c r="D12" s="192"/>
      <c r="E12" s="192"/>
      <c r="F12" s="192"/>
      <c r="G12" s="192"/>
      <c r="H12" s="192"/>
      <c r="I12" s="192"/>
      <c r="J12" s="192"/>
      <c r="K12" s="192"/>
      <c r="O12" s="146"/>
    </row>
    <row r="13" spans="2:15" ht="87" customHeight="1" x14ac:dyDescent="0.3">
      <c r="B13" s="147"/>
      <c r="C13" s="363" t="s">
        <v>1951</v>
      </c>
      <c r="D13" s="363" t="s">
        <v>1952</v>
      </c>
      <c r="E13" s="698" t="s">
        <v>1953</v>
      </c>
      <c r="F13" s="224" t="s">
        <v>2265</v>
      </c>
      <c r="G13" s="224" t="s">
        <v>2266</v>
      </c>
      <c r="H13" s="224" t="s">
        <v>2213</v>
      </c>
      <c r="I13" s="224" t="s">
        <v>2214</v>
      </c>
      <c r="J13" s="224" t="s">
        <v>2215</v>
      </c>
      <c r="K13" s="224" t="s">
        <v>1954</v>
      </c>
      <c r="M13" s="363" t="s">
        <v>1955</v>
      </c>
      <c r="N13" s="363" t="s">
        <v>1956</v>
      </c>
      <c r="O13" s="146"/>
    </row>
    <row r="14" spans="2:15" x14ac:dyDescent="0.3">
      <c r="B14" s="147"/>
      <c r="C14" s="700" t="s">
        <v>1957</v>
      </c>
      <c r="D14" s="701" t="s">
        <v>1958</v>
      </c>
      <c r="E14" s="752" t="s">
        <v>1959</v>
      </c>
      <c r="F14" s="788"/>
      <c r="G14" s="786"/>
      <c r="H14" s="520"/>
      <c r="I14" s="520"/>
      <c r="J14" s="520"/>
      <c r="K14" s="520"/>
      <c r="M14" s="706" t="s">
        <v>1960</v>
      </c>
      <c r="N14" s="918">
        <f>VLOOKUP(M14,payscales!B:M,12,0)</f>
        <v>132.04</v>
      </c>
      <c r="O14" s="146"/>
    </row>
    <row r="15" spans="2:15" x14ac:dyDescent="0.3">
      <c r="B15" s="147"/>
      <c r="C15" s="700" t="s">
        <v>1957</v>
      </c>
      <c r="D15" s="701" t="s">
        <v>1961</v>
      </c>
      <c r="E15" s="752" t="s">
        <v>1959</v>
      </c>
      <c r="F15" s="788"/>
      <c r="G15" s="515"/>
      <c r="H15" s="515"/>
      <c r="I15" s="515"/>
      <c r="J15" s="515"/>
      <c r="K15" s="515"/>
      <c r="M15" s="706" t="s">
        <v>1960</v>
      </c>
      <c r="N15" s="918">
        <f>VLOOKUP(M15,payscales!B:M,12,0)</f>
        <v>132.04</v>
      </c>
      <c r="O15" s="146"/>
    </row>
    <row r="16" spans="2:15" x14ac:dyDescent="0.3">
      <c r="B16" s="147"/>
      <c r="C16" s="702" t="s">
        <v>1962</v>
      </c>
      <c r="D16" s="701" t="s">
        <v>2271</v>
      </c>
      <c r="E16" s="752" t="s">
        <v>1959</v>
      </c>
      <c r="F16" s="788">
        <v>30</v>
      </c>
      <c r="G16" s="515">
        <v>2</v>
      </c>
      <c r="H16" s="515">
        <v>3</v>
      </c>
      <c r="I16" s="515">
        <v>0</v>
      </c>
      <c r="J16" s="515">
        <v>0</v>
      </c>
      <c r="K16" s="939"/>
      <c r="M16" s="706" t="s">
        <v>1963</v>
      </c>
      <c r="N16" s="918">
        <f>VLOOKUP(M16,payscales!B:M,12,0)</f>
        <v>46.02</v>
      </c>
      <c r="O16" s="146"/>
    </row>
    <row r="17" spans="2:15" ht="28.8" x14ac:dyDescent="0.3">
      <c r="B17" s="147"/>
      <c r="C17" s="702" t="s">
        <v>1962</v>
      </c>
      <c r="D17" s="701" t="s">
        <v>2272</v>
      </c>
      <c r="E17" s="752" t="s">
        <v>1959</v>
      </c>
      <c r="F17" s="788">
        <v>30</v>
      </c>
      <c r="G17" s="515">
        <v>2</v>
      </c>
      <c r="H17" s="515">
        <v>1</v>
      </c>
      <c r="I17" s="515">
        <v>0</v>
      </c>
      <c r="J17" s="515">
        <v>0</v>
      </c>
      <c r="K17" s="938"/>
      <c r="M17" s="706" t="s">
        <v>1963</v>
      </c>
      <c r="N17" s="918">
        <f>VLOOKUP(M17,payscales!B:M,12,0)</f>
        <v>46.02</v>
      </c>
      <c r="O17" s="146"/>
    </row>
    <row r="18" spans="2:15" x14ac:dyDescent="0.3">
      <c r="B18" s="147"/>
      <c r="C18" s="702" t="s">
        <v>1962</v>
      </c>
      <c r="D18" s="701" t="s">
        <v>1964</v>
      </c>
      <c r="E18" s="752" t="s">
        <v>1959</v>
      </c>
      <c r="F18" s="788">
        <v>30</v>
      </c>
      <c r="G18" s="787">
        <v>1</v>
      </c>
      <c r="H18" s="937">
        <v>1</v>
      </c>
      <c r="I18" s="791">
        <v>0</v>
      </c>
      <c r="J18" s="791">
        <v>0</v>
      </c>
      <c r="K18" s="515"/>
      <c r="M18" s="706" t="s">
        <v>1963</v>
      </c>
      <c r="N18" s="918">
        <f>VLOOKUP(M18,payscales!B:M,12,0)</f>
        <v>46.02</v>
      </c>
      <c r="O18" s="146"/>
    </row>
    <row r="19" spans="2:15" x14ac:dyDescent="0.3">
      <c r="B19" s="147"/>
      <c r="C19" s="702" t="s">
        <v>1962</v>
      </c>
      <c r="D19" s="701" t="s">
        <v>1965</v>
      </c>
      <c r="E19" s="752" t="s">
        <v>1959</v>
      </c>
      <c r="F19" s="788">
        <v>15</v>
      </c>
      <c r="G19" s="787">
        <v>1</v>
      </c>
      <c r="H19" s="751">
        <v>1</v>
      </c>
      <c r="I19" s="515">
        <v>0</v>
      </c>
      <c r="J19" s="515">
        <v>0</v>
      </c>
      <c r="K19" s="515"/>
      <c r="M19" s="706" t="s">
        <v>1963</v>
      </c>
      <c r="N19" s="918">
        <f>VLOOKUP(M19,payscales!B:M,12,0)</f>
        <v>46.02</v>
      </c>
      <c r="O19" s="146"/>
    </row>
    <row r="20" spans="2:15" x14ac:dyDescent="0.3">
      <c r="B20" s="147"/>
      <c r="C20" s="703" t="s">
        <v>1966</v>
      </c>
      <c r="D20" s="701" t="s">
        <v>1967</v>
      </c>
      <c r="E20" s="752" t="s">
        <v>1968</v>
      </c>
      <c r="F20" s="788">
        <v>10</v>
      </c>
      <c r="G20" s="788"/>
      <c r="H20" s="522"/>
      <c r="I20" s="515">
        <v>0</v>
      </c>
      <c r="J20" s="515">
        <v>0</v>
      </c>
      <c r="K20" s="515"/>
      <c r="M20" s="706" t="s">
        <v>1969</v>
      </c>
      <c r="N20" s="918">
        <f>VLOOKUP(M20,payscales!B:M,12,0)</f>
        <v>51.03</v>
      </c>
      <c r="O20" s="146"/>
    </row>
    <row r="21" spans="2:15" x14ac:dyDescent="0.3">
      <c r="B21" s="147"/>
      <c r="C21" s="704" t="s">
        <v>2232</v>
      </c>
      <c r="D21" s="701" t="s">
        <v>2232</v>
      </c>
      <c r="E21" s="752" t="s">
        <v>1970</v>
      </c>
      <c r="F21" s="788"/>
      <c r="G21" s="515">
        <v>0</v>
      </c>
      <c r="H21" s="515">
        <v>1</v>
      </c>
      <c r="I21" s="515">
        <v>0</v>
      </c>
      <c r="J21" s="515">
        <v>0</v>
      </c>
      <c r="K21" s="515"/>
      <c r="M21" s="706" t="s">
        <v>1960</v>
      </c>
      <c r="N21" s="918">
        <f>VLOOKUP(M21,payscales!B:M,12,0)</f>
        <v>132.04</v>
      </c>
      <c r="O21" s="146"/>
    </row>
    <row r="22" spans="2:15" hidden="1" x14ac:dyDescent="0.3">
      <c r="B22" s="147"/>
      <c r="C22" s="705" t="s">
        <v>1971</v>
      </c>
      <c r="D22" s="701" t="s">
        <v>1972</v>
      </c>
      <c r="E22" s="752" t="s">
        <v>1970</v>
      </c>
      <c r="F22" s="788"/>
      <c r="G22" s="787"/>
      <c r="H22" s="521"/>
      <c r="I22" s="521"/>
      <c r="J22" s="521"/>
      <c r="K22" s="521"/>
      <c r="M22" s="706" t="s">
        <v>1963</v>
      </c>
      <c r="N22" s="792">
        <f>VLOOKUP(M22,payscales!B:M,10,0)</f>
        <v>1</v>
      </c>
      <c r="O22" s="146"/>
    </row>
    <row r="23" spans="2:15" hidden="1" x14ac:dyDescent="0.3">
      <c r="B23" s="147"/>
      <c r="C23" s="705" t="s">
        <v>1973</v>
      </c>
      <c r="D23" s="701" t="s">
        <v>1974</v>
      </c>
      <c r="E23" s="752" t="s">
        <v>1970</v>
      </c>
      <c r="F23" s="788"/>
      <c r="G23" s="787"/>
      <c r="H23" s="523"/>
      <c r="I23" s="523"/>
      <c r="J23" s="523"/>
      <c r="K23" s="523"/>
      <c r="M23" s="706" t="s">
        <v>1975</v>
      </c>
      <c r="N23" s="792">
        <f>VLOOKUP(M23,payscales!B:M,10,0)</f>
        <v>1</v>
      </c>
      <c r="O23" s="146"/>
    </row>
    <row r="24" spans="2:15" hidden="1" x14ac:dyDescent="0.3">
      <c r="B24" s="147"/>
      <c r="C24" s="705" t="s">
        <v>2263</v>
      </c>
      <c r="D24" s="701" t="s">
        <v>1976</v>
      </c>
      <c r="E24" s="752" t="s">
        <v>1970</v>
      </c>
      <c r="F24" s="791"/>
      <c r="G24" s="789"/>
      <c r="H24" s="790"/>
      <c r="I24" s="790"/>
      <c r="J24" s="790"/>
      <c r="K24" s="790"/>
      <c r="M24" s="706" t="s">
        <v>1977</v>
      </c>
      <c r="N24" s="792">
        <f>VLOOKUP(M24,payscales!B:M,10,0)</f>
        <v>1</v>
      </c>
      <c r="O24" s="146"/>
    </row>
    <row r="25" spans="2:15" x14ac:dyDescent="0.3">
      <c r="B25" s="147"/>
      <c r="C25" s="317"/>
      <c r="D25" s="192"/>
      <c r="E25" s="192"/>
      <c r="F25" s="192"/>
      <c r="G25" s="192"/>
      <c r="M25" s="753" t="s">
        <v>1978</v>
      </c>
      <c r="O25" s="146"/>
    </row>
    <row r="26" spans="2:15" x14ac:dyDescent="0.3">
      <c r="B26" s="147"/>
      <c r="C26" s="179" t="s">
        <v>1979</v>
      </c>
      <c r="D26" s="140"/>
      <c r="O26" s="146"/>
    </row>
    <row r="27" spans="2:15" x14ac:dyDescent="0.3">
      <c r="B27" s="147"/>
      <c r="C27" t="s">
        <v>2240</v>
      </c>
      <c r="D27" s="140"/>
      <c r="O27" s="146"/>
    </row>
    <row r="28" spans="2:15" x14ac:dyDescent="0.3">
      <c r="B28" s="147"/>
      <c r="C28" s="171" t="s">
        <v>2269</v>
      </c>
      <c r="D28" s="140"/>
      <c r="O28" s="146"/>
    </row>
    <row r="29" spans="2:15" x14ac:dyDescent="0.3">
      <c r="B29" s="147"/>
      <c r="C29" t="s">
        <v>2268</v>
      </c>
      <c r="D29" s="140"/>
      <c r="O29" s="146"/>
    </row>
    <row r="30" spans="2:15" x14ac:dyDescent="0.3">
      <c r="B30" s="147"/>
      <c r="C30" s="192" t="s">
        <v>1980</v>
      </c>
      <c r="D30" s="140"/>
      <c r="O30" s="146"/>
    </row>
    <row r="31" spans="2:15" x14ac:dyDescent="0.3">
      <c r="B31" s="147"/>
      <c r="C31" s="192" t="s">
        <v>2264</v>
      </c>
      <c r="D31" s="140"/>
      <c r="O31" s="146"/>
    </row>
    <row r="32" spans="2:15" x14ac:dyDescent="0.3">
      <c r="B32" s="147"/>
      <c r="C32" s="192" t="s">
        <v>2280</v>
      </c>
      <c r="D32" s="140"/>
      <c r="O32" s="146"/>
    </row>
    <row r="33" spans="2:15" x14ac:dyDescent="0.3">
      <c r="B33" s="148"/>
      <c r="C33" s="149"/>
      <c r="D33" s="151"/>
      <c r="E33" s="151"/>
      <c r="F33" s="151"/>
      <c r="G33" s="151"/>
      <c r="H33" s="151"/>
      <c r="I33" s="151"/>
      <c r="J33" s="151"/>
      <c r="K33" s="151"/>
      <c r="L33" s="149"/>
      <c r="M33" s="149"/>
      <c r="N33" s="149"/>
      <c r="O33" s="150"/>
    </row>
    <row r="34" spans="2:15" x14ac:dyDescent="0.3">
      <c r="D34" s="140"/>
      <c r="E34" s="140"/>
      <c r="F34" s="140"/>
      <c r="G34" s="140"/>
      <c r="H34" s="140"/>
      <c r="I34" s="140"/>
      <c r="J34" s="140"/>
      <c r="K34" s="140"/>
    </row>
    <row r="58" spans="2:15" x14ac:dyDescent="0.3">
      <c r="B58" s="755"/>
      <c r="C58" s="755"/>
      <c r="D58" s="755"/>
      <c r="E58" s="755"/>
      <c r="F58" s="755"/>
      <c r="G58" s="755"/>
      <c r="H58" s="755"/>
      <c r="I58" s="755"/>
      <c r="J58" s="755"/>
      <c r="K58" s="755"/>
      <c r="L58" s="755"/>
      <c r="M58" s="755"/>
      <c r="N58" s="755"/>
      <c r="O58" s="755"/>
    </row>
  </sheetData>
  <sheetProtection algorithmName="SHA-512" hashValue="c89ogcZ+K/2INWzxdUSAcrSIapBvGJShbr4Whtr06pdDNJieUKOpHZwZBFIQVdwWnnaxASe5zjT60WwaHyhUdQ==" saltValue="Ghb93W8Vioa3aVbby5DVKg==" spinCount="100000" sheet="1" objects="1" scenarios="1"/>
  <protectedRanges>
    <protectedRange sqref="I25:K25 F14:K24" name="Range1"/>
  </protectedRange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M14:M24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47"/>
  <sheetViews>
    <sheetView showGridLines="0" zoomScale="70" zoomScaleNormal="70" workbookViewId="0"/>
  </sheetViews>
  <sheetFormatPr defaultRowHeight="14.4" x14ac:dyDescent="0.3"/>
  <cols>
    <col min="1" max="1" width="3.33203125" customWidth="1"/>
    <col min="2" max="2" width="21.6640625" customWidth="1"/>
    <col min="3" max="3" width="10.33203125" customWidth="1"/>
    <col min="4" max="4" width="11.109375" customWidth="1"/>
    <col min="5" max="7" width="10.6640625" customWidth="1"/>
    <col min="9" max="9" width="2.33203125" customWidth="1"/>
    <col min="10" max="14" width="11.6640625" customWidth="1"/>
    <col min="15" max="15" width="2.44140625" customWidth="1"/>
  </cols>
  <sheetData>
    <row r="1" spans="2:15" ht="30" customHeight="1" x14ac:dyDescent="0.3">
      <c r="B1" s="452" t="str">
        <f>'Inputs and population'!B1</f>
        <v>Durvalumab with tremelimumab for untreated advanced or unresectable hepatocellular carcinoma</v>
      </c>
    </row>
    <row r="2" spans="2:15" ht="30" customHeight="1" x14ac:dyDescent="0.3">
      <c r="B2" s="143" t="s">
        <v>1981</v>
      </c>
      <c r="C2" s="142"/>
      <c r="D2" s="157"/>
      <c r="E2" s="157"/>
      <c r="F2" s="157"/>
      <c r="G2" s="157"/>
      <c r="H2" s="142"/>
      <c r="I2" s="142"/>
      <c r="J2" s="142"/>
      <c r="K2" s="142"/>
      <c r="L2" s="142"/>
      <c r="M2" s="142"/>
      <c r="N2" s="142"/>
      <c r="O2" s="142"/>
    </row>
    <row r="3" spans="2:15" x14ac:dyDescent="0.3">
      <c r="B3" s="794"/>
      <c r="C3" s="754"/>
      <c r="D3" s="754"/>
      <c r="E3" s="754"/>
      <c r="F3" s="754"/>
      <c r="G3" s="754"/>
      <c r="H3" s="755"/>
      <c r="I3" s="755"/>
      <c r="J3" s="755"/>
      <c r="K3" s="755"/>
      <c r="L3" s="755"/>
    </row>
    <row r="4" spans="2:15" x14ac:dyDescent="0.3">
      <c r="C4" s="795"/>
      <c r="D4" s="232"/>
      <c r="E4" s="797" t="s">
        <v>1982</v>
      </c>
      <c r="F4" s="232"/>
      <c r="G4" s="798"/>
    </row>
    <row r="5" spans="2:15" ht="28.8" x14ac:dyDescent="0.3">
      <c r="B5" s="224" t="s">
        <v>1983</v>
      </c>
      <c r="C5" s="224" t="s">
        <v>1984</v>
      </c>
      <c r="D5" s="224" t="s">
        <v>1985</v>
      </c>
      <c r="E5" s="224" t="s">
        <v>1986</v>
      </c>
      <c r="F5" s="224" t="s">
        <v>1987</v>
      </c>
      <c r="G5" s="224" t="s">
        <v>1932</v>
      </c>
      <c r="H5" s="224" t="s">
        <v>1988</v>
      </c>
    </row>
    <row r="6" spans="2:15" x14ac:dyDescent="0.3">
      <c r="B6" s="542" t="s">
        <v>1989</v>
      </c>
      <c r="C6" s="543">
        <v>0.1</v>
      </c>
      <c r="D6" s="543"/>
      <c r="E6" s="543"/>
      <c r="F6" s="543"/>
      <c r="G6" s="543"/>
      <c r="H6" s="265">
        <v>1500</v>
      </c>
    </row>
    <row r="7" spans="2:15" x14ac:dyDescent="0.3">
      <c r="B7" s="542" t="s">
        <v>1990</v>
      </c>
      <c r="C7" s="543">
        <v>0.1</v>
      </c>
      <c r="D7" s="543"/>
      <c r="E7" s="543"/>
      <c r="F7" s="543"/>
      <c r="G7" s="543"/>
      <c r="H7" s="265">
        <v>100</v>
      </c>
    </row>
    <row r="8" spans="2:15" x14ac:dyDescent="0.3">
      <c r="B8" s="542" t="s">
        <v>1991</v>
      </c>
      <c r="C8" s="543">
        <v>0.05</v>
      </c>
      <c r="D8" s="543"/>
      <c r="E8" s="543"/>
      <c r="F8" s="543"/>
      <c r="G8" s="543"/>
      <c r="H8" s="265">
        <v>200</v>
      </c>
    </row>
    <row r="9" spans="2:15" x14ac:dyDescent="0.3">
      <c r="B9" s="542" t="s">
        <v>1992</v>
      </c>
      <c r="C9" s="543">
        <v>0.02</v>
      </c>
      <c r="D9" s="543"/>
      <c r="E9" s="543"/>
      <c r="F9" s="543"/>
      <c r="G9" s="543"/>
      <c r="H9" s="265">
        <v>500</v>
      </c>
    </row>
    <row r="10" spans="2:15" x14ac:dyDescent="0.3">
      <c r="B10" s="542" t="s">
        <v>1993</v>
      </c>
      <c r="C10" s="543">
        <v>0.02</v>
      </c>
      <c r="D10" s="543"/>
      <c r="E10" s="543"/>
      <c r="F10" s="543"/>
      <c r="G10" s="543"/>
      <c r="H10" s="265">
        <v>60</v>
      </c>
    </row>
    <row r="11" spans="2:15" x14ac:dyDescent="0.3">
      <c r="B11" s="542" t="s">
        <v>1994</v>
      </c>
      <c r="C11" s="543">
        <v>0.02</v>
      </c>
      <c r="D11" s="543"/>
      <c r="E11" s="543"/>
      <c r="F11" s="543"/>
      <c r="G11" s="543"/>
      <c r="H11" s="265">
        <v>35</v>
      </c>
    </row>
    <row r="12" spans="2:15" x14ac:dyDescent="0.3">
      <c r="B12" s="542" t="s">
        <v>1995</v>
      </c>
      <c r="C12" s="543">
        <v>0.02</v>
      </c>
      <c r="D12" s="543"/>
      <c r="E12" s="543"/>
      <c r="F12" s="543"/>
      <c r="G12" s="543"/>
      <c r="H12" s="265">
        <v>555</v>
      </c>
    </row>
    <row r="13" spans="2:15" x14ac:dyDescent="0.3">
      <c r="B13" s="542" t="s">
        <v>1996</v>
      </c>
      <c r="C13" s="543">
        <v>0.02</v>
      </c>
      <c r="D13" s="543"/>
      <c r="E13" s="543"/>
      <c r="F13" s="543"/>
      <c r="G13" s="543"/>
      <c r="H13" s="265">
        <v>60</v>
      </c>
    </row>
    <row r="14" spans="2:15" x14ac:dyDescent="0.3">
      <c r="B14" s="542" t="s">
        <v>1997</v>
      </c>
      <c r="C14" s="543">
        <v>0.02</v>
      </c>
      <c r="D14" s="543"/>
      <c r="E14" s="543"/>
      <c r="F14" s="543"/>
      <c r="G14" s="543"/>
      <c r="H14" s="265">
        <v>35</v>
      </c>
    </row>
    <row r="15" spans="2:15" x14ac:dyDescent="0.3">
      <c r="B15" s="542" t="s">
        <v>1998</v>
      </c>
      <c r="C15" s="543">
        <v>0.02</v>
      </c>
      <c r="D15" s="543"/>
      <c r="E15" s="543"/>
      <c r="F15" s="543"/>
      <c r="G15" s="543"/>
      <c r="H15" s="265">
        <v>555</v>
      </c>
    </row>
    <row r="16" spans="2:15" x14ac:dyDescent="0.3">
      <c r="B16" s="5"/>
      <c r="C16" s="320">
        <f>SUM(C6:C15)</f>
        <v>0.39000000000000012</v>
      </c>
      <c r="D16" s="320">
        <f t="shared" ref="D16:E16" si="0">SUM(D6:D15)</f>
        <v>0</v>
      </c>
      <c r="E16" s="320">
        <f t="shared" si="0"/>
        <v>0</v>
      </c>
      <c r="F16" s="320">
        <f t="shared" ref="F16:G16" si="1">SUM(F6:F15)</f>
        <v>0</v>
      </c>
      <c r="G16" s="320">
        <f t="shared" si="1"/>
        <v>0</v>
      </c>
    </row>
    <row r="17" spans="2:14" x14ac:dyDescent="0.3">
      <c r="B17" s="222" t="s">
        <v>1999</v>
      </c>
      <c r="C17" s="793"/>
      <c r="D17" s="793"/>
      <c r="E17" s="793"/>
    </row>
    <row r="18" spans="2:14" x14ac:dyDescent="0.3">
      <c r="B18" s="222" t="s">
        <v>2000</v>
      </c>
      <c r="C18" s="793"/>
      <c r="D18" s="793"/>
      <c r="E18" s="793"/>
    </row>
    <row r="19" spans="2:14" x14ac:dyDescent="0.3">
      <c r="B19" s="222" t="s">
        <v>2001</v>
      </c>
      <c r="C19" s="793"/>
      <c r="D19" s="793"/>
      <c r="E19" s="793"/>
    </row>
    <row r="20" spans="2:14" x14ac:dyDescent="0.3">
      <c r="C20" s="5"/>
      <c r="D20" s="5"/>
      <c r="E20" s="5"/>
    </row>
    <row r="21" spans="2:14" x14ac:dyDescent="0.3">
      <c r="C21" s="795" t="s">
        <v>2002</v>
      </c>
      <c r="D21" s="796"/>
      <c r="E21" s="796"/>
      <c r="F21" s="383"/>
      <c r="G21" s="383"/>
      <c r="H21" s="545"/>
      <c r="J21" s="795" t="s">
        <v>2003</v>
      </c>
      <c r="K21" s="232"/>
      <c r="L21" s="232"/>
      <c r="M21" s="232"/>
      <c r="N21" s="189"/>
    </row>
    <row r="22" spans="2:14" ht="43.2" x14ac:dyDescent="0.3">
      <c r="C22" s="152" t="s">
        <v>2004</v>
      </c>
      <c r="D22" s="152" t="s">
        <v>1885</v>
      </c>
      <c r="E22" s="152" t="s">
        <v>1886</v>
      </c>
      <c r="F22" s="213" t="s">
        <v>1887</v>
      </c>
      <c r="G22" s="152" t="s">
        <v>1888</v>
      </c>
      <c r="H22" s="152" t="s">
        <v>1889</v>
      </c>
      <c r="J22" s="152" t="s">
        <v>1885</v>
      </c>
      <c r="K22" s="152" t="s">
        <v>1886</v>
      </c>
      <c r="L22" s="213" t="s">
        <v>1887</v>
      </c>
      <c r="M22" s="152" t="s">
        <v>1888</v>
      </c>
      <c r="N22" s="152" t="s">
        <v>1889</v>
      </c>
    </row>
    <row r="23" spans="2:14" x14ac:dyDescent="0.3">
      <c r="B23" s="542" t="s">
        <v>1989</v>
      </c>
      <c r="C23" s="116">
        <f>($C$6*'Financial impact (cash)'!D$13)+(Events!$D$6*'Financial impact (cash)'!D$14)+(Events!$E$6*'Financial impact (cash)'!D$15)</f>
        <v>0</v>
      </c>
      <c r="D23" s="116">
        <f>($C$6*'Financial impact (cash)'!E$13)+(Events!$D$6*'Financial impact (cash)'!E$14)+(Events!$E$6*'Financial impact (cash)'!E$15)</f>
        <v>8.9102964902019011</v>
      </c>
      <c r="E23" s="116">
        <f>($C$6*'Financial impact (cash)'!F$13)+(Events!$D$6*'Financial impact (cash)'!F$14)+(Events!$E$6*'Financial impact (cash)'!F$15)</f>
        <v>17.977250596273091</v>
      </c>
      <c r="F23" s="116">
        <f>($C$6*'Financial impact (cash)'!G$13)+(Events!$D$6*'Financial impact (cash)'!G$14)+(Events!$E$6*'Financial impact (cash)'!G$15)</f>
        <v>18.135285360963234</v>
      </c>
      <c r="G23" s="116">
        <f>($C$6*'Financial impact (cash)'!H$13)+(Events!$D$6*'Financial impact (cash)'!H$14)+(Events!$E$6*'Financial impact (cash)'!H$15)</f>
        <v>18.294709380740905</v>
      </c>
      <c r="H23" s="116">
        <f>($C$6*'Financial impact (cash)'!I$13)+(Events!$D$6*'Financial impact (cash)'!I$14)+(Events!$E$6*'Financial impact (cash)'!I$15)</f>
        <v>18.455534868296791</v>
      </c>
      <c r="J23" s="116">
        <f>D23-$C23</f>
        <v>8.9102964902019011</v>
      </c>
      <c r="K23" s="116">
        <f>E23-$C23</f>
        <v>17.977250596273091</v>
      </c>
      <c r="L23" s="116">
        <f t="shared" ref="L23:N23" si="2">F23-$C23</f>
        <v>18.135285360963234</v>
      </c>
      <c r="M23" s="116">
        <f t="shared" si="2"/>
        <v>18.294709380740905</v>
      </c>
      <c r="N23" s="116">
        <f t="shared" si="2"/>
        <v>18.455534868296791</v>
      </c>
    </row>
    <row r="24" spans="2:14" x14ac:dyDescent="0.3">
      <c r="B24" s="542" t="s">
        <v>1990</v>
      </c>
      <c r="C24" s="116">
        <f>($C$7*'Financial impact (cash)'!D$13)+(Events!$D$7*'Financial impact (cash)'!D$14)+(Events!$E$7*'Financial impact (cash)'!D$15)</f>
        <v>0</v>
      </c>
      <c r="D24" s="116">
        <f>($C$7*'Financial impact (cash)'!E$13)+(Events!$D$7*'Financial impact (cash)'!E$14)+(Events!$E$7*'Financial impact (cash)'!E$15)</f>
        <v>8.9102964902019011</v>
      </c>
      <c r="E24" s="116">
        <f>($C$7*'Financial impact (cash)'!F$13)+(Events!$D$7*'Financial impact (cash)'!F$14)+(Events!$E$7*'Financial impact (cash)'!F$15)</f>
        <v>17.977250596273091</v>
      </c>
      <c r="F24" s="116">
        <f>($C$7*'Financial impact (cash)'!G$13)+(Events!$D$7*'Financial impact (cash)'!G$14)+(Events!$E$7*'Financial impact (cash)'!G$15)</f>
        <v>18.135285360963234</v>
      </c>
      <c r="G24" s="116">
        <f>($C$7*'Financial impact (cash)'!H$13)+(Events!$D$7*'Financial impact (cash)'!H$14)+(Events!$E$7*'Financial impact (cash)'!H$15)</f>
        <v>18.294709380740905</v>
      </c>
      <c r="H24" s="116">
        <f>($C$7*'Financial impact (cash)'!I$13)+(Events!$D$7*'Financial impact (cash)'!I$14)+(Events!$E$7*'Financial impact (cash)'!I$15)</f>
        <v>18.455534868296791</v>
      </c>
      <c r="J24" s="116">
        <f t="shared" ref="J24:J32" si="3">D24-$C24</f>
        <v>8.9102964902019011</v>
      </c>
      <c r="K24" s="116">
        <f t="shared" ref="K24:K32" si="4">E24-$C24</f>
        <v>17.977250596273091</v>
      </c>
      <c r="L24" s="116">
        <f t="shared" ref="L24:L32" si="5">F24-$C24</f>
        <v>18.135285360963234</v>
      </c>
      <c r="M24" s="116">
        <f t="shared" ref="M24:M32" si="6">G24-$C24</f>
        <v>18.294709380740905</v>
      </c>
      <c r="N24" s="116">
        <f t="shared" ref="N24:N32" si="7">H24-$C24</f>
        <v>18.455534868296791</v>
      </c>
    </row>
    <row r="25" spans="2:14" x14ac:dyDescent="0.3">
      <c r="B25" s="542" t="s">
        <v>1991</v>
      </c>
      <c r="C25" s="116">
        <f>($C$8*'Financial impact (cash)'!D$13)+(Events!$D$8*'Financial impact (cash)'!D$14)+(Events!$E$8*'Financial impact (cash)'!D$15)</f>
        <v>0</v>
      </c>
      <c r="D25" s="116">
        <f>($C$8*'Financial impact (cash)'!E$13)+(Events!$D$8*'Financial impact (cash)'!E$14)+(Events!$E$8*'Financial impact (cash)'!E$15)</f>
        <v>4.4551482451009505</v>
      </c>
      <c r="E25" s="116">
        <f>($C$8*'Financial impact (cash)'!F$13)+(Events!$D$8*'Financial impact (cash)'!F$14)+(Events!$E$8*'Financial impact (cash)'!F$15)</f>
        <v>8.9886252981365455</v>
      </c>
      <c r="F25" s="116">
        <f>($C$8*'Financial impact (cash)'!G$13)+(Events!$D$8*'Financial impact (cash)'!G$14)+(Events!$E$8*'Financial impact (cash)'!G$15)</f>
        <v>9.067642680481617</v>
      </c>
      <c r="G25" s="116">
        <f>($C$8*'Financial impact (cash)'!H$13)+(Events!$D$8*'Financial impact (cash)'!H$14)+(Events!$E$8*'Financial impact (cash)'!H$15)</f>
        <v>9.1473546903704523</v>
      </c>
      <c r="H25" s="116">
        <f>($C$8*'Financial impact (cash)'!I$13)+(Events!$D$8*'Financial impact (cash)'!I$14)+(Events!$E$8*'Financial impact (cash)'!I$15)</f>
        <v>9.2277674341483955</v>
      </c>
      <c r="J25" s="116">
        <f t="shared" si="3"/>
        <v>4.4551482451009505</v>
      </c>
      <c r="K25" s="116">
        <f t="shared" si="4"/>
        <v>8.9886252981365455</v>
      </c>
      <c r="L25" s="116">
        <f t="shared" si="5"/>
        <v>9.067642680481617</v>
      </c>
      <c r="M25" s="116">
        <f t="shared" si="6"/>
        <v>9.1473546903704523</v>
      </c>
      <c r="N25" s="116">
        <f t="shared" si="7"/>
        <v>9.2277674341483955</v>
      </c>
    </row>
    <row r="26" spans="2:14" x14ac:dyDescent="0.3">
      <c r="B26" s="542" t="s">
        <v>1992</v>
      </c>
      <c r="C26" s="116">
        <f>($C$9*'Financial impact (cash)'!D$13)+(Events!$D$9*'Financial impact (cash)'!D$14)+(Events!$E$9*'Financial impact (cash)'!D$15)</f>
        <v>0</v>
      </c>
      <c r="D26" s="116">
        <f>($C$9*'Financial impact (cash)'!E$13)+(Events!$D$9*'Financial impact (cash)'!E$14)+(Events!$E$9*'Financial impact (cash)'!E$15)</f>
        <v>1.7820592980403802</v>
      </c>
      <c r="E26" s="116">
        <f>($C$9*'Financial impact (cash)'!F$13)+(Events!$D$9*'Financial impact (cash)'!F$14)+(Events!$E$9*'Financial impact (cash)'!F$15)</f>
        <v>3.5954501192546178</v>
      </c>
      <c r="F26" s="116">
        <f>($C$9*'Financial impact (cash)'!G$13)+(Events!$D$9*'Financial impact (cash)'!G$14)+(Events!$E$9*'Financial impact (cash)'!G$15)</f>
        <v>3.6270570721926463</v>
      </c>
      <c r="G26" s="116">
        <f>($C$9*'Financial impact (cash)'!H$13)+(Events!$D$9*'Financial impact (cash)'!H$14)+(Events!$E$9*'Financial impact (cash)'!H$15)</f>
        <v>3.6589418761481807</v>
      </c>
      <c r="H26" s="116">
        <f>($C$9*'Financial impact (cash)'!I$13)+(Events!$D$9*'Financial impact (cash)'!I$14)+(Events!$E$9*'Financial impact (cash)'!I$15)</f>
        <v>3.691106973659358</v>
      </c>
      <c r="J26" s="116">
        <f t="shared" si="3"/>
        <v>1.7820592980403802</v>
      </c>
      <c r="K26" s="116">
        <f t="shared" si="4"/>
        <v>3.5954501192546178</v>
      </c>
      <c r="L26" s="116">
        <f t="shared" si="5"/>
        <v>3.6270570721926463</v>
      </c>
      <c r="M26" s="116">
        <f t="shared" si="6"/>
        <v>3.6589418761481807</v>
      </c>
      <c r="N26" s="116">
        <f t="shared" si="7"/>
        <v>3.691106973659358</v>
      </c>
    </row>
    <row r="27" spans="2:14" x14ac:dyDescent="0.3">
      <c r="B27" s="542" t="s">
        <v>1993</v>
      </c>
      <c r="C27" s="116">
        <f>($C$10*'Financial impact (cash)'!D$13)+(Events!$D$10*'Financial impact (cash)'!D$14)+(Events!$E$10*'Financial impact (cash)'!D$15)</f>
        <v>0</v>
      </c>
      <c r="D27" s="116">
        <f>($C$10*'Financial impact (cash)'!E$13)+(Events!$D$10*'Financial impact (cash)'!E$14)+(Events!$E$10*'Financial impact (cash)'!E$15)</f>
        <v>1.7820592980403802</v>
      </c>
      <c r="E27" s="116">
        <f>($C$10*'Financial impact (cash)'!F$13)+(Events!$D$10*'Financial impact (cash)'!F$14)+(Events!$E$10*'Financial impact (cash)'!F$15)</f>
        <v>3.5954501192546178</v>
      </c>
      <c r="F27" s="116">
        <f>($C$10*'Financial impact (cash)'!G$13)+(Events!$D$10*'Financial impact (cash)'!G$14)+(Events!$E$10*'Financial impact (cash)'!G$15)</f>
        <v>3.6270570721926463</v>
      </c>
      <c r="G27" s="116">
        <f>($C$10*'Financial impact (cash)'!H$13)+(Events!$D$10*'Financial impact (cash)'!H$14)+(Events!$E$10*'Financial impact (cash)'!H$15)</f>
        <v>3.6589418761481807</v>
      </c>
      <c r="H27" s="116">
        <f>($C$10*'Financial impact (cash)'!I$13)+(Events!$D$10*'Financial impact (cash)'!I$14)+(Events!$E$10*'Financial impact (cash)'!I$15)</f>
        <v>3.691106973659358</v>
      </c>
      <c r="J27" s="116">
        <f t="shared" si="3"/>
        <v>1.7820592980403802</v>
      </c>
      <c r="K27" s="116">
        <f t="shared" si="4"/>
        <v>3.5954501192546178</v>
      </c>
      <c r="L27" s="116">
        <f t="shared" si="5"/>
        <v>3.6270570721926463</v>
      </c>
      <c r="M27" s="116">
        <f t="shared" si="6"/>
        <v>3.6589418761481807</v>
      </c>
      <c r="N27" s="116">
        <f t="shared" si="7"/>
        <v>3.691106973659358</v>
      </c>
    </row>
    <row r="28" spans="2:14" x14ac:dyDescent="0.3">
      <c r="B28" s="542" t="s">
        <v>1994</v>
      </c>
      <c r="C28" s="116">
        <f>($C$11*'Financial impact (cash)'!D$13)+(Events!$D$11*'Financial impact (cash)'!D$14)+(Events!$E$11*'Financial impact (cash)'!D$15)</f>
        <v>0</v>
      </c>
      <c r="D28" s="116">
        <f>($C$11*'Financial impact (cash)'!E$13)+(Events!$D$11*'Financial impact (cash)'!E$14)+(Events!$E$11*'Financial impact (cash)'!E$15)</f>
        <v>1.7820592980403802</v>
      </c>
      <c r="E28" s="116">
        <f>($C$11*'Financial impact (cash)'!F$13)+(Events!$D$11*'Financial impact (cash)'!F$14)+(Events!$E$11*'Financial impact (cash)'!F$15)</f>
        <v>3.5954501192546178</v>
      </c>
      <c r="F28" s="116">
        <f>($C$11*'Financial impact (cash)'!G$13)+(Events!$D$11*'Financial impact (cash)'!G$14)+(Events!$E$11*'Financial impact (cash)'!G$15)</f>
        <v>3.6270570721926463</v>
      </c>
      <c r="G28" s="116">
        <f>($C$11*'Financial impact (cash)'!H$13)+(Events!$D$11*'Financial impact (cash)'!H$14)+(Events!$E$11*'Financial impact (cash)'!H$15)</f>
        <v>3.6589418761481807</v>
      </c>
      <c r="H28" s="116">
        <f>($C$11*'Financial impact (cash)'!I$13)+(Events!$D$11*'Financial impact (cash)'!I$14)+(Events!$E$11*'Financial impact (cash)'!I$15)</f>
        <v>3.691106973659358</v>
      </c>
      <c r="J28" s="116">
        <f t="shared" si="3"/>
        <v>1.7820592980403802</v>
      </c>
      <c r="K28" s="116">
        <f t="shared" si="4"/>
        <v>3.5954501192546178</v>
      </c>
      <c r="L28" s="116">
        <f t="shared" si="5"/>
        <v>3.6270570721926463</v>
      </c>
      <c r="M28" s="116">
        <f t="shared" si="6"/>
        <v>3.6589418761481807</v>
      </c>
      <c r="N28" s="116">
        <f t="shared" si="7"/>
        <v>3.691106973659358</v>
      </c>
    </row>
    <row r="29" spans="2:14" x14ac:dyDescent="0.3">
      <c r="B29" s="542" t="s">
        <v>1995</v>
      </c>
      <c r="C29" s="116">
        <f>($C12*'Financial impact (cash)'!D$13)+(Events!$D12*'Financial impact (cash)'!D$14)+(Events!$E12*'Financial impact (cash)'!D$15)</f>
        <v>0</v>
      </c>
      <c r="D29" s="116">
        <f>($C12*'Financial impact (cash)'!E$13)+(Events!$D12*'Financial impact (cash)'!E$14)+(Events!$E12*'Financial impact (cash)'!E$15)</f>
        <v>1.7820592980403802</v>
      </c>
      <c r="E29" s="116">
        <f>($C12*'Financial impact (cash)'!F$13)+(Events!$D12*'Financial impact (cash)'!F$14)+(Events!$E12*'Financial impact (cash)'!F$15)</f>
        <v>3.5954501192546178</v>
      </c>
      <c r="F29" s="116">
        <f>($C12*'Financial impact (cash)'!G$13)+(Events!$D12*'Financial impact (cash)'!G$14)+(Events!$E12*'Financial impact (cash)'!G$15)</f>
        <v>3.6270570721926463</v>
      </c>
      <c r="G29" s="116">
        <f>($C12*'Financial impact (cash)'!H$13)+(Events!$D12*'Financial impact (cash)'!H$14)+(Events!$E12*'Financial impact (cash)'!H$15)</f>
        <v>3.6589418761481807</v>
      </c>
      <c r="H29" s="116">
        <f>($C12*'Financial impact (cash)'!I$13)+(Events!$D12*'Financial impact (cash)'!I$14)+(Events!$E12*'Financial impact (cash)'!I$15)</f>
        <v>3.691106973659358</v>
      </c>
      <c r="J29" s="116">
        <f t="shared" si="3"/>
        <v>1.7820592980403802</v>
      </c>
      <c r="K29" s="116">
        <f t="shared" si="4"/>
        <v>3.5954501192546178</v>
      </c>
      <c r="L29" s="116">
        <f t="shared" si="5"/>
        <v>3.6270570721926463</v>
      </c>
      <c r="M29" s="116">
        <f t="shared" si="6"/>
        <v>3.6589418761481807</v>
      </c>
      <c r="N29" s="116">
        <f t="shared" si="7"/>
        <v>3.691106973659358</v>
      </c>
    </row>
    <row r="30" spans="2:14" x14ac:dyDescent="0.3">
      <c r="B30" s="542" t="s">
        <v>1996</v>
      </c>
      <c r="C30" s="116">
        <f>($C13*'Financial impact (cash)'!D$13)+(Events!$D13*'Financial impact (cash)'!D$14)+(Events!$E13*'Financial impact (cash)'!D$15)</f>
        <v>0</v>
      </c>
      <c r="D30" s="116">
        <f>($C13*'Financial impact (cash)'!E$13)+(Events!$D13*'Financial impact (cash)'!E$14)+(Events!$E13*'Financial impact (cash)'!E$15)</f>
        <v>1.7820592980403802</v>
      </c>
      <c r="E30" s="116">
        <f>($C13*'Financial impact (cash)'!F$13)+(Events!$D13*'Financial impact (cash)'!F$14)+(Events!$E13*'Financial impact (cash)'!F$15)</f>
        <v>3.5954501192546178</v>
      </c>
      <c r="F30" s="116">
        <f>($C13*'Financial impact (cash)'!G$13)+(Events!$D13*'Financial impact (cash)'!G$14)+(Events!$E13*'Financial impact (cash)'!G$15)</f>
        <v>3.6270570721926463</v>
      </c>
      <c r="G30" s="116">
        <f>($C13*'Financial impact (cash)'!H$13)+(Events!$D13*'Financial impact (cash)'!H$14)+(Events!$E13*'Financial impact (cash)'!H$15)</f>
        <v>3.6589418761481807</v>
      </c>
      <c r="H30" s="116">
        <f>($C13*'Financial impact (cash)'!I$13)+(Events!$D13*'Financial impact (cash)'!I$14)+(Events!$E13*'Financial impact (cash)'!I$15)</f>
        <v>3.691106973659358</v>
      </c>
      <c r="J30" s="116">
        <f t="shared" si="3"/>
        <v>1.7820592980403802</v>
      </c>
      <c r="K30" s="116">
        <f t="shared" si="4"/>
        <v>3.5954501192546178</v>
      </c>
      <c r="L30" s="116">
        <f t="shared" si="5"/>
        <v>3.6270570721926463</v>
      </c>
      <c r="M30" s="116">
        <f t="shared" si="6"/>
        <v>3.6589418761481807</v>
      </c>
      <c r="N30" s="116">
        <f t="shared" si="7"/>
        <v>3.691106973659358</v>
      </c>
    </row>
    <row r="31" spans="2:14" x14ac:dyDescent="0.3">
      <c r="B31" s="542" t="s">
        <v>1997</v>
      </c>
      <c r="C31" s="116">
        <f>($C14*'Financial impact (cash)'!D$13)+(Events!$D14*'Financial impact (cash)'!D$14)+(Events!$E14*'Financial impact (cash)'!D$15)</f>
        <v>0</v>
      </c>
      <c r="D31" s="116">
        <f>($C14*'Financial impact (cash)'!E$13)+(Events!$D14*'Financial impact (cash)'!E$14)+(Events!$E14*'Financial impact (cash)'!E$15)</f>
        <v>1.7820592980403802</v>
      </c>
      <c r="E31" s="116">
        <f>($C14*'Financial impact (cash)'!F$13)+(Events!$D14*'Financial impact (cash)'!F$14)+(Events!$E14*'Financial impact (cash)'!F$15)</f>
        <v>3.5954501192546178</v>
      </c>
      <c r="F31" s="116">
        <f>($C14*'Financial impact (cash)'!G$13)+(Events!$D14*'Financial impact (cash)'!G$14)+(Events!$E14*'Financial impact (cash)'!G$15)</f>
        <v>3.6270570721926463</v>
      </c>
      <c r="G31" s="116">
        <f>($C14*'Financial impact (cash)'!H$13)+(Events!$D14*'Financial impact (cash)'!H$14)+(Events!$E14*'Financial impact (cash)'!H$15)</f>
        <v>3.6589418761481807</v>
      </c>
      <c r="H31" s="116">
        <f>($C14*'Financial impact (cash)'!I$13)+(Events!$D14*'Financial impact (cash)'!I$14)+(Events!$E14*'Financial impact (cash)'!I$15)</f>
        <v>3.691106973659358</v>
      </c>
      <c r="J31" s="116">
        <f t="shared" si="3"/>
        <v>1.7820592980403802</v>
      </c>
      <c r="K31" s="116">
        <f t="shared" si="4"/>
        <v>3.5954501192546178</v>
      </c>
      <c r="L31" s="116">
        <f t="shared" si="5"/>
        <v>3.6270570721926463</v>
      </c>
      <c r="M31" s="116">
        <f t="shared" si="6"/>
        <v>3.6589418761481807</v>
      </c>
      <c r="N31" s="116">
        <f t="shared" si="7"/>
        <v>3.691106973659358</v>
      </c>
    </row>
    <row r="32" spans="2:14" x14ac:dyDescent="0.3">
      <c r="B32" s="542" t="s">
        <v>1998</v>
      </c>
      <c r="C32" s="116">
        <f>($C15*'Financial impact (cash)'!D$13)+(Events!$D15*'Financial impact (cash)'!D$14)+(Events!$E15*'Financial impact (cash)'!D$15)</f>
        <v>0</v>
      </c>
      <c r="D32" s="116">
        <f>($C15*'Financial impact (cash)'!E$13)+(Events!$D15*'Financial impact (cash)'!E$14)+(Events!$E15*'Financial impact (cash)'!E$15)</f>
        <v>1.7820592980403802</v>
      </c>
      <c r="E32" s="116">
        <f>($C15*'Financial impact (cash)'!F$13)+(Events!$D15*'Financial impact (cash)'!F$14)+(Events!$E15*'Financial impact (cash)'!F$15)</f>
        <v>3.5954501192546178</v>
      </c>
      <c r="F32" s="116">
        <f>($C15*'Financial impact (cash)'!G$13)+(Events!$D15*'Financial impact (cash)'!G$14)+(Events!$E15*'Financial impact (cash)'!G$15)</f>
        <v>3.6270570721926463</v>
      </c>
      <c r="G32" s="116">
        <f>($C15*'Financial impact (cash)'!H$13)+(Events!$D15*'Financial impact (cash)'!H$14)+(Events!$E15*'Financial impact (cash)'!H$15)</f>
        <v>3.6589418761481807</v>
      </c>
      <c r="H32" s="116">
        <f>($C15*'Financial impact (cash)'!I$13)+(Events!$D15*'Financial impact (cash)'!I$14)+(Events!$E15*'Financial impact (cash)'!I$15)</f>
        <v>3.691106973659358</v>
      </c>
      <c r="J32" s="116">
        <f t="shared" si="3"/>
        <v>1.7820592980403802</v>
      </c>
      <c r="K32" s="116">
        <f t="shared" si="4"/>
        <v>3.5954501192546178</v>
      </c>
      <c r="L32" s="116">
        <f t="shared" si="5"/>
        <v>3.6270570721926463</v>
      </c>
      <c r="M32" s="116">
        <f t="shared" si="6"/>
        <v>3.6589418761481807</v>
      </c>
      <c r="N32" s="116">
        <f t="shared" si="7"/>
        <v>3.691106973659358</v>
      </c>
    </row>
    <row r="33" spans="2:14" s="136" customFormat="1" x14ac:dyDescent="0.3">
      <c r="B33" s="815"/>
      <c r="C33" s="163">
        <f>SUM(C23:C32)</f>
        <v>0</v>
      </c>
      <c r="D33" s="163">
        <f t="shared" ref="D33:H33" si="8">SUM(D23:D32)</f>
        <v>34.750156311787414</v>
      </c>
      <c r="E33" s="163">
        <f t="shared" si="8"/>
        <v>70.111277325465039</v>
      </c>
      <c r="F33" s="163">
        <f t="shared" si="8"/>
        <v>70.727612907756622</v>
      </c>
      <c r="G33" s="163">
        <f t="shared" si="8"/>
        <v>71.349366584889523</v>
      </c>
      <c r="H33" s="163">
        <f t="shared" si="8"/>
        <v>71.976585986357492</v>
      </c>
      <c r="J33" s="163">
        <f t="shared" ref="J33" si="9">SUM(J23:J32)</f>
        <v>34.750156311787414</v>
      </c>
      <c r="K33" s="163">
        <f t="shared" ref="K33" si="10">SUM(K23:K32)</f>
        <v>70.111277325465039</v>
      </c>
      <c r="L33" s="163">
        <f t="shared" ref="L33" si="11">SUM(L23:L32)</f>
        <v>70.727612907756622</v>
      </c>
      <c r="M33" s="163">
        <f t="shared" ref="M33" si="12">SUM(M23:M32)</f>
        <v>71.349366584889523</v>
      </c>
      <c r="N33" s="163">
        <f t="shared" ref="N33" si="13">SUM(N23:N32)</f>
        <v>71.976585986357492</v>
      </c>
    </row>
    <row r="34" spans="2:14" x14ac:dyDescent="0.3">
      <c r="J34" s="755"/>
    </row>
    <row r="35" spans="2:14" x14ac:dyDescent="0.3">
      <c r="C35" s="795" t="s">
        <v>2005</v>
      </c>
      <c r="D35" s="796"/>
      <c r="E35" s="796"/>
      <c r="F35" s="383"/>
      <c r="G35" s="383"/>
      <c r="H35" s="545"/>
      <c r="J35" s="795" t="s">
        <v>2006</v>
      </c>
      <c r="K35" s="232"/>
      <c r="L35" s="232"/>
      <c r="M35" s="232"/>
      <c r="N35" s="189"/>
    </row>
    <row r="36" spans="2:14" ht="43.2" x14ac:dyDescent="0.3">
      <c r="C36" s="152" t="s">
        <v>2004</v>
      </c>
      <c r="D36" s="152" t="s">
        <v>1885</v>
      </c>
      <c r="E36" s="152" t="s">
        <v>1886</v>
      </c>
      <c r="F36" s="213" t="s">
        <v>1887</v>
      </c>
      <c r="G36" s="152" t="s">
        <v>1888</v>
      </c>
      <c r="H36" s="152" t="s">
        <v>1889</v>
      </c>
      <c r="J36" s="152" t="s">
        <v>1885</v>
      </c>
      <c r="K36" s="152" t="s">
        <v>1886</v>
      </c>
      <c r="L36" s="213" t="s">
        <v>1887</v>
      </c>
      <c r="M36" s="152" t="s">
        <v>1888</v>
      </c>
      <c r="N36" s="152" t="s">
        <v>1889</v>
      </c>
    </row>
    <row r="37" spans="2:14" x14ac:dyDescent="0.3">
      <c r="B37" s="542" t="s">
        <v>1989</v>
      </c>
      <c r="C37" s="265">
        <f t="shared" ref="C37:H42" si="14">C23*$F6/1000</f>
        <v>0</v>
      </c>
      <c r="D37" s="265">
        <f t="shared" si="14"/>
        <v>0</v>
      </c>
      <c r="E37" s="265">
        <f t="shared" si="14"/>
        <v>0</v>
      </c>
      <c r="F37" s="265">
        <f t="shared" si="14"/>
        <v>0</v>
      </c>
      <c r="G37" s="265">
        <f t="shared" si="14"/>
        <v>0</v>
      </c>
      <c r="H37" s="265">
        <f t="shared" si="14"/>
        <v>0</v>
      </c>
      <c r="J37" s="265">
        <f>D37-$C37</f>
        <v>0</v>
      </c>
      <c r="K37" s="265">
        <f>E37-$C37</f>
        <v>0</v>
      </c>
      <c r="L37" s="265">
        <f>F37-$C37</f>
        <v>0</v>
      </c>
      <c r="M37" s="265">
        <f>G37-$C37</f>
        <v>0</v>
      </c>
      <c r="N37" s="265">
        <f>H37-$C37</f>
        <v>0</v>
      </c>
    </row>
    <row r="38" spans="2:14" x14ac:dyDescent="0.3">
      <c r="B38" s="542" t="s">
        <v>1990</v>
      </c>
      <c r="C38" s="265">
        <f t="shared" si="14"/>
        <v>0</v>
      </c>
      <c r="D38" s="265">
        <f t="shared" si="14"/>
        <v>0</v>
      </c>
      <c r="E38" s="265">
        <f t="shared" si="14"/>
        <v>0</v>
      </c>
      <c r="F38" s="265">
        <f t="shared" si="14"/>
        <v>0</v>
      </c>
      <c r="G38" s="265">
        <f t="shared" si="14"/>
        <v>0</v>
      </c>
      <c r="H38" s="265">
        <f t="shared" si="14"/>
        <v>0</v>
      </c>
      <c r="J38" s="265">
        <f t="shared" ref="J38:J46" si="15">D38-$C38</f>
        <v>0</v>
      </c>
      <c r="K38" s="265">
        <f t="shared" ref="K38:K46" si="16">E38-$C38</f>
        <v>0</v>
      </c>
      <c r="L38" s="265">
        <f t="shared" ref="L38:L46" si="17">F38-$C38</f>
        <v>0</v>
      </c>
      <c r="M38" s="265">
        <f t="shared" ref="M38:M46" si="18">G38-$C38</f>
        <v>0</v>
      </c>
      <c r="N38" s="265">
        <f t="shared" ref="N38:N46" si="19">H38-$C38</f>
        <v>0</v>
      </c>
    </row>
    <row r="39" spans="2:14" x14ac:dyDescent="0.3">
      <c r="B39" s="542" t="s">
        <v>1991</v>
      </c>
      <c r="C39" s="265">
        <f t="shared" si="14"/>
        <v>0</v>
      </c>
      <c r="D39" s="265">
        <f t="shared" si="14"/>
        <v>0</v>
      </c>
      <c r="E39" s="265">
        <f t="shared" si="14"/>
        <v>0</v>
      </c>
      <c r="F39" s="265">
        <f t="shared" si="14"/>
        <v>0</v>
      </c>
      <c r="G39" s="265">
        <f t="shared" si="14"/>
        <v>0</v>
      </c>
      <c r="H39" s="265">
        <f t="shared" si="14"/>
        <v>0</v>
      </c>
      <c r="J39" s="265">
        <f t="shared" si="15"/>
        <v>0</v>
      </c>
      <c r="K39" s="265">
        <f t="shared" si="16"/>
        <v>0</v>
      </c>
      <c r="L39" s="265">
        <f t="shared" si="17"/>
        <v>0</v>
      </c>
      <c r="M39" s="265">
        <f t="shared" si="18"/>
        <v>0</v>
      </c>
      <c r="N39" s="265">
        <f t="shared" si="19"/>
        <v>0</v>
      </c>
    </row>
    <row r="40" spans="2:14" x14ac:dyDescent="0.3">
      <c r="B40" s="542" t="s">
        <v>1992</v>
      </c>
      <c r="C40" s="265">
        <f t="shared" si="14"/>
        <v>0</v>
      </c>
      <c r="D40" s="265">
        <f t="shared" si="14"/>
        <v>0</v>
      </c>
      <c r="E40" s="265">
        <f t="shared" si="14"/>
        <v>0</v>
      </c>
      <c r="F40" s="265">
        <f t="shared" si="14"/>
        <v>0</v>
      </c>
      <c r="G40" s="265">
        <f t="shared" si="14"/>
        <v>0</v>
      </c>
      <c r="H40" s="265">
        <f t="shared" si="14"/>
        <v>0</v>
      </c>
      <c r="J40" s="265">
        <f t="shared" si="15"/>
        <v>0</v>
      </c>
      <c r="K40" s="265">
        <f t="shared" si="16"/>
        <v>0</v>
      </c>
      <c r="L40" s="265">
        <f t="shared" si="17"/>
        <v>0</v>
      </c>
      <c r="M40" s="265">
        <f t="shared" si="18"/>
        <v>0</v>
      </c>
      <c r="N40" s="265">
        <f t="shared" si="19"/>
        <v>0</v>
      </c>
    </row>
    <row r="41" spans="2:14" x14ac:dyDescent="0.3">
      <c r="B41" s="542" t="s">
        <v>1993</v>
      </c>
      <c r="C41" s="265">
        <f t="shared" si="14"/>
        <v>0</v>
      </c>
      <c r="D41" s="265">
        <f t="shared" si="14"/>
        <v>0</v>
      </c>
      <c r="E41" s="265">
        <f t="shared" si="14"/>
        <v>0</v>
      </c>
      <c r="F41" s="265">
        <f t="shared" si="14"/>
        <v>0</v>
      </c>
      <c r="G41" s="265">
        <f t="shared" si="14"/>
        <v>0</v>
      </c>
      <c r="H41" s="265">
        <f t="shared" si="14"/>
        <v>0</v>
      </c>
      <c r="J41" s="265">
        <f t="shared" si="15"/>
        <v>0</v>
      </c>
      <c r="K41" s="265">
        <f t="shared" si="16"/>
        <v>0</v>
      </c>
      <c r="L41" s="265">
        <f t="shared" si="17"/>
        <v>0</v>
      </c>
      <c r="M41" s="265">
        <f t="shared" si="18"/>
        <v>0</v>
      </c>
      <c r="N41" s="265">
        <f t="shared" si="19"/>
        <v>0</v>
      </c>
    </row>
    <row r="42" spans="2:14" x14ac:dyDescent="0.3">
      <c r="B42" s="542" t="s">
        <v>1994</v>
      </c>
      <c r="C42" s="265">
        <f t="shared" si="14"/>
        <v>0</v>
      </c>
      <c r="D42" s="265">
        <f t="shared" si="14"/>
        <v>0</v>
      </c>
      <c r="E42" s="265">
        <f t="shared" si="14"/>
        <v>0</v>
      </c>
      <c r="F42" s="265">
        <f t="shared" si="14"/>
        <v>0</v>
      </c>
      <c r="G42" s="265">
        <f t="shared" si="14"/>
        <v>0</v>
      </c>
      <c r="H42" s="265">
        <f t="shared" si="14"/>
        <v>0</v>
      </c>
      <c r="J42" s="265">
        <f t="shared" si="15"/>
        <v>0</v>
      </c>
      <c r="K42" s="265">
        <f t="shared" si="16"/>
        <v>0</v>
      </c>
      <c r="L42" s="265">
        <f t="shared" si="17"/>
        <v>0</v>
      </c>
      <c r="M42" s="265">
        <f t="shared" si="18"/>
        <v>0</v>
      </c>
      <c r="N42" s="265">
        <f t="shared" si="19"/>
        <v>0</v>
      </c>
    </row>
    <row r="43" spans="2:14" x14ac:dyDescent="0.3">
      <c r="B43" s="542" t="s">
        <v>1995</v>
      </c>
      <c r="C43" s="265">
        <f>C29*$F12/1000</f>
        <v>0</v>
      </c>
      <c r="D43" s="265">
        <f t="shared" ref="D43:H43" si="20">D29*$F12/1000</f>
        <v>0</v>
      </c>
      <c r="E43" s="265">
        <f t="shared" si="20"/>
        <v>0</v>
      </c>
      <c r="F43" s="265">
        <f t="shared" si="20"/>
        <v>0</v>
      </c>
      <c r="G43" s="265">
        <f t="shared" si="20"/>
        <v>0</v>
      </c>
      <c r="H43" s="265">
        <f t="shared" si="20"/>
        <v>0</v>
      </c>
      <c r="J43" s="265">
        <f t="shared" si="15"/>
        <v>0</v>
      </c>
      <c r="K43" s="265">
        <f t="shared" si="16"/>
        <v>0</v>
      </c>
      <c r="L43" s="265">
        <f t="shared" si="17"/>
        <v>0</v>
      </c>
      <c r="M43" s="265">
        <f t="shared" si="18"/>
        <v>0</v>
      </c>
      <c r="N43" s="265">
        <f t="shared" si="19"/>
        <v>0</v>
      </c>
    </row>
    <row r="44" spans="2:14" x14ac:dyDescent="0.3">
      <c r="B44" s="542" t="s">
        <v>1996</v>
      </c>
      <c r="C44" s="265">
        <f>C30*$F13/1000</f>
        <v>0</v>
      </c>
      <c r="D44" s="265">
        <f t="shared" ref="D44:H46" si="21">D30*$F13/1000</f>
        <v>0</v>
      </c>
      <c r="E44" s="265">
        <f t="shared" si="21"/>
        <v>0</v>
      </c>
      <c r="F44" s="265">
        <f t="shared" si="21"/>
        <v>0</v>
      </c>
      <c r="G44" s="265">
        <f t="shared" si="21"/>
        <v>0</v>
      </c>
      <c r="H44" s="265">
        <f t="shared" si="21"/>
        <v>0</v>
      </c>
      <c r="J44" s="265">
        <f t="shared" si="15"/>
        <v>0</v>
      </c>
      <c r="K44" s="265">
        <f t="shared" si="16"/>
        <v>0</v>
      </c>
      <c r="L44" s="265">
        <f t="shared" si="17"/>
        <v>0</v>
      </c>
      <c r="M44" s="265">
        <f t="shared" si="18"/>
        <v>0</v>
      </c>
      <c r="N44" s="265">
        <f t="shared" si="19"/>
        <v>0</v>
      </c>
    </row>
    <row r="45" spans="2:14" x14ac:dyDescent="0.3">
      <c r="B45" s="542" t="s">
        <v>1997</v>
      </c>
      <c r="C45" s="265">
        <f>C31*$F14/1000</f>
        <v>0</v>
      </c>
      <c r="D45" s="265">
        <f t="shared" si="21"/>
        <v>0</v>
      </c>
      <c r="E45" s="265">
        <f t="shared" si="21"/>
        <v>0</v>
      </c>
      <c r="F45" s="265">
        <f t="shared" si="21"/>
        <v>0</v>
      </c>
      <c r="G45" s="265">
        <f t="shared" si="21"/>
        <v>0</v>
      </c>
      <c r="H45" s="265">
        <f t="shared" si="21"/>
        <v>0</v>
      </c>
      <c r="J45" s="265">
        <f t="shared" si="15"/>
        <v>0</v>
      </c>
      <c r="K45" s="265">
        <f t="shared" si="16"/>
        <v>0</v>
      </c>
      <c r="L45" s="265">
        <f t="shared" si="17"/>
        <v>0</v>
      </c>
      <c r="M45" s="265">
        <f t="shared" si="18"/>
        <v>0</v>
      </c>
      <c r="N45" s="265">
        <f t="shared" si="19"/>
        <v>0</v>
      </c>
    </row>
    <row r="46" spans="2:14" x14ac:dyDescent="0.3">
      <c r="B46" s="542" t="s">
        <v>1998</v>
      </c>
      <c r="C46" s="265">
        <f>C32*$F15/1000</f>
        <v>0</v>
      </c>
      <c r="D46" s="265">
        <f t="shared" si="21"/>
        <v>0</v>
      </c>
      <c r="E46" s="265">
        <f t="shared" si="21"/>
        <v>0</v>
      </c>
      <c r="F46" s="265">
        <f t="shared" si="21"/>
        <v>0</v>
      </c>
      <c r="G46" s="265">
        <f t="shared" si="21"/>
        <v>0</v>
      </c>
      <c r="H46" s="265">
        <f t="shared" si="21"/>
        <v>0</v>
      </c>
      <c r="J46" s="265">
        <f t="shared" si="15"/>
        <v>0</v>
      </c>
      <c r="K46" s="265">
        <f t="shared" si="16"/>
        <v>0</v>
      </c>
      <c r="L46" s="265">
        <f t="shared" si="17"/>
        <v>0</v>
      </c>
      <c r="M46" s="265">
        <f t="shared" si="18"/>
        <v>0</v>
      </c>
      <c r="N46" s="265">
        <f t="shared" si="19"/>
        <v>0</v>
      </c>
    </row>
    <row r="47" spans="2:14" x14ac:dyDescent="0.3">
      <c r="C47" s="266">
        <f>SUM(C37:C46)</f>
        <v>0</v>
      </c>
      <c r="D47" s="266">
        <f t="shared" ref="D47:N47" si="22">SUM(D37:D46)</f>
        <v>0</v>
      </c>
      <c r="E47" s="266">
        <f t="shared" si="22"/>
        <v>0</v>
      </c>
      <c r="F47" s="266">
        <f t="shared" si="22"/>
        <v>0</v>
      </c>
      <c r="G47" s="266">
        <f t="shared" si="22"/>
        <v>0</v>
      </c>
      <c r="H47" s="266">
        <f t="shared" si="22"/>
        <v>0</v>
      </c>
      <c r="J47" s="266">
        <f t="shared" si="22"/>
        <v>0</v>
      </c>
      <c r="K47" s="266">
        <f t="shared" si="22"/>
        <v>0</v>
      </c>
      <c r="L47" s="266">
        <f t="shared" si="22"/>
        <v>0</v>
      </c>
      <c r="M47" s="266">
        <f t="shared" si="22"/>
        <v>0</v>
      </c>
      <c r="N47" s="266">
        <f t="shared" si="22"/>
        <v>0</v>
      </c>
    </row>
  </sheetData>
  <protectedRanges>
    <protectedRange sqref="B23:B33 B37:B46 B6:G15" name="Range1_1"/>
  </protectedRanges>
  <phoneticPr fontId="43" type="noConversion"/>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27"/>
  <sheetViews>
    <sheetView showGridLines="0" zoomScale="90" zoomScaleNormal="90" workbookViewId="0">
      <selection activeCell="F25" sqref="A25:F25"/>
    </sheetView>
  </sheetViews>
  <sheetFormatPr defaultColWidth="9.109375" defaultRowHeight="13.2" x14ac:dyDescent="0.25"/>
  <cols>
    <col min="1" max="1" width="3.5546875" style="3" customWidth="1"/>
    <col min="2" max="2" width="36" style="3" customWidth="1"/>
    <col min="3" max="3" width="29.88671875" style="3" bestFit="1" customWidth="1"/>
    <col min="4" max="15" width="15.44140625" style="3" customWidth="1"/>
    <col min="16" max="16" width="12.44140625" style="3" customWidth="1"/>
    <col min="17" max="18" width="12.109375" style="3" customWidth="1"/>
    <col min="19" max="19" width="3.6640625" style="3" customWidth="1"/>
    <col min="20" max="20" width="9.44140625" style="3" customWidth="1"/>
    <col min="21" max="16384" width="9.109375" style="3"/>
  </cols>
  <sheetData>
    <row r="1" spans="1:19" ht="30" customHeight="1" x14ac:dyDescent="0.4">
      <c r="A1" s="173"/>
      <c r="B1" s="452" t="str">
        <f>'Inputs and population'!B1</f>
        <v>Durvalumab with tremelimumab for untreated advanced or unresectable hepatocellular carcinoma</v>
      </c>
      <c r="C1" s="135"/>
      <c r="D1" s="119"/>
      <c r="E1" s="119"/>
      <c r="F1" s="119"/>
      <c r="G1" s="119"/>
      <c r="H1" s="119"/>
      <c r="I1" s="119"/>
      <c r="J1" s="119" t="s">
        <v>1893</v>
      </c>
      <c r="K1" s="119" t="s">
        <v>1893</v>
      </c>
      <c r="L1" s="119" t="s">
        <v>1893</v>
      </c>
      <c r="M1" s="119" t="s">
        <v>1893</v>
      </c>
      <c r="N1" s="141"/>
      <c r="O1" s="141"/>
      <c r="P1" s="141"/>
      <c r="Q1" s="173"/>
      <c r="R1" s="173"/>
      <c r="S1" s="173"/>
    </row>
    <row r="2" spans="1:19" ht="26.25" customHeight="1" x14ac:dyDescent="0.4">
      <c r="A2" s="173"/>
      <c r="B2" s="133" t="s">
        <v>7</v>
      </c>
      <c r="C2" s="134" t="s">
        <v>1893</v>
      </c>
      <c r="D2" s="119" t="s">
        <v>1893</v>
      </c>
      <c r="E2" s="119" t="s">
        <v>1893</v>
      </c>
      <c r="F2" s="119" t="s">
        <v>1893</v>
      </c>
      <c r="G2" s="119" t="s">
        <v>1893</v>
      </c>
      <c r="H2" s="119" t="s">
        <v>1893</v>
      </c>
      <c r="I2" s="119" t="s">
        <v>1893</v>
      </c>
      <c r="J2" s="119" t="s">
        <v>1893</v>
      </c>
      <c r="K2" s="120" t="s">
        <v>1893</v>
      </c>
      <c r="L2" s="120"/>
      <c r="M2" s="120"/>
      <c r="N2" s="120"/>
      <c r="O2" s="120"/>
      <c r="P2" s="120"/>
      <c r="Q2" s="173"/>
      <c r="R2" s="173"/>
      <c r="S2" s="173"/>
    </row>
    <row r="3" spans="1:19" ht="14.4" customHeight="1" x14ac:dyDescent="0.4">
      <c r="A3" s="173"/>
      <c r="B3" s="117"/>
      <c r="C3" s="135"/>
      <c r="D3" s="119"/>
      <c r="E3" s="119"/>
      <c r="F3" s="119"/>
      <c r="G3" s="119" t="s">
        <v>1893</v>
      </c>
      <c r="H3" s="119" t="s">
        <v>1893</v>
      </c>
      <c r="I3" s="119" t="s">
        <v>1893</v>
      </c>
      <c r="J3" s="119" t="s">
        <v>1893</v>
      </c>
      <c r="K3" s="120" t="s">
        <v>1893</v>
      </c>
      <c r="L3" s="120"/>
      <c r="M3" s="120"/>
      <c r="N3" s="120"/>
      <c r="O3" s="120"/>
      <c r="P3" s="120"/>
      <c r="Q3" s="173"/>
      <c r="R3" s="173"/>
      <c r="S3" s="173"/>
    </row>
    <row r="4" spans="1:19" ht="14.4" customHeight="1" x14ac:dyDescent="0.4">
      <c r="A4" s="173"/>
      <c r="B4" t="s">
        <v>2007</v>
      </c>
      <c r="C4" s="135"/>
      <c r="D4" s="119"/>
      <c r="E4" s="119"/>
      <c r="F4" s="119"/>
      <c r="G4" s="119" t="s">
        <v>1893</v>
      </c>
      <c r="H4" s="119" t="s">
        <v>1893</v>
      </c>
      <c r="I4" s="119" t="s">
        <v>1893</v>
      </c>
      <c r="J4" s="119" t="s">
        <v>1893</v>
      </c>
      <c r="K4" s="120" t="s">
        <v>1893</v>
      </c>
      <c r="L4" s="119"/>
      <c r="M4" s="120"/>
      <c r="N4" s="120"/>
      <c r="O4" s="120"/>
      <c r="P4" s="120"/>
      <c r="Q4" s="120"/>
      <c r="R4" s="120"/>
      <c r="S4" s="120"/>
    </row>
    <row r="5" spans="1:19" ht="14.4" customHeight="1" x14ac:dyDescent="0.4">
      <c r="A5" s="173"/>
      <c r="B5" t="s">
        <v>1872</v>
      </c>
      <c r="C5" s="135"/>
      <c r="D5" s="119"/>
      <c r="E5" s="119"/>
      <c r="F5" s="119"/>
      <c r="G5" s="119"/>
      <c r="H5" s="119" t="s">
        <v>1893</v>
      </c>
      <c r="I5" s="119" t="s">
        <v>1893</v>
      </c>
      <c r="J5" s="119" t="s">
        <v>1893</v>
      </c>
      <c r="K5" s="120" t="s">
        <v>1893</v>
      </c>
      <c r="L5" s="119"/>
      <c r="M5" s="120"/>
      <c r="N5" s="120"/>
      <c r="O5" s="120"/>
      <c r="P5" s="120"/>
      <c r="Q5" s="120"/>
      <c r="R5" s="120"/>
      <c r="S5" s="120"/>
    </row>
    <row r="6" spans="1:19" ht="14.4" customHeight="1" x14ac:dyDescent="0.4">
      <c r="A6" s="173"/>
      <c r="B6"/>
      <c r="C6" s="135"/>
      <c r="D6" s="119"/>
      <c r="E6" s="119"/>
      <c r="F6" s="119"/>
      <c r="G6" s="119"/>
      <c r="H6" s="119"/>
      <c r="I6" s="119"/>
      <c r="J6" s="119"/>
      <c r="K6" s="120"/>
      <c r="L6" s="119"/>
      <c r="M6" s="120"/>
      <c r="N6" s="120"/>
      <c r="O6" s="120"/>
      <c r="P6" s="120"/>
      <c r="Q6" s="120"/>
      <c r="R6" s="120"/>
      <c r="S6" s="120"/>
    </row>
    <row r="7" spans="1:19" ht="14.4" customHeight="1" x14ac:dyDescent="0.4">
      <c r="A7" s="173"/>
      <c r="B7" s="136" t="s">
        <v>2008</v>
      </c>
      <c r="C7" s="135"/>
      <c r="D7" s="119"/>
      <c r="E7" s="119"/>
      <c r="F7" s="119"/>
      <c r="G7" s="119"/>
      <c r="H7" s="119"/>
      <c r="I7" s="119"/>
      <c r="J7" s="119"/>
      <c r="K7" s="120"/>
      <c r="L7" s="119"/>
      <c r="M7" s="120"/>
      <c r="N7" s="120"/>
      <c r="O7" s="120"/>
      <c r="P7" s="119"/>
      <c r="Q7" s="119"/>
      <c r="R7" s="119"/>
      <c r="S7" s="119"/>
    </row>
    <row r="8" spans="1:19" ht="60" customHeight="1" x14ac:dyDescent="0.3">
      <c r="A8" s="173"/>
      <c r="B8" s="721"/>
      <c r="C8" s="722"/>
      <c r="D8" s="906" t="s">
        <v>2238</v>
      </c>
      <c r="E8" s="906" t="s">
        <v>2236</v>
      </c>
      <c r="F8" s="906" t="s">
        <v>2237</v>
      </c>
      <c r="G8" s="906" t="s">
        <v>2224</v>
      </c>
      <c r="H8" s="906" t="s">
        <v>2214</v>
      </c>
      <c r="I8" s="906" t="s">
        <v>2215</v>
      </c>
      <c r="J8" s="120"/>
      <c r="K8" s="119"/>
      <c r="L8" s="120"/>
      <c r="M8" s="120"/>
      <c r="N8" s="120"/>
      <c r="O8" s="120"/>
      <c r="P8" s="119"/>
      <c r="Q8" s="119"/>
      <c r="R8" s="119"/>
      <c r="S8" s="141"/>
    </row>
    <row r="9" spans="1:19" ht="14.4" customHeight="1" x14ac:dyDescent="0.3">
      <c r="A9" s="173"/>
      <c r="B9" s="682" t="s">
        <v>2009</v>
      </c>
      <c r="C9" s="683"/>
      <c r="D9" s="684">
        <f>J26</f>
        <v>1500</v>
      </c>
      <c r="E9" s="684">
        <f>J27</f>
        <v>300</v>
      </c>
      <c r="F9" s="684">
        <f>H43</f>
        <v>1200</v>
      </c>
      <c r="G9" s="684">
        <f>H44</f>
        <v>1063.5</v>
      </c>
      <c r="H9" s="684">
        <f>J64</f>
        <v>12</v>
      </c>
      <c r="I9" s="684">
        <f>J79</f>
        <v>800</v>
      </c>
      <c r="J9" s="120"/>
      <c r="K9" s="119"/>
      <c r="L9" s="120"/>
      <c r="M9" s="120"/>
      <c r="N9" s="120"/>
      <c r="O9" s="120"/>
      <c r="P9" s="119"/>
      <c r="Q9" s="119"/>
      <c r="R9" s="119"/>
      <c r="S9" s="141"/>
    </row>
    <row r="10" spans="1:19" ht="14.4" customHeight="1" x14ac:dyDescent="0.3">
      <c r="A10" s="173"/>
      <c r="B10" s="682" t="s">
        <v>2239</v>
      </c>
      <c r="C10" s="683"/>
      <c r="D10" s="686">
        <f>IFERROR((J26/E26)*(O26*(100%+P26)),0)</f>
        <v>0</v>
      </c>
      <c r="E10" s="686">
        <f>IFERROR((J27/E27)*(O27*(100%+P27)),0)</f>
        <v>0</v>
      </c>
      <c r="F10" s="686">
        <f>IFERROR((H43/E43)*(O43*(100%+P43)),0)</f>
        <v>0</v>
      </c>
      <c r="G10" s="686">
        <f>IFERROR((H44/E44)*(O44*(100%+P44)),0)</f>
        <v>0</v>
      </c>
      <c r="H10" s="686">
        <f>IFERROR(((K64*H64)/G64)*(O64*(100%+P64)),0)</f>
        <v>0</v>
      </c>
      <c r="I10" s="686">
        <f>IFERROR(((K79*H79)/G79)*(O79*(100%+P79)),0)</f>
        <v>0</v>
      </c>
      <c r="J10" s="120"/>
      <c r="K10" s="119"/>
      <c r="L10" s="120"/>
      <c r="M10" s="120"/>
      <c r="N10" s="120"/>
      <c r="O10" s="120"/>
      <c r="P10" s="119"/>
      <c r="Q10" s="119"/>
      <c r="R10" s="119"/>
      <c r="S10" s="141"/>
    </row>
    <row r="11" spans="1:19" ht="14.4" customHeight="1" x14ac:dyDescent="0.3">
      <c r="A11" s="173"/>
      <c r="B11" s="909"/>
      <c r="C11" s="173"/>
      <c r="D11" s="686"/>
      <c r="E11" s="908"/>
      <c r="F11" s="908"/>
      <c r="G11" s="908"/>
      <c r="H11" s="910"/>
      <c r="I11" s="908"/>
      <c r="J11" s="120"/>
      <c r="K11" s="119"/>
      <c r="L11" s="120"/>
      <c r="M11" s="120"/>
      <c r="N11" s="120"/>
      <c r="O11" s="120"/>
      <c r="P11" s="119"/>
      <c r="Q11" s="119"/>
      <c r="R11" s="119"/>
      <c r="S11" s="141"/>
    </row>
    <row r="12" spans="1:19" ht="14.4" customHeight="1" x14ac:dyDescent="0.25">
      <c r="A12" s="119"/>
      <c r="B12" s="119"/>
      <c r="C12" s="119"/>
      <c r="D12" s="907" t="s">
        <v>2011</v>
      </c>
      <c r="E12" s="690"/>
      <c r="F12" s="689"/>
      <c r="G12" s="689"/>
      <c r="H12" s="688" t="s">
        <v>2012</v>
      </c>
      <c r="I12" s="690"/>
      <c r="J12" s="689"/>
      <c r="K12" s="689"/>
      <c r="L12" s="688" t="s">
        <v>2013</v>
      </c>
      <c r="M12" s="690"/>
      <c r="N12" s="689"/>
      <c r="O12" s="691"/>
      <c r="P12" s="119"/>
      <c r="Q12" s="119"/>
      <c r="R12" s="119"/>
      <c r="S12" s="141"/>
    </row>
    <row r="13" spans="1:19" ht="64.2" customHeight="1" x14ac:dyDescent="0.3">
      <c r="A13" s="173"/>
      <c r="B13" s="688" t="s">
        <v>2010</v>
      </c>
      <c r="C13" s="689"/>
      <c r="D13" s="224" t="s">
        <v>2266</v>
      </c>
      <c r="E13" s="224" t="s">
        <v>2213</v>
      </c>
      <c r="F13" s="224" t="s">
        <v>2214</v>
      </c>
      <c r="G13" s="224" t="s">
        <v>2215</v>
      </c>
      <c r="H13" s="224" t="s">
        <v>2266</v>
      </c>
      <c r="I13" s="224" t="s">
        <v>2213</v>
      </c>
      <c r="J13" s="224" t="s">
        <v>2214</v>
      </c>
      <c r="K13" s="224" t="s">
        <v>2215</v>
      </c>
      <c r="L13" s="224" t="s">
        <v>2212</v>
      </c>
      <c r="M13" s="224" t="s">
        <v>2213</v>
      </c>
      <c r="N13" s="224" t="s">
        <v>2214</v>
      </c>
      <c r="O13" s="224" t="s">
        <v>2215</v>
      </c>
      <c r="P13" s="119"/>
      <c r="Q13" s="141"/>
      <c r="R13" s="141"/>
      <c r="S13" s="141"/>
    </row>
    <row r="14" spans="1:19" ht="14.4" customHeight="1" x14ac:dyDescent="0.3">
      <c r="A14" s="173"/>
      <c r="B14" s="685" t="s">
        <v>2014</v>
      </c>
      <c r="C14" s="683"/>
      <c r="D14" s="919">
        <f>Q26+Q27</f>
        <v>0</v>
      </c>
      <c r="E14" s="919">
        <f>Q46</f>
        <v>0</v>
      </c>
      <c r="F14" s="919">
        <f>Q67</f>
        <v>0</v>
      </c>
      <c r="G14" s="919">
        <f>Q82</f>
        <v>0</v>
      </c>
      <c r="H14" s="920">
        <f>'Inputs and population'!G45</f>
        <v>0</v>
      </c>
      <c r="I14" s="920">
        <f>'Inputs and population'!G47</f>
        <v>9.6999999999999993</v>
      </c>
      <c r="J14" s="920">
        <f>'Inputs and population'!G49</f>
        <v>8.5</v>
      </c>
      <c r="K14" s="920">
        <f>'Inputs and population'!G$50</f>
        <v>0</v>
      </c>
      <c r="L14" s="920">
        <f>$N$33*'Inputs and population'!G$45</f>
        <v>0</v>
      </c>
      <c r="M14" s="920">
        <f>$N50*'Inputs and population'!G$47</f>
        <v>9.6999999999999993</v>
      </c>
      <c r="N14" s="920">
        <f>$N$71*'Inputs and population'!G$49</f>
        <v>8.5</v>
      </c>
      <c r="O14" s="920">
        <f>$N$86*'Inputs and population'!G$50</f>
        <v>0</v>
      </c>
      <c r="P14" s="119"/>
      <c r="Q14" s="141"/>
      <c r="R14" s="141"/>
      <c r="S14" s="141"/>
    </row>
    <row r="15" spans="1:19" ht="14.4" hidden="1" customHeight="1" x14ac:dyDescent="0.3">
      <c r="A15" s="173"/>
      <c r="B15" s="685" t="s">
        <v>1758</v>
      </c>
      <c r="C15" s="683"/>
      <c r="D15" s="686" t="e">
        <f>((J26*K26*'Inputs and population'!#REF!)/G26)*((100%+P26)*O26)</f>
        <v>#REF!</v>
      </c>
      <c r="E15" s="686" t="e">
        <f>((J43*K43*'Inputs and population'!#REF!)/G43)*((100%+P43)*O43)</f>
        <v>#REF!</v>
      </c>
      <c r="F15" s="686" t="e">
        <f>((J64*K64*'Inputs and population'!#REF!)/G64)*((100%+P64)*O64)</f>
        <v>#REF!</v>
      </c>
      <c r="G15" s="686" t="e">
        <f>((J79*K79*'Inputs and population'!#REF!)/G79)*((100%+P79)*O79)</f>
        <v>#REF!</v>
      </c>
      <c r="H15" s="684" t="e">
        <f>'Inputs and population'!#REF!</f>
        <v>#REF!</v>
      </c>
      <c r="I15" s="684" t="e">
        <f>'Inputs and population'!#REF!</f>
        <v>#REF!</v>
      </c>
      <c r="J15" s="684" t="e">
        <f>'Inputs and population'!#REF!</f>
        <v>#REF!</v>
      </c>
      <c r="K15" s="684" t="e">
        <f>'Inputs and population'!#REF!</f>
        <v>#REF!</v>
      </c>
      <c r="L15" s="684" t="e">
        <f>$N$33*'Inputs and population'!#REF!</f>
        <v>#REF!</v>
      </c>
      <c r="M15" s="684" t="e">
        <f>$N50*'Inputs and population'!#REF!</f>
        <v>#REF!</v>
      </c>
      <c r="N15" s="684" t="e">
        <f>$N$71*'Inputs and population'!#REF!</f>
        <v>#REF!</v>
      </c>
      <c r="O15" s="684" t="e">
        <f>$N$86*'Inputs and population'!#REF!</f>
        <v>#REF!</v>
      </c>
      <c r="P15" s="119"/>
      <c r="Q15" s="141"/>
      <c r="R15" s="141"/>
      <c r="S15" s="141"/>
    </row>
    <row r="16" spans="1:19" ht="14.4" hidden="1" customHeight="1" x14ac:dyDescent="0.3">
      <c r="A16" s="173"/>
      <c r="B16" s="685" t="s">
        <v>1759</v>
      </c>
      <c r="C16" s="683"/>
      <c r="D16" s="686" t="e">
        <f>((J26*K26*'Inputs and population'!#REF!)/G26)*((100%+P26)*O26)</f>
        <v>#REF!</v>
      </c>
      <c r="E16" s="686" t="e">
        <f>((J43*K43*'Inputs and population'!#REF!)/G43)*((100%+P43)*O43)</f>
        <v>#REF!</v>
      </c>
      <c r="F16" s="686" t="e">
        <f>((J64*K64*'Inputs and population'!#REF!)/G64)*((100%+P64)*O64)</f>
        <v>#REF!</v>
      </c>
      <c r="G16" s="686" t="e">
        <f>((J79*K79*'Inputs and population'!#REF!)/G79)*((100%+P79)*O79)</f>
        <v>#REF!</v>
      </c>
      <c r="H16" s="684" t="e">
        <f>'Inputs and population'!#REF!</f>
        <v>#REF!</v>
      </c>
      <c r="I16" s="684" t="e">
        <f>'Inputs and population'!#REF!</f>
        <v>#REF!</v>
      </c>
      <c r="J16" s="684" t="e">
        <f>'Inputs and population'!#REF!</f>
        <v>#REF!</v>
      </c>
      <c r="K16" s="684" t="e">
        <f>'Inputs and population'!#REF!</f>
        <v>#REF!</v>
      </c>
      <c r="L16" s="684" t="e">
        <f>$N$33*'Inputs and population'!#REF!</f>
        <v>#REF!</v>
      </c>
      <c r="M16" s="684" t="e">
        <f>$N50*'Inputs and population'!#REF!</f>
        <v>#REF!</v>
      </c>
      <c r="N16" s="684" t="e">
        <f>$N$71*'Inputs and population'!#REF!</f>
        <v>#REF!</v>
      </c>
      <c r="O16" s="684" t="e">
        <f>$N$86*'Inputs and population'!#REF!</f>
        <v>#REF!</v>
      </c>
      <c r="P16" s="119"/>
      <c r="Q16" s="141"/>
      <c r="R16" s="141"/>
      <c r="S16" s="141"/>
    </row>
    <row r="17" spans="1:21" ht="14.4" hidden="1" customHeight="1" x14ac:dyDescent="0.3">
      <c r="A17" s="173"/>
      <c r="B17" s="685" t="s">
        <v>1760</v>
      </c>
      <c r="C17" s="683"/>
      <c r="D17" s="686" t="e">
        <f>((J26*K26*'Inputs and population'!#REF!)/G26)*((100%+P26)*O26)</f>
        <v>#REF!</v>
      </c>
      <c r="E17" s="686" t="e">
        <f>((J43*K43*'Inputs and population'!#REF!)/G43)*((100%+P43)*O43)</f>
        <v>#REF!</v>
      </c>
      <c r="F17" s="686" t="e">
        <f>((J64*K64*'Inputs and population'!#REF!)/G64)*((100%+P64)*O64)</f>
        <v>#REF!</v>
      </c>
      <c r="G17" s="686" t="e">
        <f>((J79*K79*'Inputs and population'!#REF!)/G79)*((100%+P79)*O79)</f>
        <v>#REF!</v>
      </c>
      <c r="H17" s="684" t="e">
        <f>'Inputs and population'!#REF!</f>
        <v>#REF!</v>
      </c>
      <c r="I17" s="684" t="e">
        <f>'Inputs and population'!#REF!</f>
        <v>#REF!</v>
      </c>
      <c r="J17" s="684" t="e">
        <f>'Inputs and population'!#REF!</f>
        <v>#REF!</v>
      </c>
      <c r="K17" s="684" t="e">
        <f>'Inputs and population'!#REF!</f>
        <v>#REF!</v>
      </c>
      <c r="L17" s="684" t="e">
        <f>$N$33*'Inputs and population'!#REF!</f>
        <v>#REF!</v>
      </c>
      <c r="M17" s="684" t="e">
        <f>$N50*'Inputs and population'!#REF!</f>
        <v>#REF!</v>
      </c>
      <c r="N17" s="684" t="e">
        <f>$N$71*'Inputs and population'!#REF!</f>
        <v>#REF!</v>
      </c>
      <c r="O17" s="684" t="e">
        <f>$N$86*'Inputs and population'!#REF!</f>
        <v>#REF!</v>
      </c>
      <c r="P17" s="119"/>
      <c r="Q17" s="141"/>
      <c r="R17" s="141"/>
      <c r="S17" s="141"/>
    </row>
    <row r="18" spans="1:21" ht="14.4" hidden="1" customHeight="1" x14ac:dyDescent="0.3">
      <c r="A18" s="173"/>
      <c r="B18" s="685" t="s">
        <v>1761</v>
      </c>
      <c r="C18" s="683"/>
      <c r="D18" s="686" t="e">
        <f>((J26*K26*'Inputs and population'!#REF!)/G26)*((100%+P26)*O26)</f>
        <v>#REF!</v>
      </c>
      <c r="E18" s="686" t="e">
        <f>((J43*K43*'Inputs and population'!#REF!)/G43)*((100%+P43)*O43)</f>
        <v>#REF!</v>
      </c>
      <c r="F18" s="686" t="e">
        <f>((J64*K64*'Inputs and population'!#REF!)/G64)*((100%+P64)*O64)</f>
        <v>#REF!</v>
      </c>
      <c r="G18" s="686" t="e">
        <f>((J79*K79*'Inputs and population'!#REF!)/G79)*((100%+P79)*O79)</f>
        <v>#REF!</v>
      </c>
      <c r="H18" s="684" t="e">
        <f>'Inputs and population'!#REF!</f>
        <v>#REF!</v>
      </c>
      <c r="I18" s="684" t="e">
        <f>'Inputs and population'!#REF!</f>
        <v>#REF!</v>
      </c>
      <c r="J18" s="684" t="e">
        <f>'Inputs and population'!#REF!</f>
        <v>#REF!</v>
      </c>
      <c r="K18" s="684" t="e">
        <f>'Inputs and population'!#REF!</f>
        <v>#REF!</v>
      </c>
      <c r="L18" s="684" t="e">
        <f>$N$33*'Inputs and population'!#REF!</f>
        <v>#REF!</v>
      </c>
      <c r="M18" s="684" t="e">
        <f>$N50*'Inputs and population'!#REF!</f>
        <v>#REF!</v>
      </c>
      <c r="N18" s="684" t="e">
        <f>$N$71*'Inputs and population'!#REF!</f>
        <v>#REF!</v>
      </c>
      <c r="O18" s="684" t="e">
        <f>$N$86*'Inputs and population'!#REF!</f>
        <v>#REF!</v>
      </c>
      <c r="P18" s="119"/>
      <c r="Q18" s="141"/>
      <c r="R18" s="141"/>
      <c r="S18" s="141"/>
    </row>
    <row r="19" spans="1:21" ht="14.4" customHeight="1" x14ac:dyDescent="0.3">
      <c r="A19" s="173"/>
      <c r="B19" s="681" t="s">
        <v>2262</v>
      </c>
      <c r="C19" s="119"/>
      <c r="D19" s="119"/>
      <c r="E19" s="119"/>
      <c r="F19" s="119"/>
      <c r="G19" s="119"/>
      <c r="H19" s="119"/>
      <c r="I19" s="119"/>
      <c r="J19" s="119"/>
      <c r="K19" s="120"/>
      <c r="L19" s="119"/>
      <c r="M19" s="120"/>
      <c r="N19" s="120"/>
      <c r="O19" s="120"/>
      <c r="P19" s="119"/>
      <c r="Q19" s="119"/>
      <c r="R19" s="119"/>
      <c r="S19" s="119"/>
    </row>
    <row r="20" spans="1:21" ht="14.4" customHeight="1" x14ac:dyDescent="0.4">
      <c r="A20" s="173"/>
      <c r="B20" s="135"/>
      <c r="C20" s="135"/>
      <c r="D20" s="119"/>
      <c r="E20" s="119"/>
      <c r="F20" s="119"/>
      <c r="G20" s="119"/>
      <c r="H20" s="119"/>
      <c r="I20" s="119"/>
      <c r="J20" s="119"/>
      <c r="K20" s="120"/>
      <c r="L20" s="119"/>
      <c r="M20" s="120"/>
      <c r="N20" s="120"/>
      <c r="O20" s="120"/>
      <c r="P20" s="119"/>
      <c r="Q20" s="119"/>
      <c r="R20" s="119"/>
      <c r="S20" s="119"/>
    </row>
    <row r="21" spans="1:21" ht="14.4" customHeight="1" x14ac:dyDescent="0.4">
      <c r="A21" s="173"/>
      <c r="B21" s="681"/>
      <c r="C21" s="135"/>
      <c r="D21" s="119"/>
      <c r="E21" s="119"/>
      <c r="F21" s="119"/>
      <c r="G21" s="119"/>
      <c r="H21" s="119"/>
      <c r="I21" s="119"/>
      <c r="J21" s="120"/>
      <c r="K21" s="119"/>
      <c r="L21" s="120"/>
      <c r="M21" s="120"/>
      <c r="N21" s="120"/>
      <c r="O21" s="120"/>
      <c r="P21" s="120"/>
      <c r="Q21" s="120"/>
      <c r="R21" s="120"/>
      <c r="S21" s="141"/>
    </row>
    <row r="22" spans="1:21" ht="14.4" customHeight="1" x14ac:dyDescent="0.4">
      <c r="A22" s="173"/>
      <c r="B22" s="801" t="s">
        <v>2267</v>
      </c>
      <c r="C22" s="802"/>
      <c r="D22" s="690"/>
      <c r="E22" s="690"/>
      <c r="F22" s="690"/>
      <c r="G22" s="690"/>
      <c r="H22" s="690"/>
      <c r="I22" s="690"/>
      <c r="J22" s="690"/>
      <c r="K22" s="690"/>
      <c r="L22" s="690"/>
      <c r="M22" s="690"/>
      <c r="N22" s="690"/>
      <c r="O22" s="690"/>
      <c r="P22" s="690"/>
      <c r="Q22" s="803"/>
      <c r="R22" s="120"/>
      <c r="S22" s="141"/>
    </row>
    <row r="23" spans="1:21" ht="14.4" customHeight="1" x14ac:dyDescent="0.4">
      <c r="A23" s="173"/>
      <c r="B23" s="813" t="s">
        <v>2015</v>
      </c>
      <c r="C23" s="810"/>
      <c r="D23" s="811"/>
      <c r="E23" s="811"/>
      <c r="F23" s="811"/>
      <c r="G23" s="811"/>
      <c r="H23" s="811"/>
      <c r="I23" s="811"/>
      <c r="J23" s="811"/>
      <c r="K23" s="811"/>
      <c r="L23" s="811"/>
      <c r="M23" s="811"/>
      <c r="N23" s="811"/>
      <c r="O23" s="811"/>
      <c r="P23" s="811"/>
      <c r="Q23" s="812"/>
      <c r="R23" s="120"/>
      <c r="S23" s="141"/>
    </row>
    <row r="24" spans="1:21" s="220" customFormat="1" ht="14.4" x14ac:dyDescent="0.3">
      <c r="A24" s="692"/>
      <c r="B24" s="222"/>
      <c r="C24" s="806" t="s">
        <v>1908</v>
      </c>
      <c r="D24" s="807"/>
      <c r="E24" s="807"/>
      <c r="F24" s="807"/>
      <c r="G24" s="808"/>
      <c r="H24" s="806" t="s">
        <v>2016</v>
      </c>
      <c r="I24" s="807"/>
      <c r="J24" s="807"/>
      <c r="K24" s="807"/>
      <c r="L24" s="807"/>
      <c r="M24" s="807"/>
      <c r="N24" s="807"/>
      <c r="O24" s="807"/>
      <c r="P24" s="807"/>
      <c r="Q24" s="808"/>
      <c r="R24" s="120"/>
      <c r="S24" s="887"/>
      <c r="U24" s="3"/>
    </row>
    <row r="25" spans="1:21" s="220" customFormat="1" ht="66" customHeight="1" x14ac:dyDescent="0.3">
      <c r="A25" s="222"/>
      <c r="B25" s="223" t="s">
        <v>2017</v>
      </c>
      <c r="C25" s="224" t="s">
        <v>1911</v>
      </c>
      <c r="D25" s="224" t="s">
        <v>1912</v>
      </c>
      <c r="E25" s="224" t="s">
        <v>1913</v>
      </c>
      <c r="F25" s="224" t="s">
        <v>1914</v>
      </c>
      <c r="G25" s="224" t="s">
        <v>1915</v>
      </c>
      <c r="H25" s="221" t="s">
        <v>2018</v>
      </c>
      <c r="I25" s="224" t="s">
        <v>2020</v>
      </c>
      <c r="J25" s="224" t="s">
        <v>2021</v>
      </c>
      <c r="K25" s="224" t="s">
        <v>2022</v>
      </c>
      <c r="L25" s="224" t="s">
        <v>2023</v>
      </c>
      <c r="M25" s="548" t="s">
        <v>2024</v>
      </c>
      <c r="N25" s="548" t="s">
        <v>2025</v>
      </c>
      <c r="O25" s="548" t="s">
        <v>2026</v>
      </c>
      <c r="P25" s="221" t="s">
        <v>2027</v>
      </c>
      <c r="Q25" s="224" t="s">
        <v>2028</v>
      </c>
      <c r="R25" s="120"/>
      <c r="S25" s="887"/>
      <c r="U25" s="3"/>
    </row>
    <row r="26" spans="1:21" s="220" customFormat="1" ht="14.4" x14ac:dyDescent="0.3">
      <c r="A26" s="222"/>
      <c r="B26" s="889" t="str">
        <f>'Inputs and population'!C54</f>
        <v xml:space="preserve">Durvalumab (IV) </v>
      </c>
      <c r="C26" s="890" t="str">
        <f>'Inputs and population'!D54</f>
        <v>IV</v>
      </c>
      <c r="D26" s="890" t="str">
        <f>'Inputs and population'!E54</f>
        <v>vial</v>
      </c>
      <c r="E26" s="891">
        <f>'Inputs and population'!F54</f>
        <v>500</v>
      </c>
      <c r="F26" s="891">
        <f>'Inputs and population'!G54</f>
        <v>1</v>
      </c>
      <c r="G26" s="891">
        <f>'Inputs and population'!H54</f>
        <v>500</v>
      </c>
      <c r="H26" s="891">
        <f>'Inputs and population'!I54</f>
        <v>1500</v>
      </c>
      <c r="I26" s="892" t="s">
        <v>2029</v>
      </c>
      <c r="J26" s="891">
        <f>H26</f>
        <v>1500</v>
      </c>
      <c r="K26" s="893">
        <f>'Inputs and population'!J54</f>
        <v>1</v>
      </c>
      <c r="L26" s="935">
        <f>'Inputs and population'!G45</f>
        <v>0</v>
      </c>
      <c r="M26" s="894">
        <f>L26*K26*J26</f>
        <v>0</v>
      </c>
      <c r="N26" s="895">
        <f>M26/G26</f>
        <v>0</v>
      </c>
      <c r="O26" s="896">
        <f>'Inputs and population'!K54</f>
        <v>0</v>
      </c>
      <c r="P26" s="897">
        <f>'Inputs and population'!L54</f>
        <v>0.2</v>
      </c>
      <c r="Q26" s="898">
        <f>N26*O26*(100%+P26)</f>
        <v>0</v>
      </c>
      <c r="R26" s="120"/>
      <c r="S26" s="887"/>
      <c r="U26" s="3"/>
    </row>
    <row r="27" spans="1:21" s="220" customFormat="1" ht="14.4" x14ac:dyDescent="0.3">
      <c r="A27" s="222"/>
      <c r="B27" s="889" t="s">
        <v>1904</v>
      </c>
      <c r="C27" s="890" t="s">
        <v>1921</v>
      </c>
      <c r="D27" s="890" t="s">
        <v>1922</v>
      </c>
      <c r="E27" s="891">
        <f>'Inputs and population'!F55</f>
        <v>300</v>
      </c>
      <c r="F27" s="891">
        <f>'Inputs and population'!G55</f>
        <v>1</v>
      </c>
      <c r="G27" s="891">
        <f>'Inputs and population'!H55</f>
        <v>300</v>
      </c>
      <c r="H27" s="891">
        <f>'Inputs and population'!I55</f>
        <v>300</v>
      </c>
      <c r="I27" s="892" t="s">
        <v>2029</v>
      </c>
      <c r="J27" s="891">
        <f>H27</f>
        <v>300</v>
      </c>
      <c r="K27" s="893">
        <f>'Inputs and population'!J55</f>
        <v>1</v>
      </c>
      <c r="L27" s="935">
        <f>'Inputs and population'!G46</f>
        <v>1</v>
      </c>
      <c r="M27" s="894">
        <f>L27*K27*J27</f>
        <v>300</v>
      </c>
      <c r="N27" s="895">
        <f>M27/G27</f>
        <v>1</v>
      </c>
      <c r="O27" s="896">
        <f>'Inputs and population'!K55</f>
        <v>0</v>
      </c>
      <c r="P27" s="897">
        <f>'Inputs and population'!L55</f>
        <v>0.2</v>
      </c>
      <c r="Q27" s="898">
        <f>N27*O27*(100%+P27)</f>
        <v>0</v>
      </c>
      <c r="R27" s="120"/>
      <c r="S27" s="887"/>
      <c r="U27" s="3"/>
    </row>
    <row r="28" spans="1:21" s="220" customFormat="1" ht="14.4" x14ac:dyDescent="0.3">
      <c r="A28" s="222"/>
      <c r="B28" s="546" t="s">
        <v>2030</v>
      </c>
      <c r="C28" s="525"/>
      <c r="D28" s="525"/>
      <c r="E28" s="526"/>
      <c r="F28" s="526"/>
      <c r="G28" s="526"/>
      <c r="H28" s="526"/>
      <c r="I28" s="527"/>
      <c r="J28" s="526"/>
      <c r="K28" s="524"/>
      <c r="L28" s="530"/>
      <c r="M28" s="549"/>
      <c r="N28" s="549"/>
      <c r="O28" s="528"/>
      <c r="P28" s="529"/>
      <c r="Q28" s="539"/>
      <c r="R28" s="120"/>
      <c r="S28" s="887"/>
      <c r="U28" s="3"/>
    </row>
    <row r="29" spans="1:21" s="220" customFormat="1" ht="14.4" x14ac:dyDescent="0.3">
      <c r="A29" s="222"/>
      <c r="B29" s="225" t="s">
        <v>2031</v>
      </c>
      <c r="C29" s="547"/>
      <c r="D29" s="547"/>
      <c r="E29" s="547"/>
      <c r="F29" s="547"/>
      <c r="G29" s="547"/>
      <c r="H29" s="547"/>
      <c r="I29" s="547"/>
      <c r="J29" s="547"/>
      <c r="K29" s="547"/>
      <c r="L29" s="547"/>
      <c r="M29" s="547"/>
      <c r="N29" s="547"/>
      <c r="O29" s="547"/>
      <c r="P29" s="552"/>
      <c r="Q29" s="553">
        <f>SUM(Q26:Q28)</f>
        <v>0</v>
      </c>
      <c r="R29" s="120"/>
      <c r="S29" s="887"/>
      <c r="U29" s="3"/>
    </row>
    <row r="30" spans="1:21" s="220" customFormat="1" ht="14.4" x14ac:dyDescent="0.3">
      <c r="A30" s="692"/>
      <c r="B30" s="222"/>
      <c r="C30" s="222"/>
      <c r="D30" s="222"/>
      <c r="E30" s="222"/>
      <c r="F30" s="222"/>
      <c r="G30" s="222"/>
      <c r="H30" s="222"/>
      <c r="I30" s="222"/>
      <c r="J30" s="222"/>
      <c r="K30" s="222"/>
      <c r="L30" s="222"/>
      <c r="M30" s="222"/>
      <c r="N30" s="222"/>
      <c r="O30" s="222"/>
      <c r="P30" s="222"/>
      <c r="Q30" s="692"/>
      <c r="R30" s="222"/>
      <c r="S30" s="887"/>
      <c r="U30" s="3"/>
    </row>
    <row r="31" spans="1:21" s="220" customFormat="1" ht="14.4" x14ac:dyDescent="0.3">
      <c r="A31" s="692"/>
      <c r="B31" s="218" t="s">
        <v>2032</v>
      </c>
      <c r="C31" s="222"/>
      <c r="D31" s="159"/>
      <c r="E31" s="102"/>
      <c r="F31" s="160"/>
      <c r="G31" s="161"/>
      <c r="H31" s="5"/>
      <c r="I31" s="162"/>
      <c r="J31" s="161"/>
      <c r="K31" s="161"/>
      <c r="L31" s="161"/>
      <c r="M31" s="161"/>
      <c r="N31" s="222"/>
      <c r="O31" s="222"/>
      <c r="P31" s="222"/>
      <c r="Q31" s="692"/>
      <c r="R31" s="222"/>
      <c r="S31" s="887"/>
      <c r="U31" s="3"/>
    </row>
    <row r="32" spans="1:21" s="220" customFormat="1" ht="28.8" x14ac:dyDescent="0.3">
      <c r="A32" s="222"/>
      <c r="B32" s="221" t="s">
        <v>2033</v>
      </c>
      <c r="C32" s="223" t="s">
        <v>2034</v>
      </c>
      <c r="D32" s="226" t="s">
        <v>2035</v>
      </c>
      <c r="E32" s="396"/>
      <c r="F32" s="397"/>
      <c r="G32" s="397"/>
      <c r="H32" s="397"/>
      <c r="I32" s="398"/>
      <c r="J32" s="397"/>
      <c r="K32" s="398"/>
      <c r="L32" s="397"/>
      <c r="M32" s="548" t="s">
        <v>2036</v>
      </c>
      <c r="N32" s="548" t="s">
        <v>2037</v>
      </c>
      <c r="O32" s="224" t="s">
        <v>2023</v>
      </c>
      <c r="P32" s="221" t="s">
        <v>2038</v>
      </c>
      <c r="Q32" s="221" t="s">
        <v>2028</v>
      </c>
      <c r="R32" s="222"/>
      <c r="S32" s="887"/>
      <c r="U32" s="3"/>
    </row>
    <row r="33" spans="1:21" s="220" customFormat="1" ht="14.4" x14ac:dyDescent="0.3">
      <c r="A33" s="222"/>
      <c r="B33" s="546" t="s">
        <v>2223</v>
      </c>
      <c r="C33" s="718" t="s">
        <v>2040</v>
      </c>
      <c r="D33" s="949" t="s">
        <v>2222</v>
      </c>
      <c r="E33" s="950"/>
      <c r="F33" s="950"/>
      <c r="G33" s="950"/>
      <c r="H33" s="950"/>
      <c r="I33" s="950"/>
      <c r="J33" s="950"/>
      <c r="K33" s="950"/>
      <c r="L33" s="951"/>
      <c r="M33" s="717" t="s">
        <v>1903</v>
      </c>
      <c r="N33" s="533">
        <f>K26</f>
        <v>1</v>
      </c>
      <c r="O33" s="524">
        <f>L26</f>
        <v>0</v>
      </c>
      <c r="P33" s="539">
        <v>182</v>
      </c>
      <c r="Q33" s="539">
        <f>N33*P33*O33</f>
        <v>0</v>
      </c>
      <c r="R33" s="222"/>
      <c r="S33" s="887"/>
      <c r="U33" s="3"/>
    </row>
    <row r="34" spans="1:21" s="220" customFormat="1" ht="14.4" customHeight="1" x14ac:dyDescent="0.3">
      <c r="A34" s="222"/>
      <c r="B34" s="546" t="s">
        <v>2249</v>
      </c>
      <c r="C34" s="718" t="s">
        <v>2220</v>
      </c>
      <c r="D34" s="534" t="s">
        <v>2221</v>
      </c>
      <c r="E34" s="535"/>
      <c r="F34" s="536"/>
      <c r="G34" s="537"/>
      <c r="H34" s="537"/>
      <c r="I34" s="537"/>
      <c r="J34" s="537"/>
      <c r="K34" s="536"/>
      <c r="L34" s="536"/>
      <c r="M34" s="717" t="s">
        <v>2219</v>
      </c>
      <c r="N34" s="533">
        <f>K27</f>
        <v>1</v>
      </c>
      <c r="O34" s="524">
        <f>L27</f>
        <v>1</v>
      </c>
      <c r="P34" s="539">
        <v>365</v>
      </c>
      <c r="Q34" s="539">
        <f>N34*P34*O34</f>
        <v>365</v>
      </c>
      <c r="R34" s="222"/>
      <c r="S34" s="887"/>
      <c r="U34" s="3"/>
    </row>
    <row r="35" spans="1:21" s="220" customFormat="1" ht="14.4" x14ac:dyDescent="0.3">
      <c r="A35" s="222"/>
      <c r="B35" s="687" t="s">
        <v>1979</v>
      </c>
      <c r="C35" s="222"/>
      <c r="D35" s="222"/>
      <c r="E35" s="222"/>
      <c r="F35" s="222"/>
      <c r="G35" s="222"/>
      <c r="H35" s="222"/>
      <c r="I35" s="222"/>
      <c r="J35" s="222"/>
      <c r="K35" s="222"/>
      <c r="L35" s="222"/>
      <c r="M35" s="222"/>
      <c r="N35" s="222"/>
      <c r="O35" s="222"/>
      <c r="P35" s="222"/>
      <c r="Q35" s="222"/>
      <c r="R35" s="222"/>
      <c r="S35" s="887"/>
      <c r="U35" s="3"/>
    </row>
    <row r="36" spans="1:21" s="220" customFormat="1" ht="14.4" x14ac:dyDescent="0.3">
      <c r="A36" s="222"/>
      <c r="B36" s="681" t="s">
        <v>2235</v>
      </c>
      <c r="C36" s="222"/>
      <c r="D36" s="222"/>
      <c r="E36" s="222"/>
      <c r="F36" s="222"/>
      <c r="G36" s="222"/>
      <c r="H36" s="222"/>
      <c r="I36" s="222"/>
      <c r="J36" s="222"/>
      <c r="K36" s="222"/>
      <c r="L36" s="222"/>
      <c r="M36" s="222"/>
      <c r="N36" s="222"/>
      <c r="O36" s="222"/>
      <c r="P36" s="222"/>
      <c r="Q36" s="222"/>
      <c r="R36" s="222"/>
      <c r="S36" s="887"/>
      <c r="U36" s="3"/>
    </row>
    <row r="37" spans="1:21" s="220" customFormat="1" ht="14.4" x14ac:dyDescent="0.3">
      <c r="A37" s="222"/>
      <c r="B37" s="905" t="s">
        <v>2233</v>
      </c>
      <c r="C37" s="222"/>
      <c r="D37" s="222"/>
      <c r="E37" s="222"/>
      <c r="F37" s="222"/>
      <c r="G37" s="222"/>
      <c r="H37" s="222"/>
      <c r="I37" s="222"/>
      <c r="J37" s="222"/>
      <c r="K37" s="222"/>
      <c r="L37" s="222"/>
      <c r="M37" s="222"/>
      <c r="N37" s="222"/>
      <c r="O37" s="222"/>
      <c r="P37" s="222"/>
      <c r="Q37" s="222"/>
      <c r="R37" s="544"/>
      <c r="S37" s="887"/>
      <c r="U37" s="3"/>
    </row>
    <row r="38" spans="1:21" s="220" customFormat="1" ht="14.4" x14ac:dyDescent="0.3">
      <c r="A38" s="222"/>
      <c r="B38" s="174"/>
      <c r="C38" s="222"/>
      <c r="D38" s="222"/>
      <c r="E38" s="222"/>
      <c r="F38" s="222"/>
      <c r="G38" s="222"/>
      <c r="H38" s="222"/>
      <c r="I38" s="222"/>
      <c r="J38" s="222"/>
      <c r="K38" s="222"/>
      <c r="L38" s="222"/>
      <c r="M38" s="222"/>
      <c r="N38" s="222"/>
      <c r="O38" s="222"/>
      <c r="P38" s="222"/>
      <c r="Q38" s="222"/>
      <c r="R38" s="544"/>
      <c r="S38" s="887"/>
      <c r="U38" s="3"/>
    </row>
    <row r="39" spans="1:21" s="220" customFormat="1" ht="21" x14ac:dyDescent="0.4">
      <c r="A39" s="222"/>
      <c r="B39" s="801" t="s">
        <v>2278</v>
      </c>
      <c r="C39" s="802"/>
      <c r="D39" s="690"/>
      <c r="E39" s="690"/>
      <c r="F39" s="690"/>
      <c r="G39" s="690"/>
      <c r="H39" s="690"/>
      <c r="I39" s="690"/>
      <c r="J39" s="690"/>
      <c r="K39" s="690"/>
      <c r="L39" s="690"/>
      <c r="M39" s="690"/>
      <c r="N39" s="690"/>
      <c r="O39" s="690"/>
      <c r="P39" s="690"/>
      <c r="Q39" s="803"/>
      <c r="R39" s="544"/>
      <c r="S39" s="887"/>
      <c r="U39" s="3"/>
    </row>
    <row r="40" spans="1:21" s="220" customFormat="1" ht="21" x14ac:dyDescent="0.4">
      <c r="A40" s="222"/>
      <c r="B40" s="813" t="s">
        <v>2015</v>
      </c>
      <c r="C40" s="810"/>
      <c r="D40" s="811"/>
      <c r="E40" s="811"/>
      <c r="F40" s="811"/>
      <c r="G40" s="811"/>
      <c r="H40" s="811"/>
      <c r="I40" s="811"/>
      <c r="J40" s="811"/>
      <c r="K40" s="811"/>
      <c r="L40" s="811"/>
      <c r="M40" s="811"/>
      <c r="N40" s="811"/>
      <c r="O40" s="811"/>
      <c r="P40" s="811"/>
      <c r="Q40" s="812"/>
      <c r="R40" s="544"/>
      <c r="S40" s="887"/>
      <c r="U40" s="3"/>
    </row>
    <row r="41" spans="1:21" s="220" customFormat="1" ht="14.4" x14ac:dyDescent="0.3">
      <c r="A41" s="692"/>
      <c r="B41" s="222"/>
      <c r="C41" s="806" t="s">
        <v>1908</v>
      </c>
      <c r="D41" s="807"/>
      <c r="E41" s="807"/>
      <c r="F41" s="807"/>
      <c r="G41" s="808"/>
      <c r="H41" s="806" t="s">
        <v>2016</v>
      </c>
      <c r="I41" s="807"/>
      <c r="J41" s="807"/>
      <c r="K41" s="807"/>
      <c r="L41" s="807"/>
      <c r="M41" s="807"/>
      <c r="N41" s="807"/>
      <c r="O41" s="807"/>
      <c r="P41" s="807"/>
      <c r="Q41" s="808"/>
      <c r="R41" s="544"/>
      <c r="S41" s="887"/>
      <c r="U41" s="3"/>
    </row>
    <row r="42" spans="1:21" s="220" customFormat="1" ht="66" customHeight="1" x14ac:dyDescent="0.3">
      <c r="A42" s="222"/>
      <c r="B42" s="223" t="s">
        <v>2017</v>
      </c>
      <c r="C42" s="224" t="s">
        <v>1911</v>
      </c>
      <c r="D42" s="224" t="s">
        <v>1912</v>
      </c>
      <c r="E42" s="224" t="s">
        <v>1913</v>
      </c>
      <c r="F42" s="224" t="s">
        <v>1914</v>
      </c>
      <c r="G42" s="224" t="s">
        <v>1915</v>
      </c>
      <c r="H42" s="814" t="s">
        <v>2046</v>
      </c>
      <c r="I42" s="224" t="s">
        <v>2020</v>
      </c>
      <c r="J42" s="224" t="s">
        <v>2225</v>
      </c>
      <c r="K42" s="224" t="s">
        <v>2022</v>
      </c>
      <c r="L42" s="224" t="s">
        <v>2023</v>
      </c>
      <c r="M42" s="548" t="s">
        <v>2024</v>
      </c>
      <c r="N42" s="548" t="s">
        <v>2025</v>
      </c>
      <c r="O42" s="548" t="s">
        <v>2026</v>
      </c>
      <c r="P42" s="221" t="s">
        <v>2027</v>
      </c>
      <c r="Q42" s="224" t="s">
        <v>2028</v>
      </c>
      <c r="R42" s="120"/>
      <c r="S42" s="887"/>
      <c r="U42" s="3"/>
    </row>
    <row r="43" spans="1:21" s="220" customFormat="1" ht="14.4" x14ac:dyDescent="0.3">
      <c r="A43" s="222"/>
      <c r="B43" s="758" t="str">
        <f>'Inputs and population'!C56</f>
        <v>Atezolizumab (IV) or (SC)</v>
      </c>
      <c r="C43" s="756" t="str">
        <f>'Inputs and population'!D56</f>
        <v>IV or SC</v>
      </c>
      <c r="D43" s="756" t="str">
        <f>'Inputs and population'!E56</f>
        <v>vial</v>
      </c>
      <c r="E43" s="757">
        <f>'Inputs and population'!F56</f>
        <v>1200</v>
      </c>
      <c r="F43" s="757">
        <f>'Inputs and population'!G56</f>
        <v>1</v>
      </c>
      <c r="G43" s="757">
        <f>'Inputs and population'!H56</f>
        <v>1200</v>
      </c>
      <c r="H43" s="804">
        <f>'Inputs and population'!I56</f>
        <v>1200</v>
      </c>
      <c r="I43" s="761" t="s">
        <v>2029</v>
      </c>
      <c r="J43" s="757">
        <f>ROUNDUP(H43/G43,0)</f>
        <v>1</v>
      </c>
      <c r="K43" s="542">
        <f>'Inputs and population'!J56</f>
        <v>1</v>
      </c>
      <c r="L43" s="899">
        <f>'Inputs and population'!G47</f>
        <v>9.6999999999999993</v>
      </c>
      <c r="M43" s="900">
        <f>L43*K43*H43</f>
        <v>11640</v>
      </c>
      <c r="N43" s="901">
        <f>J43*K43*L43</f>
        <v>9.6999999999999993</v>
      </c>
      <c r="O43" s="762">
        <f>'Inputs and population'!K56</f>
        <v>0</v>
      </c>
      <c r="P43" s="763">
        <f>'Inputs and population'!L56</f>
        <v>0.2</v>
      </c>
      <c r="Q43" s="809">
        <f>N43*O43*(100%+P43)</f>
        <v>0</v>
      </c>
      <c r="R43" s="544"/>
      <c r="S43" s="887"/>
      <c r="U43" s="3"/>
    </row>
    <row r="44" spans="1:21" s="220" customFormat="1" ht="14.4" x14ac:dyDescent="0.3">
      <c r="A44" s="222"/>
      <c r="B44" s="758" t="str">
        <f>'Inputs and population'!C57</f>
        <v>Bevacizumab (IV)</v>
      </c>
      <c r="C44" s="756" t="str">
        <f>'Inputs and population'!D57</f>
        <v>IV</v>
      </c>
      <c r="D44" s="756" t="str">
        <f>'Inputs and population'!E57</f>
        <v>vial</v>
      </c>
      <c r="E44" s="757">
        <f>'Inputs and population'!F57</f>
        <v>400</v>
      </c>
      <c r="F44" s="757">
        <f>'Inputs and population'!G57</f>
        <v>1</v>
      </c>
      <c r="G44" s="757">
        <f>'Inputs and population'!H57</f>
        <v>400</v>
      </c>
      <c r="H44" s="804">
        <f>'Inputs and population'!I57</f>
        <v>1063.5</v>
      </c>
      <c r="I44" s="761">
        <f>'Inputs and population'!D62</f>
        <v>70.900000000000006</v>
      </c>
      <c r="J44" s="757">
        <f>ROUNDUP(H44/G44,0)</f>
        <v>3</v>
      </c>
      <c r="K44" s="542">
        <f>'Inputs and population'!J57</f>
        <v>1</v>
      </c>
      <c r="L44" s="899">
        <f>'Inputs and population'!G48</f>
        <v>9.6999999999999993</v>
      </c>
      <c r="M44" s="900">
        <f>L44*K44*H44</f>
        <v>10315.949999999999</v>
      </c>
      <c r="N44" s="901">
        <f>J44*K44*L44</f>
        <v>29.099999999999998</v>
      </c>
      <c r="O44" s="762">
        <f>'Inputs and population'!K57</f>
        <v>0</v>
      </c>
      <c r="P44" s="763">
        <f>'Inputs and population'!L57</f>
        <v>0.2</v>
      </c>
      <c r="Q44" s="809">
        <f>N44*O44*(100%+P44)</f>
        <v>0</v>
      </c>
      <c r="R44" s="544"/>
      <c r="S44" s="887"/>
      <c r="U44" s="3"/>
    </row>
    <row r="45" spans="1:21" s="220" customFormat="1" ht="14.4" x14ac:dyDescent="0.3">
      <c r="A45" s="222"/>
      <c r="B45" s="546" t="s">
        <v>2030</v>
      </c>
      <c r="C45" s="525"/>
      <c r="D45" s="525"/>
      <c r="E45" s="526"/>
      <c r="F45" s="526"/>
      <c r="G45" s="526"/>
      <c r="H45" s="805"/>
      <c r="I45" s="527"/>
      <c r="J45" s="526"/>
      <c r="K45" s="524"/>
      <c r="L45" s="531"/>
      <c r="M45" s="550"/>
      <c r="N45" s="550"/>
      <c r="O45" s="528"/>
      <c r="P45" s="529"/>
      <c r="Q45" s="539"/>
      <c r="R45" s="544"/>
      <c r="S45" s="887"/>
      <c r="U45" s="3"/>
    </row>
    <row r="46" spans="1:21" s="220" customFormat="1" ht="14.4" x14ac:dyDescent="0.3">
      <c r="A46" s="222"/>
      <c r="B46" s="225" t="s">
        <v>2031</v>
      </c>
      <c r="C46" s="547"/>
      <c r="D46" s="547"/>
      <c r="E46" s="547"/>
      <c r="F46" s="547"/>
      <c r="G46" s="547"/>
      <c r="H46" s="547"/>
      <c r="I46" s="547"/>
      <c r="J46" s="547"/>
      <c r="K46" s="547"/>
      <c r="L46" s="554"/>
      <c r="M46" s="554"/>
      <c r="N46" s="554"/>
      <c r="O46" s="547"/>
      <c r="P46" s="552"/>
      <c r="Q46" s="553">
        <f>SUM(Q43:Q45)</f>
        <v>0</v>
      </c>
      <c r="R46" s="544"/>
      <c r="S46" s="887"/>
      <c r="U46" s="3"/>
    </row>
    <row r="47" spans="1:21" s="220" customFormat="1" ht="14.4" x14ac:dyDescent="0.3">
      <c r="A47" s="692"/>
      <c r="B47" s="222"/>
      <c r="C47" s="222"/>
      <c r="D47" s="222"/>
      <c r="E47" s="222"/>
      <c r="F47" s="222"/>
      <c r="G47" s="222"/>
      <c r="H47" s="222"/>
      <c r="I47" s="222"/>
      <c r="J47" s="222"/>
      <c r="K47" s="222"/>
      <c r="L47" s="513"/>
      <c r="M47" s="513"/>
      <c r="N47" s="513"/>
      <c r="O47" s="222"/>
      <c r="P47" s="222"/>
      <c r="Q47" s="692"/>
      <c r="R47" s="544"/>
      <c r="S47" s="887"/>
      <c r="U47" s="3"/>
    </row>
    <row r="48" spans="1:21" s="220" customFormat="1" ht="14.4" x14ac:dyDescent="0.3">
      <c r="A48" s="692"/>
      <c r="B48" s="218" t="s">
        <v>2032</v>
      </c>
      <c r="C48" s="222"/>
      <c r="D48" s="159"/>
      <c r="E48" s="102"/>
      <c r="F48" s="160"/>
      <c r="G48" s="161"/>
      <c r="H48" s="5"/>
      <c r="I48" s="162"/>
      <c r="J48" s="161"/>
      <c r="K48" s="161"/>
      <c r="L48" s="161"/>
      <c r="M48" s="161"/>
      <c r="N48" s="222"/>
      <c r="O48" s="222"/>
      <c r="P48" s="222"/>
      <c r="Q48" s="692"/>
      <c r="R48" s="544"/>
      <c r="S48" s="887"/>
      <c r="U48" s="3"/>
    </row>
    <row r="49" spans="1:21" s="220" customFormat="1" ht="28.8" x14ac:dyDescent="0.3">
      <c r="A49" s="222"/>
      <c r="B49" s="221" t="s">
        <v>2033</v>
      </c>
      <c r="C49" s="223" t="s">
        <v>2034</v>
      </c>
      <c r="D49" s="226" t="s">
        <v>2035</v>
      </c>
      <c r="E49" s="396"/>
      <c r="F49" s="397"/>
      <c r="G49" s="397"/>
      <c r="H49" s="397"/>
      <c r="I49" s="398"/>
      <c r="J49" s="397"/>
      <c r="K49" s="398"/>
      <c r="L49" s="397"/>
      <c r="M49" s="548"/>
      <c r="N49" s="548" t="s">
        <v>2037</v>
      </c>
      <c r="O49" s="224" t="s">
        <v>2023</v>
      </c>
      <c r="P49" s="221" t="s">
        <v>2038</v>
      </c>
      <c r="Q49" s="224" t="s">
        <v>2028</v>
      </c>
      <c r="R49" s="544"/>
      <c r="S49" s="887"/>
      <c r="U49" s="3"/>
    </row>
    <row r="50" spans="1:21" s="220" customFormat="1" ht="14.4" x14ac:dyDescent="0.3">
      <c r="A50" s="222"/>
      <c r="B50" s="902" t="s">
        <v>2250</v>
      </c>
      <c r="C50" s="903" t="s">
        <v>2220</v>
      </c>
      <c r="D50" s="534" t="s">
        <v>2226</v>
      </c>
      <c r="E50" s="535"/>
      <c r="F50" s="536"/>
      <c r="G50" s="537"/>
      <c r="H50" s="537"/>
      <c r="I50" s="537"/>
      <c r="J50" s="537"/>
      <c r="K50" s="536"/>
      <c r="L50" s="536"/>
      <c r="M50" s="717"/>
      <c r="N50" s="533">
        <v>1</v>
      </c>
      <c r="O50" s="524">
        <f>L43</f>
        <v>9.6999999999999993</v>
      </c>
      <c r="P50" s="539">
        <v>365</v>
      </c>
      <c r="Q50" s="539">
        <f>N50*P50*O50</f>
        <v>3540.4999999999995</v>
      </c>
      <c r="R50" s="544"/>
      <c r="S50" s="887"/>
      <c r="U50" s="3"/>
    </row>
    <row r="51" spans="1:21" s="220" customFormat="1" ht="14.4" x14ac:dyDescent="0.3">
      <c r="A51" s="222"/>
      <c r="B51" s="871"/>
      <c r="C51" s="872"/>
      <c r="D51" s="873"/>
      <c r="E51" s="874"/>
      <c r="F51" s="875"/>
      <c r="G51" s="876"/>
      <c r="H51" s="876"/>
      <c r="I51" s="876"/>
      <c r="J51" s="876"/>
      <c r="K51" s="875"/>
      <c r="L51" s="875"/>
      <c r="M51" s="877"/>
      <c r="N51" s="878"/>
      <c r="O51" s="871"/>
      <c r="P51" s="879"/>
      <c r="Q51" s="879"/>
      <c r="R51" s="544"/>
      <c r="S51" s="887"/>
      <c r="U51" s="3"/>
    </row>
    <row r="52" spans="1:21" s="220" customFormat="1" ht="14.4" x14ac:dyDescent="0.3">
      <c r="A52" s="222"/>
      <c r="B52" s="880" t="s">
        <v>2209</v>
      </c>
      <c r="C52" s="881"/>
      <c r="D52" s="881"/>
      <c r="E52" s="882"/>
      <c r="F52" s="883"/>
      <c r="G52" s="884"/>
      <c r="H52" s="885"/>
      <c r="I52" s="886"/>
      <c r="J52" s="884"/>
      <c r="K52" s="884"/>
      <c r="L52" s="884"/>
      <c r="M52" s="884"/>
      <c r="N52" s="878"/>
      <c r="O52" s="871"/>
      <c r="P52" s="879"/>
      <c r="Q52" s="879"/>
      <c r="R52" s="544"/>
      <c r="S52" s="887"/>
      <c r="U52" s="3"/>
    </row>
    <row r="53" spans="1:21" s="220" customFormat="1" ht="14.4" x14ac:dyDescent="0.3">
      <c r="A53" s="222"/>
      <c r="B53" s="221" t="s">
        <v>2033</v>
      </c>
      <c r="C53" s="223" t="s">
        <v>2034</v>
      </c>
      <c r="D53" s="226" t="s">
        <v>2035</v>
      </c>
      <c r="E53" s="395"/>
      <c r="F53" s="396"/>
      <c r="G53" s="397"/>
      <c r="H53" s="398"/>
      <c r="I53" s="398"/>
      <c r="J53" s="397"/>
      <c r="K53" s="398"/>
      <c r="L53" s="397"/>
      <c r="M53" s="548" t="s">
        <v>2231</v>
      </c>
      <c r="N53" s="400" t="s">
        <v>2038</v>
      </c>
      <c r="O53" s="871"/>
      <c r="P53" s="879"/>
      <c r="Q53" s="879"/>
      <c r="R53" s="544"/>
      <c r="S53" s="887"/>
      <c r="U53" s="3"/>
    </row>
    <row r="54" spans="1:21" s="220" customFormat="1" ht="14.4" customHeight="1" x14ac:dyDescent="0.3">
      <c r="A54" s="222"/>
      <c r="B54" s="524" t="s">
        <v>2051</v>
      </c>
      <c r="C54" s="540" t="s">
        <v>2208</v>
      </c>
      <c r="D54" s="534" t="s">
        <v>2207</v>
      </c>
      <c r="E54" s="541"/>
      <c r="F54" s="535"/>
      <c r="G54" s="536"/>
      <c r="H54" s="537"/>
      <c r="I54" s="537"/>
      <c r="J54" s="537"/>
      <c r="K54" s="536"/>
      <c r="L54" s="538"/>
      <c r="M54" s="533">
        <v>1</v>
      </c>
      <c r="N54" s="539"/>
      <c r="O54" s="871"/>
      <c r="P54" s="879"/>
      <c r="Q54" s="879"/>
      <c r="R54" s="544"/>
      <c r="S54" s="887"/>
      <c r="U54" s="3"/>
    </row>
    <row r="55" spans="1:21" s="220" customFormat="1" ht="14.4" x14ac:dyDescent="0.3">
      <c r="A55" s="222"/>
      <c r="B55" s="905" t="s">
        <v>2234</v>
      </c>
      <c r="C55" s="5"/>
      <c r="D55" s="159"/>
      <c r="E55" s="102"/>
      <c r="F55" s="160"/>
      <c r="G55" s="161"/>
      <c r="H55" s="5"/>
      <c r="I55" s="162"/>
      <c r="J55" s="161"/>
      <c r="K55" s="161"/>
      <c r="L55" s="161"/>
      <c r="M55" s="161"/>
      <c r="N55" s="878"/>
      <c r="O55" s="871"/>
      <c r="P55" s="879"/>
      <c r="Q55" s="879"/>
      <c r="R55" s="544"/>
      <c r="S55" s="887"/>
      <c r="U55" s="3"/>
    </row>
    <row r="56" spans="1:21" s="220" customFormat="1" ht="14.4" x14ac:dyDescent="0.3">
      <c r="A56" s="222"/>
      <c r="B56" s="871"/>
      <c r="C56" s="872"/>
      <c r="D56" s="873"/>
      <c r="E56" s="874"/>
      <c r="F56" s="875"/>
      <c r="G56" s="876"/>
      <c r="H56" s="876"/>
      <c r="I56" s="876"/>
      <c r="J56" s="876"/>
      <c r="K56" s="875"/>
      <c r="L56" s="875"/>
      <c r="M56" s="877"/>
      <c r="N56" s="878"/>
      <c r="O56" s="871"/>
      <c r="P56" s="879"/>
      <c r="Q56" s="879"/>
      <c r="R56" s="544"/>
      <c r="S56" s="887"/>
      <c r="U56" s="3"/>
    </row>
    <row r="57" spans="1:21" s="220" customFormat="1" ht="14.4" x14ac:dyDescent="0.3">
      <c r="A57" s="222"/>
      <c r="B57" s="687" t="s">
        <v>1979</v>
      </c>
      <c r="C57" s="222"/>
      <c r="D57" s="222"/>
      <c r="E57" s="222"/>
      <c r="F57" s="222"/>
      <c r="G57" s="222"/>
      <c r="H57" s="222"/>
      <c r="I57" s="222"/>
      <c r="J57" s="222"/>
      <c r="K57" s="222"/>
      <c r="L57" s="222"/>
      <c r="M57" s="222"/>
      <c r="N57" s="222"/>
      <c r="O57" s="222"/>
      <c r="P57" s="222"/>
      <c r="Q57" s="222"/>
      <c r="R57" s="544"/>
      <c r="S57" s="887"/>
      <c r="U57" s="3"/>
    </row>
    <row r="58" spans="1:21" s="220" customFormat="1" ht="14.4" x14ac:dyDescent="0.3">
      <c r="A58" s="222"/>
      <c r="B58" s="905" t="s">
        <v>2233</v>
      </c>
      <c r="C58" s="222"/>
      <c r="D58" s="222"/>
      <c r="E58" s="222"/>
      <c r="F58" s="222"/>
      <c r="G58" s="222"/>
      <c r="H58" s="222"/>
      <c r="I58" s="222"/>
      <c r="J58" s="222"/>
      <c r="K58" s="222"/>
      <c r="L58" s="222"/>
      <c r="M58" s="513"/>
      <c r="N58" s="513"/>
      <c r="O58" s="513"/>
      <c r="P58" s="222"/>
      <c r="Q58" s="222"/>
      <c r="R58" s="544"/>
      <c r="S58" s="887"/>
      <c r="U58" s="3"/>
    </row>
    <row r="59" spans="1:21" s="220" customFormat="1" ht="14.4" x14ac:dyDescent="0.3">
      <c r="A59" s="222"/>
      <c r="B59" s="218"/>
      <c r="C59" s="218"/>
      <c r="D59" s="218"/>
      <c r="E59" s="218"/>
      <c r="F59" s="218"/>
      <c r="G59" s="218"/>
      <c r="H59" s="218"/>
      <c r="I59" s="218"/>
      <c r="J59" s="218"/>
      <c r="K59" s="218"/>
      <c r="L59" s="218"/>
      <c r="M59" s="218"/>
      <c r="N59" s="218"/>
      <c r="O59" s="218"/>
      <c r="P59" s="218"/>
      <c r="Q59" s="218"/>
      <c r="R59" s="544"/>
      <c r="S59" s="887"/>
      <c r="U59" s="3"/>
    </row>
    <row r="60" spans="1:21" s="220" customFormat="1" ht="21" x14ac:dyDescent="0.4">
      <c r="A60" s="222"/>
      <c r="B60" s="801" t="s">
        <v>2227</v>
      </c>
      <c r="C60" s="802"/>
      <c r="D60" s="690"/>
      <c r="E60" s="690"/>
      <c r="F60" s="690"/>
      <c r="G60" s="690"/>
      <c r="H60" s="690"/>
      <c r="I60" s="690"/>
      <c r="J60" s="690"/>
      <c r="K60" s="690"/>
      <c r="L60" s="690"/>
      <c r="M60" s="690"/>
      <c r="N60" s="690"/>
      <c r="O60" s="690"/>
      <c r="P60" s="690"/>
      <c r="Q60" s="803"/>
      <c r="R60" s="544"/>
      <c r="S60" s="887"/>
      <c r="U60" s="3"/>
    </row>
    <row r="61" spans="1:21" s="220" customFormat="1" ht="21" x14ac:dyDescent="0.4">
      <c r="A61" s="222"/>
      <c r="B61" s="813" t="s">
        <v>2015</v>
      </c>
      <c r="C61" s="810"/>
      <c r="D61" s="811"/>
      <c r="E61" s="811"/>
      <c r="F61" s="811"/>
      <c r="G61" s="811"/>
      <c r="H61" s="811"/>
      <c r="I61" s="811"/>
      <c r="J61" s="811"/>
      <c r="K61" s="811"/>
      <c r="L61" s="811"/>
      <c r="M61" s="811"/>
      <c r="N61" s="811"/>
      <c r="O61" s="811"/>
      <c r="P61" s="811"/>
      <c r="Q61" s="812"/>
      <c r="R61" s="544"/>
      <c r="S61" s="887"/>
      <c r="U61" s="3"/>
    </row>
    <row r="62" spans="1:21" s="220" customFormat="1" ht="14.4" x14ac:dyDescent="0.3">
      <c r="A62" s="692"/>
      <c r="B62" s="222"/>
      <c r="C62" s="806" t="s">
        <v>1908</v>
      </c>
      <c r="D62" s="807"/>
      <c r="E62" s="807"/>
      <c r="F62" s="807"/>
      <c r="G62" s="808"/>
      <c r="H62" s="806" t="s">
        <v>2016</v>
      </c>
      <c r="I62" s="807"/>
      <c r="J62" s="807"/>
      <c r="K62" s="807"/>
      <c r="L62" s="807"/>
      <c r="M62" s="807"/>
      <c r="N62" s="807"/>
      <c r="O62" s="807"/>
      <c r="P62" s="807"/>
      <c r="Q62" s="808"/>
      <c r="R62" s="544"/>
      <c r="S62" s="887"/>
      <c r="U62" s="3"/>
    </row>
    <row r="63" spans="1:21" s="220" customFormat="1" ht="66" customHeight="1" x14ac:dyDescent="0.3">
      <c r="A63" s="222"/>
      <c r="B63" s="223" t="s">
        <v>2017</v>
      </c>
      <c r="C63" s="224" t="s">
        <v>1911</v>
      </c>
      <c r="D63" s="224" t="s">
        <v>1912</v>
      </c>
      <c r="E63" s="224" t="s">
        <v>1913</v>
      </c>
      <c r="F63" s="224" t="s">
        <v>1914</v>
      </c>
      <c r="G63" s="224" t="s">
        <v>1915</v>
      </c>
      <c r="H63" s="221" t="s">
        <v>2018</v>
      </c>
      <c r="I63" s="224" t="s">
        <v>2020</v>
      </c>
      <c r="J63" s="224" t="s">
        <v>2021</v>
      </c>
      <c r="K63" s="224" t="s">
        <v>2022</v>
      </c>
      <c r="L63" s="224" t="s">
        <v>2023</v>
      </c>
      <c r="M63" s="548" t="s">
        <v>2024</v>
      </c>
      <c r="N63" s="548" t="s">
        <v>2025</v>
      </c>
      <c r="O63" s="548" t="s">
        <v>2026</v>
      </c>
      <c r="P63" s="221" t="s">
        <v>2027</v>
      </c>
      <c r="Q63" s="224" t="s">
        <v>2028</v>
      </c>
      <c r="R63" s="120"/>
      <c r="S63" s="887"/>
      <c r="U63" s="3"/>
    </row>
    <row r="64" spans="1:21" s="220" customFormat="1" ht="14.4" x14ac:dyDescent="0.3">
      <c r="A64" s="222"/>
      <c r="B64" s="758" t="str">
        <f>'Inputs and population'!C58</f>
        <v>Lenvatinib (oral)</v>
      </c>
      <c r="C64" s="756" t="str">
        <f>'Inputs and population'!D58</f>
        <v>oral</v>
      </c>
      <c r="D64" s="756" t="str">
        <f>'Inputs and population'!E58</f>
        <v>tablet</v>
      </c>
      <c r="E64" s="757">
        <f>'Inputs and population'!F58</f>
        <v>4</v>
      </c>
      <c r="F64" s="757">
        <f>'Inputs and population'!G58</f>
        <v>30</v>
      </c>
      <c r="G64" s="757">
        <f>'Inputs and population'!H58</f>
        <v>120</v>
      </c>
      <c r="H64" s="757">
        <f>'Inputs and population'!I58</f>
        <v>12</v>
      </c>
      <c r="I64" s="761" t="s">
        <v>2029</v>
      </c>
      <c r="J64" s="757">
        <f>H64</f>
        <v>12</v>
      </c>
      <c r="K64" s="542">
        <f>'Inputs and population'!J58</f>
        <v>30</v>
      </c>
      <c r="L64" s="899">
        <f>'Inputs and population'!G49</f>
        <v>8.5</v>
      </c>
      <c r="M64" s="542">
        <f>L64*K64*J64</f>
        <v>3060</v>
      </c>
      <c r="N64" s="542">
        <f>ROUNDUP((M64/G64),0)</f>
        <v>26</v>
      </c>
      <c r="O64" s="762">
        <f>'Inputs and population'!K58</f>
        <v>0</v>
      </c>
      <c r="P64" s="763">
        <f>'Inputs and population'!L58</f>
        <v>0.2</v>
      </c>
      <c r="Q64" s="809">
        <f>N64*O64*(100%+P64)</f>
        <v>0</v>
      </c>
      <c r="R64" s="544"/>
      <c r="S64" s="887"/>
      <c r="U64" s="3"/>
    </row>
    <row r="65" spans="1:21" s="220" customFormat="1" ht="14.4" x14ac:dyDescent="0.3">
      <c r="A65" s="222"/>
      <c r="B65" s="546" t="s">
        <v>2030</v>
      </c>
      <c r="C65" s="525"/>
      <c r="D65" s="525"/>
      <c r="E65" s="526"/>
      <c r="F65" s="526"/>
      <c r="G65" s="526"/>
      <c r="H65" s="526"/>
      <c r="I65" s="527"/>
      <c r="J65" s="526"/>
      <c r="K65" s="524"/>
      <c r="L65" s="532"/>
      <c r="M65" s="551"/>
      <c r="N65" s="551"/>
      <c r="O65" s="528"/>
      <c r="P65" s="529"/>
      <c r="Q65" s="539"/>
      <c r="R65" s="544"/>
      <c r="S65" s="887"/>
      <c r="U65" s="3"/>
    </row>
    <row r="66" spans="1:21" s="220" customFormat="1" ht="14.4" x14ac:dyDescent="0.3">
      <c r="A66" s="222"/>
      <c r="B66" s="546" t="s">
        <v>2030</v>
      </c>
      <c r="C66" s="525"/>
      <c r="D66" s="525"/>
      <c r="E66" s="526"/>
      <c r="F66" s="526"/>
      <c r="G66" s="526"/>
      <c r="H66" s="526"/>
      <c r="I66" s="527"/>
      <c r="J66" s="526"/>
      <c r="K66" s="524"/>
      <c r="L66" s="532"/>
      <c r="M66" s="551"/>
      <c r="N66" s="551"/>
      <c r="O66" s="528"/>
      <c r="P66" s="529"/>
      <c r="Q66" s="539"/>
      <c r="R66" s="544"/>
      <c r="S66" s="887"/>
      <c r="U66" s="3"/>
    </row>
    <row r="67" spans="1:21" s="220" customFormat="1" ht="14.4" x14ac:dyDescent="0.3">
      <c r="A67" s="222"/>
      <c r="B67" s="225" t="s">
        <v>2031</v>
      </c>
      <c r="C67" s="547"/>
      <c r="D67" s="547"/>
      <c r="E67" s="547"/>
      <c r="F67" s="547"/>
      <c r="G67" s="547"/>
      <c r="H67" s="547"/>
      <c r="I67" s="547"/>
      <c r="J67" s="547"/>
      <c r="K67" s="547"/>
      <c r="L67" s="547"/>
      <c r="M67" s="547"/>
      <c r="N67" s="547"/>
      <c r="O67" s="547"/>
      <c r="P67" s="552"/>
      <c r="Q67" s="553">
        <f>SUM(Q64:Q66)</f>
        <v>0</v>
      </c>
      <c r="R67" s="544"/>
      <c r="S67" s="887"/>
      <c r="U67" s="3"/>
    </row>
    <row r="68" spans="1:21" s="220" customFormat="1" ht="14.4" x14ac:dyDescent="0.3">
      <c r="A68" s="692"/>
      <c r="B68" s="222"/>
      <c r="C68" s="222"/>
      <c r="D68" s="222"/>
      <c r="E68" s="222"/>
      <c r="F68" s="222"/>
      <c r="G68" s="222"/>
      <c r="H68" s="222"/>
      <c r="I68" s="222"/>
      <c r="J68" s="222"/>
      <c r="K68" s="222"/>
      <c r="L68" s="222"/>
      <c r="M68" s="222"/>
      <c r="N68" s="222"/>
      <c r="O68" s="222"/>
      <c r="P68" s="222"/>
      <c r="Q68" s="692"/>
      <c r="R68" s="544"/>
      <c r="S68" s="887"/>
      <c r="U68" s="3"/>
    </row>
    <row r="69" spans="1:21" s="220" customFormat="1" ht="14.4" x14ac:dyDescent="0.3">
      <c r="A69" s="692"/>
      <c r="B69" s="218" t="s">
        <v>2032</v>
      </c>
      <c r="C69" s="222"/>
      <c r="D69" s="159"/>
      <c r="E69" s="102"/>
      <c r="F69" s="160"/>
      <c r="G69" s="161"/>
      <c r="H69" s="5"/>
      <c r="I69" s="162"/>
      <c r="J69" s="161"/>
      <c r="K69" s="161"/>
      <c r="L69" s="161"/>
      <c r="M69" s="161"/>
      <c r="N69" s="222"/>
      <c r="O69" s="222"/>
      <c r="P69" s="222"/>
      <c r="Q69" s="692"/>
      <c r="R69" s="544"/>
      <c r="S69" s="887"/>
      <c r="U69" s="3"/>
    </row>
    <row r="70" spans="1:21" s="220" customFormat="1" ht="28.8" x14ac:dyDescent="0.3">
      <c r="A70" s="222"/>
      <c r="B70" s="221" t="s">
        <v>2033</v>
      </c>
      <c r="C70" s="223" t="s">
        <v>2034</v>
      </c>
      <c r="D70" s="226" t="s">
        <v>2035</v>
      </c>
      <c r="E70" s="396"/>
      <c r="F70" s="397"/>
      <c r="G70" s="397"/>
      <c r="H70" s="397"/>
      <c r="I70" s="398"/>
      <c r="J70" s="397"/>
      <c r="K70" s="398"/>
      <c r="L70" s="397"/>
      <c r="M70" s="548"/>
      <c r="N70" s="548" t="s">
        <v>2037</v>
      </c>
      <c r="O70" s="224" t="s">
        <v>2023</v>
      </c>
      <c r="P70" s="221" t="s">
        <v>2038</v>
      </c>
      <c r="Q70" s="224" t="s">
        <v>2028</v>
      </c>
      <c r="R70" s="544"/>
      <c r="S70" s="887"/>
      <c r="U70" s="3"/>
    </row>
    <row r="71" spans="1:21" s="220" customFormat="1" ht="14.4" customHeight="1" x14ac:dyDescent="0.3">
      <c r="A71" s="222"/>
      <c r="B71" s="546" t="s">
        <v>2227</v>
      </c>
      <c r="C71" s="718" t="s">
        <v>2228</v>
      </c>
      <c r="D71" s="534" t="s">
        <v>2229</v>
      </c>
      <c r="E71" s="535"/>
      <c r="F71" s="536"/>
      <c r="G71" s="537"/>
      <c r="H71" s="537"/>
      <c r="I71" s="537"/>
      <c r="J71" s="537"/>
      <c r="K71" s="536"/>
      <c r="L71" s="536"/>
      <c r="M71" s="717"/>
      <c r="N71" s="533">
        <v>1</v>
      </c>
      <c r="O71" s="524">
        <f>L64</f>
        <v>8.5</v>
      </c>
      <c r="P71" s="539">
        <v>146</v>
      </c>
      <c r="Q71" s="539">
        <f>N71*P71*O71</f>
        <v>1241</v>
      </c>
      <c r="R71" s="544"/>
      <c r="S71" s="887"/>
      <c r="U71" s="3"/>
    </row>
    <row r="72" spans="1:21" s="4" customFormat="1" ht="14.4" x14ac:dyDescent="0.3">
      <c r="A72" s="5"/>
      <c r="B72" s="687" t="s">
        <v>1979</v>
      </c>
      <c r="C72" s="222"/>
      <c r="D72" s="222"/>
      <c r="E72" s="222"/>
      <c r="F72" s="222"/>
      <c r="G72" s="222"/>
      <c r="H72" s="222"/>
      <c r="I72" s="222"/>
      <c r="J72" s="222"/>
      <c r="K72" s="222"/>
      <c r="L72" s="222"/>
      <c r="M72" s="222"/>
      <c r="N72" s="222"/>
      <c r="O72" s="222"/>
      <c r="P72" s="222"/>
      <c r="Q72" s="222"/>
      <c r="R72" s="5"/>
      <c r="S72" s="885"/>
      <c r="U72" s="3"/>
    </row>
    <row r="73" spans="1:21" s="4" customFormat="1" ht="14.4" x14ac:dyDescent="0.25">
      <c r="A73" s="5"/>
      <c r="B73" s="905" t="s">
        <v>2233</v>
      </c>
      <c r="C73" s="5"/>
      <c r="D73" s="159"/>
      <c r="E73" s="102"/>
      <c r="F73" s="160"/>
      <c r="G73" s="161"/>
      <c r="H73" s="5"/>
      <c r="I73" s="162"/>
      <c r="J73" s="161"/>
      <c r="K73" s="161"/>
      <c r="L73" s="161"/>
      <c r="M73" s="161"/>
      <c r="N73" s="161"/>
      <c r="O73" s="161"/>
      <c r="P73" s="161"/>
      <c r="Q73" s="162"/>
      <c r="R73" s="5"/>
      <c r="S73" s="885"/>
      <c r="U73" s="3"/>
    </row>
    <row r="74" spans="1:21" s="4" customFormat="1" ht="14.4" x14ac:dyDescent="0.3">
      <c r="A74" s="5"/>
      <c r="B74" s="174"/>
      <c r="C74" s="5"/>
      <c r="D74" s="159"/>
      <c r="E74" s="102"/>
      <c r="F74" s="160"/>
      <c r="G74" s="161"/>
      <c r="H74" s="5"/>
      <c r="I74" s="162"/>
      <c r="J74" s="161"/>
      <c r="K74" s="161"/>
      <c r="L74" s="161"/>
      <c r="M74" s="161"/>
      <c r="N74" s="161"/>
      <c r="O74" s="161"/>
      <c r="P74" s="161"/>
      <c r="Q74" s="162"/>
      <c r="R74" s="5"/>
      <c r="S74" s="885"/>
      <c r="U74" s="3"/>
    </row>
    <row r="75" spans="1:21" s="4" customFormat="1" ht="21" x14ac:dyDescent="0.4">
      <c r="A75" s="5"/>
      <c r="B75" s="801" t="s">
        <v>2215</v>
      </c>
      <c r="C75" s="802"/>
      <c r="D75" s="690"/>
      <c r="E75" s="690"/>
      <c r="F75" s="690"/>
      <c r="G75" s="690"/>
      <c r="H75" s="690"/>
      <c r="I75" s="690"/>
      <c r="J75" s="690"/>
      <c r="K75" s="690"/>
      <c r="L75" s="690"/>
      <c r="M75" s="690"/>
      <c r="N75" s="690"/>
      <c r="O75" s="690"/>
      <c r="P75" s="690"/>
      <c r="Q75" s="803"/>
      <c r="R75" s="5"/>
      <c r="S75" s="885"/>
      <c r="U75" s="3"/>
    </row>
    <row r="76" spans="1:21" s="4" customFormat="1" ht="21" x14ac:dyDescent="0.4">
      <c r="A76" s="5"/>
      <c r="B76" s="813" t="s">
        <v>2015</v>
      </c>
      <c r="C76" s="810"/>
      <c r="D76" s="811"/>
      <c r="E76" s="811"/>
      <c r="F76" s="811"/>
      <c r="G76" s="811"/>
      <c r="H76" s="811"/>
      <c r="I76" s="811"/>
      <c r="J76" s="811"/>
      <c r="K76" s="811"/>
      <c r="L76" s="811"/>
      <c r="M76" s="811"/>
      <c r="N76" s="811"/>
      <c r="O76" s="811"/>
      <c r="P76" s="811"/>
      <c r="Q76" s="812"/>
      <c r="R76" s="5"/>
      <c r="S76" s="885"/>
      <c r="U76" s="3"/>
    </row>
    <row r="77" spans="1:21" s="4" customFormat="1" ht="14.4" x14ac:dyDescent="0.3">
      <c r="A77" s="5"/>
      <c r="B77" s="851"/>
      <c r="C77" s="806" t="s">
        <v>1908</v>
      </c>
      <c r="D77" s="807"/>
      <c r="E77" s="807"/>
      <c r="F77" s="807"/>
      <c r="G77" s="808"/>
      <c r="H77" s="806" t="s">
        <v>2016</v>
      </c>
      <c r="I77" s="807"/>
      <c r="J77" s="807"/>
      <c r="K77" s="807"/>
      <c r="L77" s="807"/>
      <c r="M77" s="807"/>
      <c r="N77" s="807"/>
      <c r="O77" s="807"/>
      <c r="P77" s="807"/>
      <c r="Q77" s="808"/>
      <c r="R77" s="5"/>
      <c r="S77" s="885"/>
      <c r="U77" s="3"/>
    </row>
    <row r="78" spans="1:21" s="4" customFormat="1" ht="28.8" x14ac:dyDescent="0.3">
      <c r="A78" s="5"/>
      <c r="B78" s="223" t="s">
        <v>2017</v>
      </c>
      <c r="C78" s="224" t="s">
        <v>1911</v>
      </c>
      <c r="D78" s="224" t="s">
        <v>1912</v>
      </c>
      <c r="E78" s="224" t="s">
        <v>1913</v>
      </c>
      <c r="F78" s="224" t="s">
        <v>1914</v>
      </c>
      <c r="G78" s="224" t="s">
        <v>1915</v>
      </c>
      <c r="H78" s="221" t="s">
        <v>2018</v>
      </c>
      <c r="I78" s="224" t="s">
        <v>2020</v>
      </c>
      <c r="J78" s="224" t="s">
        <v>2021</v>
      </c>
      <c r="K78" s="224" t="s">
        <v>2022</v>
      </c>
      <c r="L78" s="224" t="s">
        <v>2023</v>
      </c>
      <c r="M78" s="548" t="s">
        <v>2024</v>
      </c>
      <c r="N78" s="548" t="s">
        <v>2025</v>
      </c>
      <c r="O78" s="548" t="s">
        <v>2026</v>
      </c>
      <c r="P78" s="221" t="s">
        <v>2027</v>
      </c>
      <c r="Q78" s="224" t="s">
        <v>2028</v>
      </c>
      <c r="R78" s="5"/>
      <c r="S78" s="885"/>
      <c r="U78" s="3"/>
    </row>
    <row r="79" spans="1:21" s="4" customFormat="1" ht="14.4" x14ac:dyDescent="0.3">
      <c r="A79" s="5"/>
      <c r="B79" s="758" t="str">
        <f>'Inputs and population'!C59</f>
        <v>Sorafenib (oral)</v>
      </c>
      <c r="C79" s="756" t="str">
        <f>'Inputs and population'!D59</f>
        <v>oral</v>
      </c>
      <c r="D79" s="756" t="str">
        <f>'Inputs and population'!E59</f>
        <v>tablet</v>
      </c>
      <c r="E79" s="757">
        <f>'Inputs and population'!F59</f>
        <v>200</v>
      </c>
      <c r="F79" s="757">
        <f>'Inputs and population'!G59</f>
        <v>112</v>
      </c>
      <c r="G79" s="757">
        <f>'Inputs and population'!H59</f>
        <v>22400</v>
      </c>
      <c r="H79" s="757">
        <f>'Inputs and population'!I59</f>
        <v>800</v>
      </c>
      <c r="I79" s="761" t="s">
        <v>2029</v>
      </c>
      <c r="J79" s="757">
        <f>H79</f>
        <v>800</v>
      </c>
      <c r="K79" s="542">
        <f>'Inputs and population'!J59</f>
        <v>30</v>
      </c>
      <c r="L79" s="764">
        <f>'Inputs and population'!G50</f>
        <v>0</v>
      </c>
      <c r="M79" s="911">
        <f>L79*K79*J79</f>
        <v>0</v>
      </c>
      <c r="N79" s="542">
        <f>ROUNDUP((M79/G79),0)</f>
        <v>0</v>
      </c>
      <c r="O79" s="762">
        <f>'Inputs and population'!K59</f>
        <v>0</v>
      </c>
      <c r="P79" s="763">
        <f>'Inputs and population'!L59</f>
        <v>0.2</v>
      </c>
      <c r="Q79" s="809">
        <f>N79*O79*(100%+P79)</f>
        <v>0</v>
      </c>
      <c r="R79" s="5"/>
      <c r="S79" s="885"/>
      <c r="U79" s="3"/>
    </row>
    <row r="80" spans="1:21" s="4" customFormat="1" ht="14.4" x14ac:dyDescent="0.3">
      <c r="A80" s="5"/>
      <c r="B80" s="546" t="s">
        <v>2030</v>
      </c>
      <c r="C80" s="525"/>
      <c r="D80" s="525"/>
      <c r="E80" s="526"/>
      <c r="F80" s="526"/>
      <c r="G80" s="526"/>
      <c r="H80" s="526"/>
      <c r="I80" s="527"/>
      <c r="J80" s="526"/>
      <c r="K80" s="524"/>
      <c r="L80" s="532"/>
      <c r="M80" s="551"/>
      <c r="N80" s="551"/>
      <c r="O80" s="528"/>
      <c r="P80" s="529"/>
      <c r="Q80" s="539"/>
      <c r="R80" s="5"/>
      <c r="S80" s="885"/>
      <c r="U80" s="3"/>
    </row>
    <row r="81" spans="1:22" s="4" customFormat="1" ht="14.4" x14ac:dyDescent="0.3">
      <c r="A81" s="5"/>
      <c r="B81" s="546" t="s">
        <v>2030</v>
      </c>
      <c r="C81" s="525"/>
      <c r="D81" s="525"/>
      <c r="E81" s="526"/>
      <c r="F81" s="526"/>
      <c r="G81" s="526"/>
      <c r="H81" s="526"/>
      <c r="I81" s="527"/>
      <c r="J81" s="526"/>
      <c r="K81" s="524"/>
      <c r="L81" s="532"/>
      <c r="M81" s="551"/>
      <c r="N81" s="551"/>
      <c r="O81" s="528"/>
      <c r="P81" s="529"/>
      <c r="Q81" s="539"/>
      <c r="R81" s="5"/>
      <c r="S81" s="885"/>
      <c r="U81" s="3"/>
    </row>
    <row r="82" spans="1:22" s="4" customFormat="1" ht="14.4" x14ac:dyDescent="0.3">
      <c r="A82" s="5"/>
      <c r="B82" s="225" t="s">
        <v>2031</v>
      </c>
      <c r="C82" s="547"/>
      <c r="D82" s="547"/>
      <c r="E82" s="547"/>
      <c r="F82" s="547"/>
      <c r="G82" s="547"/>
      <c r="H82" s="547"/>
      <c r="I82" s="547"/>
      <c r="J82" s="547"/>
      <c r="K82" s="547"/>
      <c r="L82" s="547"/>
      <c r="M82" s="547"/>
      <c r="N82" s="547"/>
      <c r="O82" s="547"/>
      <c r="P82" s="552"/>
      <c r="Q82" s="553">
        <f>SUM(Q79:Q81)</f>
        <v>0</v>
      </c>
      <c r="R82" s="5"/>
      <c r="S82" s="885"/>
      <c r="U82" s="3"/>
    </row>
    <row r="83" spans="1:22" s="4" customFormat="1" ht="14.4" x14ac:dyDescent="0.3">
      <c r="A83" s="5"/>
      <c r="B83" s="852"/>
      <c r="C83" s="222"/>
      <c r="D83" s="222"/>
      <c r="E83" s="222"/>
      <c r="F83" s="222"/>
      <c r="G83" s="222"/>
      <c r="H83" s="222"/>
      <c r="I83" s="222"/>
      <c r="J83" s="222"/>
      <c r="K83" s="222"/>
      <c r="L83" s="222"/>
      <c r="M83" s="222"/>
      <c r="N83" s="222"/>
      <c r="O83" s="222"/>
      <c r="P83" s="222"/>
      <c r="Q83" s="692"/>
      <c r="R83" s="5"/>
      <c r="S83" s="885"/>
      <c r="U83" s="3"/>
    </row>
    <row r="84" spans="1:22" s="4" customFormat="1" ht="14.4" x14ac:dyDescent="0.3">
      <c r="A84" s="5"/>
      <c r="B84" s="853" t="s">
        <v>2032</v>
      </c>
      <c r="C84" s="222"/>
      <c r="D84" s="159"/>
      <c r="E84" s="102"/>
      <c r="F84" s="160"/>
      <c r="G84" s="161"/>
      <c r="H84" s="5"/>
      <c r="I84" s="162"/>
      <c r="J84" s="161"/>
      <c r="K84" s="161"/>
      <c r="L84" s="161"/>
      <c r="M84" s="161"/>
      <c r="N84" s="222"/>
      <c r="O84" s="222"/>
      <c r="P84" s="222"/>
      <c r="Q84" s="692"/>
      <c r="R84" s="5"/>
      <c r="S84" s="885"/>
      <c r="U84" s="3"/>
    </row>
    <row r="85" spans="1:22" s="4" customFormat="1" ht="28.8" x14ac:dyDescent="0.3">
      <c r="A85" s="5"/>
      <c r="B85" s="221" t="s">
        <v>2033</v>
      </c>
      <c r="C85" s="223" t="s">
        <v>2034</v>
      </c>
      <c r="D85" s="226" t="s">
        <v>2035</v>
      </c>
      <c r="E85" s="396"/>
      <c r="F85" s="397"/>
      <c r="G85" s="397"/>
      <c r="H85" s="397"/>
      <c r="I85" s="398"/>
      <c r="J85" s="397"/>
      <c r="K85" s="398"/>
      <c r="L85" s="397"/>
      <c r="M85" s="548" t="s">
        <v>2036</v>
      </c>
      <c r="N85" s="548" t="s">
        <v>2037</v>
      </c>
      <c r="O85" s="224" t="s">
        <v>2023</v>
      </c>
      <c r="P85" s="221" t="s">
        <v>2038</v>
      </c>
      <c r="Q85" s="221" t="s">
        <v>2028</v>
      </c>
      <c r="R85" s="5"/>
      <c r="S85" s="885"/>
      <c r="U85" s="3"/>
    </row>
    <row r="86" spans="1:22" s="4" customFormat="1" ht="14.4" x14ac:dyDescent="0.3">
      <c r="A86" s="5"/>
      <c r="B86" s="546" t="s">
        <v>2215</v>
      </c>
      <c r="C86" s="718" t="s">
        <v>2228</v>
      </c>
      <c r="D86" s="534" t="s">
        <v>2229</v>
      </c>
      <c r="E86" s="535"/>
      <c r="F86" s="536"/>
      <c r="G86" s="537"/>
      <c r="H86" s="537"/>
      <c r="I86" s="537"/>
      <c r="J86" s="537"/>
      <c r="K86" s="536"/>
      <c r="L86" s="536"/>
      <c r="M86" s="717"/>
      <c r="N86" s="533">
        <v>1</v>
      </c>
      <c r="O86" s="531">
        <f>L79</f>
        <v>0</v>
      </c>
      <c r="P86" s="539">
        <v>146</v>
      </c>
      <c r="Q86" s="539">
        <f>N86*P86*O86</f>
        <v>0</v>
      </c>
      <c r="R86" s="5"/>
      <c r="S86" s="885"/>
      <c r="U86" s="3"/>
    </row>
    <row r="87" spans="1:22" s="4" customFormat="1" ht="14.4" x14ac:dyDescent="0.3">
      <c r="A87" s="5"/>
      <c r="B87" s="687" t="s">
        <v>1979</v>
      </c>
      <c r="C87" s="222"/>
      <c r="D87" s="222"/>
      <c r="E87" s="222"/>
      <c r="F87" s="222"/>
      <c r="G87" s="222"/>
      <c r="H87" s="222"/>
      <c r="I87" s="222"/>
      <c r="J87" s="222"/>
      <c r="K87" s="222"/>
      <c r="L87" s="222"/>
      <c r="M87" s="222"/>
      <c r="N87" s="222"/>
      <c r="O87" s="222"/>
      <c r="P87" s="222"/>
      <c r="Q87" s="222"/>
      <c r="R87" s="5"/>
      <c r="S87" s="885"/>
      <c r="U87" s="3"/>
    </row>
    <row r="88" spans="1:22" s="4" customFormat="1" ht="14.4" x14ac:dyDescent="0.3">
      <c r="A88" s="5"/>
      <c r="B88" s="871" t="s">
        <v>2235</v>
      </c>
      <c r="C88" s="885"/>
      <c r="D88" s="881"/>
      <c r="E88" s="882"/>
      <c r="F88" s="883"/>
      <c r="G88" s="161"/>
      <c r="H88" s="5"/>
      <c r="I88" s="162"/>
      <c r="J88" s="161"/>
      <c r="K88" s="161"/>
      <c r="L88" s="161"/>
      <c r="M88" s="161"/>
      <c r="N88" s="161"/>
      <c r="O88" s="161"/>
      <c r="P88" s="161"/>
      <c r="Q88" s="162"/>
      <c r="R88" s="5"/>
      <c r="S88" s="885"/>
      <c r="U88" s="3"/>
    </row>
    <row r="89" spans="1:22" s="4" customFormat="1" ht="14.4" x14ac:dyDescent="0.25">
      <c r="A89" s="5"/>
      <c r="B89" s="905" t="s">
        <v>2233</v>
      </c>
      <c r="C89" s="5"/>
      <c r="D89" s="159"/>
      <c r="E89" s="102"/>
      <c r="F89" s="160"/>
      <c r="G89" s="161"/>
      <c r="H89" s="5"/>
      <c r="I89" s="5"/>
      <c r="J89" s="162"/>
      <c r="K89" s="161"/>
      <c r="L89" s="161"/>
      <c r="M89" s="161"/>
      <c r="N89" s="161"/>
      <c r="O89" s="161"/>
      <c r="P89" s="161"/>
      <c r="Q89" s="161"/>
      <c r="R89" s="162"/>
      <c r="S89" s="5"/>
      <c r="V89" s="3"/>
    </row>
    <row r="90" spans="1:22" s="4" customFormat="1" ht="14.4" x14ac:dyDescent="0.3">
      <c r="A90" s="5"/>
      <c r="B90" s="174"/>
      <c r="C90" s="5"/>
      <c r="D90" s="159"/>
      <c r="E90" s="102"/>
      <c r="F90" s="160"/>
      <c r="G90" s="161"/>
      <c r="H90" s="5"/>
      <c r="I90" s="5"/>
      <c r="J90" s="162"/>
      <c r="K90" s="161"/>
      <c r="L90" s="161"/>
      <c r="M90" s="161"/>
      <c r="N90" s="161"/>
      <c r="O90" s="161"/>
      <c r="P90" s="161"/>
      <c r="Q90" s="161"/>
      <c r="R90" s="162"/>
      <c r="S90" s="5"/>
      <c r="V90" s="3"/>
    </row>
    <row r="91" spans="1:22" s="4" customFormat="1" ht="21" hidden="1" x14ac:dyDescent="0.4">
      <c r="A91" s="5"/>
      <c r="B91" s="801" t="s">
        <v>1932</v>
      </c>
      <c r="C91" s="802"/>
      <c r="D91" s="690"/>
      <c r="E91" s="690"/>
      <c r="F91" s="690"/>
      <c r="G91" s="690"/>
      <c r="H91" s="690"/>
      <c r="I91" s="690"/>
      <c r="J91" s="690"/>
      <c r="K91" s="690"/>
      <c r="L91" s="690"/>
      <c r="M91" s="690"/>
      <c r="N91" s="690"/>
      <c r="O91" s="690"/>
      <c r="P91" s="690"/>
      <c r="Q91" s="690"/>
      <c r="R91" s="803"/>
      <c r="S91" s="5"/>
      <c r="V91" s="3"/>
    </row>
    <row r="92" spans="1:22" s="4" customFormat="1" ht="21" hidden="1" x14ac:dyDescent="0.4">
      <c r="A92" s="5"/>
      <c r="B92" s="813" t="s">
        <v>2015</v>
      </c>
      <c r="C92" s="810"/>
      <c r="D92" s="811"/>
      <c r="E92" s="811"/>
      <c r="F92" s="811"/>
      <c r="G92" s="811"/>
      <c r="H92" s="811"/>
      <c r="I92" s="811"/>
      <c r="J92" s="811"/>
      <c r="K92" s="811"/>
      <c r="L92" s="811"/>
      <c r="M92" s="811"/>
      <c r="N92" s="811"/>
      <c r="O92" s="811"/>
      <c r="P92" s="811"/>
      <c r="Q92" s="811"/>
      <c r="R92" s="812"/>
      <c r="S92" s="5"/>
      <c r="V92" s="3"/>
    </row>
    <row r="93" spans="1:22" s="4" customFormat="1" ht="14.4" hidden="1" x14ac:dyDescent="0.3">
      <c r="A93" s="5"/>
      <c r="B93" s="851"/>
      <c r="C93" s="806" t="s">
        <v>1908</v>
      </c>
      <c r="D93" s="807"/>
      <c r="E93" s="807"/>
      <c r="F93" s="807"/>
      <c r="G93" s="808"/>
      <c r="H93" s="806" t="s">
        <v>2016</v>
      </c>
      <c r="I93" s="807"/>
      <c r="J93" s="807"/>
      <c r="K93" s="807"/>
      <c r="L93" s="807"/>
      <c r="M93" s="807"/>
      <c r="N93" s="807"/>
      <c r="O93" s="807"/>
      <c r="P93" s="807"/>
      <c r="Q93" s="807"/>
      <c r="R93" s="808"/>
      <c r="S93" s="5"/>
      <c r="V93" s="3"/>
    </row>
    <row r="94" spans="1:22" s="4" customFormat="1" ht="28.8" hidden="1" x14ac:dyDescent="0.3">
      <c r="A94" s="5"/>
      <c r="B94" s="223" t="s">
        <v>2017</v>
      </c>
      <c r="C94" s="224" t="s">
        <v>1911</v>
      </c>
      <c r="D94" s="224" t="s">
        <v>1912</v>
      </c>
      <c r="E94" s="224" t="s">
        <v>1913</v>
      </c>
      <c r="F94" s="224" t="s">
        <v>1914</v>
      </c>
      <c r="G94" s="224" t="s">
        <v>1915</v>
      </c>
      <c r="H94" s="221" t="s">
        <v>2018</v>
      </c>
      <c r="I94" s="224" t="s">
        <v>2019</v>
      </c>
      <c r="J94" s="224" t="s">
        <v>2020</v>
      </c>
      <c r="K94" s="224" t="s">
        <v>2021</v>
      </c>
      <c r="L94" s="224" t="s">
        <v>2022</v>
      </c>
      <c r="M94" s="224" t="s">
        <v>2023</v>
      </c>
      <c r="N94" s="548" t="s">
        <v>2024</v>
      </c>
      <c r="O94" s="548" t="s">
        <v>2025</v>
      </c>
      <c r="P94" s="548" t="s">
        <v>2026</v>
      </c>
      <c r="Q94" s="221" t="s">
        <v>2027</v>
      </c>
      <c r="R94" s="224" t="s">
        <v>2028</v>
      </c>
      <c r="S94" s="5"/>
      <c r="V94" s="3"/>
    </row>
    <row r="95" spans="1:22" s="4" customFormat="1" ht="14.4" hidden="1" x14ac:dyDescent="0.3">
      <c r="A95" s="5"/>
      <c r="B95" s="758" t="e">
        <f>'Inputs and population'!#REF!</f>
        <v>#REF!</v>
      </c>
      <c r="C95" s="756" t="e">
        <f>'Inputs and population'!#REF!</f>
        <v>#REF!</v>
      </c>
      <c r="D95" s="756" t="e">
        <f>'Inputs and population'!#REF!</f>
        <v>#REF!</v>
      </c>
      <c r="E95" s="757" t="e">
        <f>'Inputs and population'!#REF!</f>
        <v>#REF!</v>
      </c>
      <c r="F95" s="757" t="e">
        <f>'Inputs and population'!#REF!</f>
        <v>#REF!</v>
      </c>
      <c r="G95" s="757" t="e">
        <f>'Inputs and population'!#REF!</f>
        <v>#REF!</v>
      </c>
      <c r="H95" s="757" t="e">
        <f>'Inputs and population'!#REF!</f>
        <v>#REF!</v>
      </c>
      <c r="I95" s="761" t="s">
        <v>2029</v>
      </c>
      <c r="J95" s="761" t="s">
        <v>2029</v>
      </c>
      <c r="K95" s="757" t="e">
        <f>H95</f>
        <v>#REF!</v>
      </c>
      <c r="L95" s="542" t="e">
        <f>'Inputs and population'!#REF!</f>
        <v>#REF!</v>
      </c>
      <c r="M95" s="764" t="e">
        <f>'Inputs and population'!#REF!</f>
        <v>#REF!</v>
      </c>
      <c r="N95" s="542" t="e">
        <f>M95*L95*K95</f>
        <v>#REF!</v>
      </c>
      <c r="O95" s="542" t="e">
        <f>N95/G95</f>
        <v>#REF!</v>
      </c>
      <c r="P95" s="762" t="e">
        <f>'Inputs and population'!#REF!</f>
        <v>#REF!</v>
      </c>
      <c r="Q95" s="763" t="e">
        <f>'Inputs and population'!#REF!</f>
        <v>#REF!</v>
      </c>
      <c r="R95" s="809" t="e">
        <f>O95*P95*(100%+Q95)</f>
        <v>#REF!</v>
      </c>
      <c r="S95" s="5"/>
      <c r="V95" s="3"/>
    </row>
    <row r="96" spans="1:22" s="4" customFormat="1" ht="14.4" hidden="1" x14ac:dyDescent="0.3">
      <c r="A96" s="5"/>
      <c r="B96" s="546" t="s">
        <v>2030</v>
      </c>
      <c r="C96" s="525"/>
      <c r="D96" s="525"/>
      <c r="E96" s="526"/>
      <c r="F96" s="526"/>
      <c r="G96" s="526"/>
      <c r="H96" s="526"/>
      <c r="I96" s="527"/>
      <c r="J96" s="527"/>
      <c r="K96" s="526"/>
      <c r="L96" s="524"/>
      <c r="M96" s="532"/>
      <c r="N96" s="551"/>
      <c r="O96" s="551"/>
      <c r="P96" s="528"/>
      <c r="Q96" s="529"/>
      <c r="R96" s="539"/>
      <c r="S96" s="5"/>
      <c r="V96" s="3"/>
    </row>
    <row r="97" spans="1:22" s="4" customFormat="1" ht="14.4" hidden="1" x14ac:dyDescent="0.3">
      <c r="A97" s="5"/>
      <c r="B97" s="546" t="s">
        <v>2030</v>
      </c>
      <c r="C97" s="525"/>
      <c r="D97" s="525"/>
      <c r="E97" s="526"/>
      <c r="F97" s="526"/>
      <c r="G97" s="526"/>
      <c r="H97" s="526"/>
      <c r="I97" s="527"/>
      <c r="J97" s="527"/>
      <c r="K97" s="526"/>
      <c r="L97" s="524"/>
      <c r="M97" s="532"/>
      <c r="N97" s="551"/>
      <c r="O97" s="551"/>
      <c r="P97" s="528"/>
      <c r="Q97" s="529"/>
      <c r="R97" s="539"/>
      <c r="S97" s="5"/>
      <c r="V97" s="3"/>
    </row>
    <row r="98" spans="1:22" s="4" customFormat="1" ht="14.4" hidden="1" x14ac:dyDescent="0.3">
      <c r="A98" s="5"/>
      <c r="B98" s="225" t="s">
        <v>2031</v>
      </c>
      <c r="C98" s="547"/>
      <c r="D98" s="547"/>
      <c r="E98" s="547"/>
      <c r="F98" s="547"/>
      <c r="G98" s="547"/>
      <c r="H98" s="547"/>
      <c r="I98" s="547"/>
      <c r="J98" s="547"/>
      <c r="K98" s="547"/>
      <c r="L98" s="547"/>
      <c r="M98" s="547"/>
      <c r="N98" s="547"/>
      <c r="O98" s="547"/>
      <c r="P98" s="547"/>
      <c r="Q98" s="552"/>
      <c r="R98" s="553" t="e">
        <f>SUM(R95:R97)</f>
        <v>#REF!</v>
      </c>
      <c r="S98" s="5"/>
      <c r="V98" s="3"/>
    </row>
    <row r="99" spans="1:22" s="4" customFormat="1" ht="14.4" hidden="1" x14ac:dyDescent="0.3">
      <c r="A99" s="5"/>
      <c r="B99" s="852"/>
      <c r="C99" s="222"/>
      <c r="D99" s="222"/>
      <c r="E99" s="222"/>
      <c r="F99" s="222"/>
      <c r="G99" s="222"/>
      <c r="H99" s="222"/>
      <c r="I99" s="222"/>
      <c r="J99" s="222"/>
      <c r="K99" s="222"/>
      <c r="L99" s="222"/>
      <c r="M99" s="222"/>
      <c r="N99" s="222"/>
      <c r="O99" s="222"/>
      <c r="P99" s="222"/>
      <c r="Q99" s="222"/>
      <c r="R99" s="692"/>
      <c r="S99" s="5"/>
      <c r="V99" s="3"/>
    </row>
    <row r="100" spans="1:22" s="4" customFormat="1" ht="14.4" hidden="1" x14ac:dyDescent="0.3">
      <c r="A100" s="5"/>
      <c r="B100" s="853" t="s">
        <v>2032</v>
      </c>
      <c r="C100" s="222"/>
      <c r="D100" s="159"/>
      <c r="E100" s="102"/>
      <c r="F100" s="160"/>
      <c r="G100" s="161"/>
      <c r="H100" s="5"/>
      <c r="I100" s="5"/>
      <c r="J100" s="162"/>
      <c r="K100" s="161"/>
      <c r="L100" s="161"/>
      <c r="M100" s="161"/>
      <c r="N100" s="161"/>
      <c r="O100" s="222"/>
      <c r="P100" s="222"/>
      <c r="Q100" s="222"/>
      <c r="R100" s="692"/>
      <c r="S100" s="5"/>
      <c r="V100" s="3"/>
    </row>
    <row r="101" spans="1:22" s="4" customFormat="1" ht="28.8" hidden="1" x14ac:dyDescent="0.3">
      <c r="A101" s="5"/>
      <c r="B101" s="221" t="s">
        <v>2033</v>
      </c>
      <c r="C101" s="223" t="s">
        <v>2034</v>
      </c>
      <c r="D101" s="226" t="s">
        <v>2035</v>
      </c>
      <c r="E101" s="396"/>
      <c r="F101" s="397"/>
      <c r="G101" s="397"/>
      <c r="H101" s="397"/>
      <c r="I101" s="397"/>
      <c r="J101" s="398"/>
      <c r="K101" s="397"/>
      <c r="L101" s="398"/>
      <c r="M101" s="397"/>
      <c r="N101" s="548" t="s">
        <v>2036</v>
      </c>
      <c r="O101" s="548" t="s">
        <v>2037</v>
      </c>
      <c r="P101" s="224" t="s">
        <v>2023</v>
      </c>
      <c r="Q101" s="221" t="s">
        <v>2038</v>
      </c>
      <c r="R101" s="221" t="s">
        <v>2028</v>
      </c>
      <c r="S101" s="5"/>
      <c r="V101" s="3"/>
    </row>
    <row r="102" spans="1:22" s="4" customFormat="1" ht="14.4" hidden="1" x14ac:dyDescent="0.3">
      <c r="A102" s="5"/>
      <c r="B102" s="546" t="s">
        <v>2039</v>
      </c>
      <c r="C102" s="718"/>
      <c r="D102" s="534"/>
      <c r="E102" s="535"/>
      <c r="F102" s="536"/>
      <c r="G102" s="537"/>
      <c r="H102" s="537"/>
      <c r="I102" s="537"/>
      <c r="J102" s="537"/>
      <c r="K102" s="537"/>
      <c r="L102" s="536"/>
      <c r="M102" s="536"/>
      <c r="N102" s="717"/>
      <c r="O102" s="533"/>
      <c r="P102" s="524" t="e">
        <f>M95</f>
        <v>#REF!</v>
      </c>
      <c r="Q102" s="539"/>
      <c r="R102" s="539" t="e">
        <f>O102*Q102*P102</f>
        <v>#REF!</v>
      </c>
      <c r="S102" s="5"/>
      <c r="V102" s="3"/>
    </row>
    <row r="103" spans="1:22" s="4" customFormat="1" ht="14.4" hidden="1" x14ac:dyDescent="0.3">
      <c r="A103" s="5"/>
      <c r="B103" s="687" t="s">
        <v>1979</v>
      </c>
      <c r="C103" s="222"/>
      <c r="D103" s="222"/>
      <c r="E103" s="222"/>
      <c r="F103" s="222"/>
      <c r="G103" s="222"/>
      <c r="H103" s="222"/>
      <c r="I103" s="222"/>
      <c r="J103" s="222"/>
      <c r="K103" s="222"/>
      <c r="L103" s="222"/>
      <c r="M103" s="222"/>
      <c r="N103" s="222"/>
      <c r="O103" s="222"/>
      <c r="P103" s="222"/>
      <c r="Q103" s="222"/>
      <c r="R103" s="222"/>
      <c r="S103" s="5"/>
      <c r="V103" s="3"/>
    </row>
    <row r="104" spans="1:22" s="4" customFormat="1" ht="14.4" hidden="1" x14ac:dyDescent="0.3">
      <c r="A104" s="5"/>
      <c r="B104" s="681" t="s">
        <v>2041</v>
      </c>
      <c r="C104" s="5"/>
      <c r="D104" s="159"/>
      <c r="E104" s="102"/>
      <c r="F104" s="160"/>
      <c r="G104" s="161"/>
      <c r="H104" s="5"/>
      <c r="I104" s="5"/>
      <c r="J104" s="162"/>
      <c r="K104" s="161"/>
      <c r="L104" s="161"/>
      <c r="M104" s="161"/>
      <c r="N104" s="161"/>
      <c r="O104" s="161"/>
      <c r="P104" s="161"/>
      <c r="Q104" s="161"/>
      <c r="R104" s="162"/>
      <c r="S104" s="5"/>
      <c r="V104" s="3"/>
    </row>
    <row r="105" spans="1:22" s="4" customFormat="1" ht="14.4" hidden="1" x14ac:dyDescent="0.3">
      <c r="A105" s="5"/>
      <c r="B105" s="681" t="s">
        <v>2042</v>
      </c>
      <c r="C105" s="5"/>
      <c r="D105" s="159"/>
      <c r="E105" s="102"/>
      <c r="F105" s="160"/>
      <c r="G105" s="161"/>
      <c r="H105" s="5"/>
      <c r="I105" s="5"/>
      <c r="J105" s="162"/>
      <c r="K105" s="161"/>
      <c r="L105" s="161"/>
      <c r="M105" s="161"/>
      <c r="N105" s="161"/>
      <c r="O105" s="161"/>
      <c r="P105" s="161"/>
      <c r="Q105" s="161"/>
      <c r="R105" s="162"/>
      <c r="S105" s="5"/>
      <c r="V105" s="3"/>
    </row>
    <row r="106" spans="1:22" s="4" customFormat="1" ht="14.4" hidden="1" x14ac:dyDescent="0.25">
      <c r="A106" s="5"/>
      <c r="B106" s="175" t="s">
        <v>2043</v>
      </c>
      <c r="C106" s="5"/>
      <c r="D106" s="159"/>
      <c r="E106" s="102"/>
      <c r="F106" s="160"/>
      <c r="G106" s="161"/>
      <c r="H106" s="5"/>
      <c r="I106" s="5"/>
      <c r="J106" s="162"/>
      <c r="K106" s="161"/>
      <c r="L106" s="161"/>
      <c r="M106" s="161"/>
      <c r="N106" s="161"/>
      <c r="O106" s="161"/>
      <c r="P106" s="161"/>
      <c r="Q106" s="161"/>
      <c r="R106" s="162"/>
      <c r="S106" s="5"/>
      <c r="V106" s="3"/>
    </row>
    <row r="107" spans="1:22" s="4" customFormat="1" ht="14.4" hidden="1" x14ac:dyDescent="0.3">
      <c r="A107" s="5"/>
      <c r="B107" s="174" t="s">
        <v>2044</v>
      </c>
      <c r="C107" s="5"/>
      <c r="D107" s="159"/>
      <c r="E107" s="102"/>
      <c r="F107" s="160"/>
      <c r="G107" s="161"/>
      <c r="H107" s="5"/>
      <c r="I107" s="5"/>
      <c r="J107" s="162"/>
      <c r="K107" s="161"/>
      <c r="L107" s="161"/>
      <c r="M107" s="161"/>
      <c r="N107" s="161"/>
      <c r="O107" s="161"/>
      <c r="P107" s="161"/>
      <c r="Q107" s="161"/>
      <c r="R107" s="162"/>
      <c r="S107" s="5"/>
      <c r="V107" s="3"/>
    </row>
    <row r="108" spans="1:22" s="4" customFormat="1" ht="14.4" hidden="1" x14ac:dyDescent="0.25">
      <c r="A108" s="5"/>
      <c r="B108" s="559" t="s">
        <v>2045</v>
      </c>
      <c r="C108" s="5"/>
      <c r="D108" s="159"/>
      <c r="E108" s="102"/>
      <c r="F108" s="160"/>
      <c r="G108" s="161"/>
      <c r="H108" s="5"/>
      <c r="I108" s="5"/>
      <c r="J108" s="162"/>
      <c r="K108" s="161"/>
      <c r="L108" s="161"/>
      <c r="M108" s="161"/>
      <c r="N108" s="161"/>
      <c r="O108" s="161"/>
      <c r="P108" s="161"/>
      <c r="Q108" s="161"/>
      <c r="R108" s="162"/>
      <c r="S108" s="5"/>
      <c r="V108" s="3"/>
    </row>
    <row r="109" spans="1:22" s="4" customFormat="1" ht="14.4" hidden="1" x14ac:dyDescent="0.3">
      <c r="A109" s="5"/>
      <c r="B109" s="174"/>
      <c r="C109" s="5"/>
      <c r="D109" s="159"/>
      <c r="E109" s="102"/>
      <c r="F109" s="160"/>
      <c r="G109" s="161"/>
      <c r="H109" s="5"/>
      <c r="I109" s="5"/>
      <c r="J109" s="162"/>
      <c r="K109" s="161"/>
      <c r="L109" s="161"/>
      <c r="M109" s="161"/>
      <c r="N109" s="161"/>
      <c r="O109" s="161"/>
      <c r="P109" s="161"/>
      <c r="Q109" s="161"/>
      <c r="R109" s="162"/>
      <c r="S109" s="5"/>
      <c r="V109" s="3"/>
    </row>
    <row r="110" spans="1:22" s="4" customFormat="1" ht="14.4" x14ac:dyDescent="0.3">
      <c r="A110" s="5"/>
      <c r="B110" s="399" t="s">
        <v>2047</v>
      </c>
      <c r="C110" s="159"/>
      <c r="D110" s="159"/>
      <c r="E110" s="102"/>
      <c r="F110" s="160"/>
      <c r="G110" s="161"/>
      <c r="H110" s="5"/>
      <c r="I110" s="5"/>
      <c r="J110" s="162"/>
      <c r="K110" s="161"/>
      <c r="L110" s="161"/>
      <c r="M110" s="161"/>
      <c r="N110" s="161"/>
      <c r="O110" s="884"/>
      <c r="P110" s="884"/>
      <c r="Q110" s="884"/>
      <c r="R110" s="162"/>
      <c r="S110" s="5"/>
      <c r="V110" s="3"/>
    </row>
    <row r="111" spans="1:22" s="4" customFormat="1" ht="14.4" x14ac:dyDescent="0.3">
      <c r="A111" s="5"/>
      <c r="B111" s="221" t="s">
        <v>2033</v>
      </c>
      <c r="C111" s="223" t="s">
        <v>2034</v>
      </c>
      <c r="D111" s="226" t="s">
        <v>2035</v>
      </c>
      <c r="E111" s="395"/>
      <c r="F111" s="396"/>
      <c r="G111" s="397"/>
      <c r="H111" s="398"/>
      <c r="I111" s="397"/>
      <c r="J111" s="398"/>
      <c r="K111" s="397"/>
      <c r="L111" s="398"/>
      <c r="M111" s="397"/>
      <c r="N111" s="400" t="s">
        <v>2038</v>
      </c>
      <c r="O111" s="884"/>
      <c r="P111" s="904"/>
      <c r="Q111" s="885"/>
      <c r="R111" s="162"/>
      <c r="S111" s="5"/>
      <c r="V111" s="3"/>
    </row>
    <row r="112" spans="1:22" s="4" customFormat="1" ht="14.4" x14ac:dyDescent="0.3">
      <c r="A112" s="5"/>
      <c r="B112" s="524" t="s">
        <v>2048</v>
      </c>
      <c r="C112" s="540"/>
      <c r="D112" s="534"/>
      <c r="E112" s="541"/>
      <c r="F112" s="535"/>
      <c r="G112" s="536"/>
      <c r="H112" s="537"/>
      <c r="I112" s="537"/>
      <c r="J112" s="537"/>
      <c r="K112" s="537"/>
      <c r="L112" s="536"/>
      <c r="M112" s="538"/>
      <c r="N112" s="539"/>
      <c r="O112" s="884"/>
      <c r="P112" s="904"/>
      <c r="Q112" s="885"/>
      <c r="R112" s="162"/>
      <c r="S112" s="5"/>
      <c r="V112" s="3"/>
    </row>
    <row r="113" spans="1:22" s="4" customFormat="1" ht="14.4" x14ac:dyDescent="0.3">
      <c r="A113" s="5"/>
      <c r="B113" s="524" t="s">
        <v>2049</v>
      </c>
      <c r="C113" s="540"/>
      <c r="D113" s="534"/>
      <c r="E113" s="541"/>
      <c r="F113" s="535"/>
      <c r="G113" s="536"/>
      <c r="H113" s="537"/>
      <c r="I113" s="537"/>
      <c r="J113" s="537"/>
      <c r="K113" s="537"/>
      <c r="L113" s="536"/>
      <c r="M113" s="538"/>
      <c r="N113" s="539"/>
      <c r="O113" s="884"/>
      <c r="P113" s="904"/>
      <c r="Q113" s="885"/>
      <c r="R113" s="162"/>
      <c r="S113" s="5"/>
      <c r="V113" s="3"/>
    </row>
    <row r="114" spans="1:22" s="4" customFormat="1" ht="14.4" x14ac:dyDescent="0.3">
      <c r="A114" s="5"/>
      <c r="B114" s="905" t="s">
        <v>2234</v>
      </c>
      <c r="C114" s="5"/>
      <c r="D114" s="159"/>
      <c r="E114" s="102"/>
      <c r="F114" s="160"/>
      <c r="G114" s="161"/>
      <c r="H114" s="5"/>
      <c r="I114" s="5"/>
      <c r="J114" s="162"/>
      <c r="K114" s="161"/>
      <c r="L114" s="161"/>
      <c r="M114" s="161"/>
      <c r="N114" s="161"/>
      <c r="O114" s="884"/>
      <c r="P114" s="904"/>
      <c r="Q114" s="885"/>
      <c r="R114" s="162"/>
      <c r="S114" s="5"/>
      <c r="V114" s="3"/>
    </row>
    <row r="115" spans="1:22" s="4" customFormat="1" ht="14.4" x14ac:dyDescent="0.3">
      <c r="A115" s="5"/>
      <c r="B115" s="174"/>
      <c r="C115" s="5"/>
      <c r="D115" s="159"/>
      <c r="E115" s="102"/>
      <c r="F115" s="160"/>
      <c r="G115" s="161"/>
      <c r="H115" s="5"/>
      <c r="I115" s="5"/>
      <c r="J115" s="162"/>
      <c r="K115" s="161"/>
      <c r="L115" s="161"/>
      <c r="M115" s="161"/>
      <c r="N115" s="161"/>
      <c r="O115" s="884"/>
      <c r="P115" s="904"/>
      <c r="Q115" s="885"/>
      <c r="R115" s="162"/>
      <c r="S115" s="5"/>
      <c r="V115" s="3"/>
    </row>
    <row r="116" spans="1:22" s="4" customFormat="1" ht="14.4" x14ac:dyDescent="0.3">
      <c r="A116" s="5"/>
      <c r="B116" s="174"/>
      <c r="C116" s="5"/>
      <c r="D116" s="159"/>
      <c r="E116" s="102"/>
      <c r="F116" s="160"/>
      <c r="G116" s="161"/>
      <c r="H116" s="5"/>
      <c r="I116" s="5"/>
      <c r="J116" s="162"/>
      <c r="K116" s="161"/>
      <c r="L116" s="161"/>
      <c r="M116" s="161"/>
      <c r="N116" s="161"/>
      <c r="O116" s="884"/>
      <c r="P116" s="904"/>
      <c r="Q116" s="885"/>
      <c r="R116" s="162"/>
      <c r="S116" s="5"/>
      <c r="V116" s="3"/>
    </row>
    <row r="117" spans="1:22" s="4" customFormat="1" ht="14.4" x14ac:dyDescent="0.3">
      <c r="A117" s="5"/>
      <c r="B117" s="885"/>
      <c r="C117" s="885"/>
      <c r="D117" s="885"/>
      <c r="E117" s="885"/>
      <c r="F117" s="885"/>
      <c r="G117" s="885"/>
      <c r="H117" s="885"/>
      <c r="I117" s="885"/>
      <c r="J117" s="885"/>
      <c r="K117" s="885"/>
      <c r="L117" s="885"/>
      <c r="M117" s="885"/>
      <c r="N117" s="885"/>
      <c r="O117" s="884"/>
      <c r="P117" s="904"/>
      <c r="Q117" s="885"/>
      <c r="R117" s="162"/>
      <c r="S117" s="5"/>
      <c r="V117" s="3"/>
    </row>
    <row r="118" spans="1:22" s="4" customFormat="1" ht="14.4" x14ac:dyDescent="0.3">
      <c r="A118" s="5"/>
      <c r="B118" s="885"/>
      <c r="C118" s="885"/>
      <c r="D118" s="885"/>
      <c r="E118" s="885"/>
      <c r="F118" s="885"/>
      <c r="G118" s="885"/>
      <c r="H118" s="885"/>
      <c r="I118" s="885"/>
      <c r="J118" s="885"/>
      <c r="K118" s="885"/>
      <c r="L118" s="885"/>
      <c r="M118" s="885"/>
      <c r="N118" s="885"/>
      <c r="O118" s="884"/>
      <c r="P118" s="904"/>
      <c r="Q118" s="885"/>
      <c r="R118" s="162"/>
      <c r="S118" s="5"/>
      <c r="V118" s="3"/>
    </row>
    <row r="119" spans="1:22" s="4" customFormat="1" ht="14.4" x14ac:dyDescent="0.3">
      <c r="A119" s="5"/>
      <c r="B119" s="885"/>
      <c r="C119" s="885"/>
      <c r="D119" s="885"/>
      <c r="E119" s="885"/>
      <c r="F119" s="885"/>
      <c r="G119" s="885"/>
      <c r="H119" s="885"/>
      <c r="I119" s="885"/>
      <c r="J119" s="885"/>
      <c r="K119" s="885"/>
      <c r="L119" s="885"/>
      <c r="M119" s="885"/>
      <c r="N119" s="885"/>
      <c r="O119" s="884"/>
      <c r="P119" s="904"/>
      <c r="Q119" s="885"/>
      <c r="R119" s="162"/>
      <c r="S119" s="5"/>
      <c r="V119" s="3"/>
    </row>
    <row r="120" spans="1:22" s="4" customFormat="1" ht="14.4" x14ac:dyDescent="0.3">
      <c r="A120" s="5"/>
      <c r="B120" s="885"/>
      <c r="C120" s="885"/>
      <c r="D120" s="885"/>
      <c r="E120" s="885"/>
      <c r="F120" s="885"/>
      <c r="G120" s="885"/>
      <c r="H120" s="885"/>
      <c r="I120" s="885"/>
      <c r="J120" s="885"/>
      <c r="K120" s="885"/>
      <c r="L120" s="885"/>
      <c r="M120" s="885"/>
      <c r="N120" s="885"/>
      <c r="O120" s="884"/>
      <c r="P120" s="904"/>
      <c r="Q120" s="885"/>
      <c r="R120" s="162"/>
      <c r="S120" s="5"/>
      <c r="V120" s="3"/>
    </row>
    <row r="121" spans="1:22" s="4" customFormat="1" ht="14.4" x14ac:dyDescent="0.3">
      <c r="A121" s="5"/>
      <c r="B121" s="174"/>
      <c r="C121" s="5"/>
      <c r="D121" s="159"/>
      <c r="E121" s="102"/>
      <c r="F121" s="160"/>
      <c r="G121" s="161"/>
      <c r="H121" s="5"/>
      <c r="I121" s="5"/>
      <c r="J121" s="162"/>
      <c r="K121" s="161"/>
      <c r="L121" s="161"/>
      <c r="M121" s="161"/>
      <c r="N121" s="161"/>
      <c r="O121" s="884"/>
      <c r="P121" s="904"/>
      <c r="Q121" s="884"/>
      <c r="R121" s="162"/>
      <c r="S121" s="5"/>
      <c r="V121" s="3"/>
    </row>
    <row r="122" spans="1:22" s="4" customFormat="1" ht="14.4" x14ac:dyDescent="0.3">
      <c r="A122" s="5"/>
      <c r="B122" s="174"/>
      <c r="C122" s="5"/>
      <c r="D122" s="159"/>
      <c r="E122" s="102"/>
      <c r="F122" s="160"/>
      <c r="G122" s="161"/>
      <c r="H122" s="5"/>
      <c r="I122" s="5"/>
      <c r="J122" s="162"/>
      <c r="K122" s="161"/>
      <c r="L122" s="161"/>
      <c r="M122" s="161"/>
      <c r="N122" s="161"/>
      <c r="O122" s="884"/>
      <c r="P122" s="904"/>
      <c r="Q122" s="884"/>
      <c r="R122" s="162"/>
      <c r="S122" s="5"/>
      <c r="V122" s="3"/>
    </row>
    <row r="123" spans="1:22" s="4" customFormat="1" ht="14.4" hidden="1" x14ac:dyDescent="0.3">
      <c r="A123" s="5"/>
      <c r="B123" s="399" t="s">
        <v>2052</v>
      </c>
      <c r="C123" s="159"/>
      <c r="D123" s="159"/>
      <c r="E123" s="102"/>
      <c r="F123" s="160"/>
      <c r="G123" s="161"/>
      <c r="H123" s="5"/>
      <c r="I123" s="5"/>
      <c r="J123" s="162"/>
      <c r="K123" s="161"/>
      <c r="L123" s="161"/>
      <c r="M123" s="161"/>
      <c r="N123" s="161"/>
      <c r="O123" s="161"/>
      <c r="P123" s="161"/>
      <c r="Q123" s="161"/>
      <c r="R123" s="162"/>
      <c r="S123" s="5"/>
      <c r="V123" s="3"/>
    </row>
    <row r="124" spans="1:22" s="4" customFormat="1" ht="14.4" hidden="1" x14ac:dyDescent="0.3">
      <c r="A124" s="5"/>
      <c r="B124" s="221" t="s">
        <v>2033</v>
      </c>
      <c r="C124" s="223" t="s">
        <v>2034</v>
      </c>
      <c r="D124" s="226" t="s">
        <v>2035</v>
      </c>
      <c r="E124" s="395"/>
      <c r="F124" s="396"/>
      <c r="G124" s="397"/>
      <c r="H124" s="398"/>
      <c r="I124" s="397"/>
      <c r="J124" s="398"/>
      <c r="K124" s="397"/>
      <c r="L124" s="398"/>
      <c r="M124" s="397"/>
      <c r="N124" s="400" t="s">
        <v>2038</v>
      </c>
      <c r="O124" s="161"/>
      <c r="P124" s="161"/>
      <c r="Q124" s="161"/>
      <c r="R124" s="162"/>
      <c r="S124" s="5"/>
      <c r="V124" s="3"/>
    </row>
    <row r="125" spans="1:22" s="4" customFormat="1" ht="14.4" hidden="1" x14ac:dyDescent="0.3">
      <c r="A125" s="5"/>
      <c r="B125" s="524" t="s">
        <v>2051</v>
      </c>
      <c r="C125" s="540"/>
      <c r="D125" s="534"/>
      <c r="E125" s="541"/>
      <c r="F125" s="535"/>
      <c r="G125" s="536"/>
      <c r="H125" s="537"/>
      <c r="I125" s="537"/>
      <c r="J125" s="537"/>
      <c r="K125" s="537"/>
      <c r="L125" s="536"/>
      <c r="M125" s="538"/>
      <c r="N125" s="539"/>
      <c r="O125" s="161"/>
      <c r="P125" s="161"/>
      <c r="Q125" s="161"/>
      <c r="R125" s="162"/>
      <c r="S125" s="5"/>
      <c r="V125" s="3"/>
    </row>
    <row r="126" spans="1:22" s="4" customFormat="1" ht="14.4" hidden="1" x14ac:dyDescent="0.25">
      <c r="A126" s="5"/>
      <c r="B126" s="556" t="s">
        <v>2050</v>
      </c>
      <c r="C126" s="5"/>
      <c r="D126" s="159"/>
      <c r="E126" s="102"/>
      <c r="F126" s="160"/>
      <c r="G126" s="161"/>
      <c r="H126" s="5"/>
      <c r="I126" s="5"/>
      <c r="J126" s="162"/>
      <c r="K126" s="161"/>
      <c r="L126" s="161"/>
      <c r="M126" s="161"/>
      <c r="N126" s="161"/>
      <c r="O126" s="161"/>
      <c r="P126" s="161"/>
      <c r="Q126" s="161"/>
      <c r="R126" s="162"/>
      <c r="S126" s="5"/>
      <c r="V126" s="3"/>
    </row>
    <row r="127" spans="1:22" s="4" customFormat="1" ht="14.4" hidden="1" x14ac:dyDescent="0.3">
      <c r="A127" s="5"/>
      <c r="B127" s="174"/>
      <c r="C127" s="5"/>
      <c r="D127" s="159"/>
      <c r="E127" s="102"/>
      <c r="F127" s="160"/>
      <c r="G127" s="161"/>
      <c r="H127" s="5"/>
      <c r="I127" s="5"/>
      <c r="J127" s="162"/>
      <c r="K127" s="161"/>
      <c r="L127" s="161"/>
      <c r="M127" s="161"/>
      <c r="N127" s="161"/>
      <c r="O127" s="161"/>
      <c r="P127" s="161"/>
      <c r="Q127" s="161"/>
      <c r="R127" s="162"/>
      <c r="S127" s="5"/>
      <c r="V127" s="3"/>
    </row>
  </sheetData>
  <sheetProtection algorithmName="SHA-512" hashValue="2yxYEqgS6TLUvVgXT48jIQZ4qAsJBjaPiBkGySzpN1P89ZR8FsW0DDfPEbfFOqiDHbB+1q9FQyJPQ6ga7ntaZw==" saltValue="KO+tpFRltwy6hXqDyu3c+w==" spinCount="100000" sheet="1" objects="1" scenarios="1"/>
  <mergeCells count="1">
    <mergeCell ref="D33:L33"/>
  </mergeCells>
  <phoneticPr fontId="43" type="noConversion"/>
  <hyperlinks>
    <hyperlink ref="B126" r:id="rId1" location="National-Tariff-Payment-System" xr:uid="{C98480D8-B6C2-404B-BE28-FDEF49837074}"/>
    <hyperlink ref="B108" r:id="rId2" location="National-Tariff-Payment-System" display="Based on 2023-25 NHS England national tariff payment system –  24-25 prices" xr:uid="{97994BD2-8184-48C9-B7FF-4CA27B0F8E90}"/>
    <hyperlink ref="B106" r:id="rId3" display="Drug costs from eMIT: online [accessed 09.12.22]" xr:uid="{32DF3186-2B57-41DD-80D4-464616A43816}"/>
    <hyperlink ref="B107" r:id="rId4" display="Drug costs from BNF: online [accessed 22.08.23]" xr:uid="{B33EFDBD-F761-4DA3-94F8-5C06CF5AACCD}"/>
    <hyperlink ref="B73" r:id="rId5" xr:uid="{F33B51F1-134B-4F77-8ABE-A3C71751FE75}"/>
    <hyperlink ref="B89" r:id="rId6" xr:uid="{A8CEFDB0-A963-4EBB-A70D-E01A20EB4A64}"/>
    <hyperlink ref="B114" r:id="rId7" display="Administration cost as per NHS England 2025/26 NHS Payment Scheme" xr:uid="{139F970C-30F6-47D6-AA70-E3D692F66974}"/>
    <hyperlink ref="B55" r:id="rId8" display="Administration cost as per NHS England 2025/26 NHS Payment Scheme" xr:uid="{8801EE5E-4AAF-42A4-B5E1-BC445692066C}"/>
    <hyperlink ref="B58" r:id="rId9" xr:uid="{DA19E816-52A0-4540-969C-CAAC0F8568CD}"/>
    <hyperlink ref="B37" r:id="rId10" xr:uid="{1D0CD866-BA31-4030-AA78-C4C28925623E}"/>
  </hyperlinks>
  <pageMargins left="0.70866141732283472" right="0.70866141732283472" top="0.74803149606299213" bottom="0.74803149606299213" header="0.31496062992125984" footer="0.31496062992125984"/>
  <pageSetup paperSize="9" scale="35" orientation="portrait"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5"/>
  <sheetViews>
    <sheetView showGridLines="0" zoomScale="90" zoomScaleNormal="90" zoomScaleSheetLayoutView="80" workbookViewId="0">
      <selection activeCell="I39" sqref="I39"/>
    </sheetView>
  </sheetViews>
  <sheetFormatPr defaultColWidth="8.88671875" defaultRowHeight="14.4" x14ac:dyDescent="0.3"/>
  <cols>
    <col min="1" max="1" width="3.5546875" customWidth="1"/>
    <col min="2" max="2" width="53.88671875" style="1" customWidth="1"/>
    <col min="3" max="3" width="11.5546875" style="1" customWidth="1"/>
    <col min="4" max="8" width="11.5546875" customWidth="1"/>
    <col min="9" max="9" width="44.44140625" customWidth="1"/>
    <col min="10" max="10" width="11.5546875" customWidth="1"/>
    <col min="11" max="11" width="1.44140625" customWidth="1"/>
  </cols>
  <sheetData>
    <row r="1" spans="2:10" ht="30" customHeight="1" x14ac:dyDescent="0.3">
      <c r="B1" s="451" t="str">
        <f>'Inputs and population'!B1</f>
        <v>Durvalumab with tremelimumab for untreated advanced or unresectable hepatocellular carcinoma</v>
      </c>
      <c r="C1" s="132"/>
      <c r="D1" s="129"/>
      <c r="E1" s="129"/>
      <c r="F1" s="129"/>
      <c r="G1" s="129"/>
      <c r="H1" s="129"/>
      <c r="I1" s="129"/>
      <c r="J1" s="129"/>
    </row>
    <row r="2" spans="2:10" ht="30" customHeight="1" x14ac:dyDescent="0.3">
      <c r="B2" s="337" t="s">
        <v>1848</v>
      </c>
      <c r="C2" s="129"/>
      <c r="E2" s="115" t="s">
        <v>1893</v>
      </c>
      <c r="F2" s="115" t="s">
        <v>1893</v>
      </c>
      <c r="G2" s="115" t="s">
        <v>1893</v>
      </c>
      <c r="H2" s="115" t="s">
        <v>1893</v>
      </c>
      <c r="I2" s="115" t="s">
        <v>1893</v>
      </c>
      <c r="J2" s="129"/>
    </row>
    <row r="3" spans="2:10" x14ac:dyDescent="0.3">
      <c r="B3" s="118" t="s">
        <v>1893</v>
      </c>
      <c r="C3" s="118"/>
      <c r="D3" s="121" t="s">
        <v>1893</v>
      </c>
      <c r="E3" s="121" t="s">
        <v>1893</v>
      </c>
      <c r="F3" s="121" t="s">
        <v>1893</v>
      </c>
      <c r="G3" s="121" t="s">
        <v>1893</v>
      </c>
      <c r="H3" s="121" t="s">
        <v>1893</v>
      </c>
      <c r="I3" s="121" t="s">
        <v>1893</v>
      </c>
      <c r="J3" s="129"/>
    </row>
    <row r="4" spans="2:10" ht="43.2" x14ac:dyDescent="0.3">
      <c r="B4" s="233" t="s">
        <v>2053</v>
      </c>
      <c r="C4" s="215" t="s">
        <v>2004</v>
      </c>
      <c r="D4" s="245" t="s">
        <v>1885</v>
      </c>
      <c r="E4" s="245" t="s">
        <v>1886</v>
      </c>
      <c r="F4" s="246" t="s">
        <v>2054</v>
      </c>
      <c r="G4" s="246" t="s">
        <v>2055</v>
      </c>
      <c r="H4" s="245" t="s">
        <v>2056</v>
      </c>
      <c r="J4" s="129"/>
    </row>
    <row r="5" spans="2:10" s="136" customFormat="1" x14ac:dyDescent="0.3">
      <c r="B5" s="154" t="s">
        <v>2057</v>
      </c>
      <c r="C5" s="116">
        <f>'Inputs and population'!E31</f>
        <v>1177.6867008390193</v>
      </c>
      <c r="D5" s="116">
        <f>'Inputs and population'!F31</f>
        <v>1188.0395320269201</v>
      </c>
      <c r="E5" s="116">
        <f>'Inputs and population'!G31</f>
        <v>1198.4833730848727</v>
      </c>
      <c r="F5" s="116">
        <f>'Inputs and population'!H31</f>
        <v>1209.0190240642155</v>
      </c>
      <c r="G5" s="116">
        <f>'Inputs and population'!I31</f>
        <v>1219.6472920493936</v>
      </c>
      <c r="H5" s="116">
        <f>'Inputs and population'!J31</f>
        <v>1230.368991219786</v>
      </c>
      <c r="I5"/>
      <c r="J5" s="129"/>
    </row>
    <row r="6" spans="2:10" x14ac:dyDescent="0.3">
      <c r="B6" s="235" t="s">
        <v>2249</v>
      </c>
      <c r="C6" s="448">
        <f>'Inputs and population'!D35</f>
        <v>0</v>
      </c>
      <c r="D6" s="448">
        <f>'Inputs and population'!E35</f>
        <v>7.4999999999999997E-2</v>
      </c>
      <c r="E6" s="448">
        <f>'Inputs and population'!F35</f>
        <v>0.15</v>
      </c>
      <c r="F6" s="448">
        <f>'Inputs and population'!G35</f>
        <v>0.15</v>
      </c>
      <c r="G6" s="448">
        <f>'Inputs and population'!H35</f>
        <v>0.15</v>
      </c>
      <c r="H6" s="448">
        <f>'Inputs and population'!I35</f>
        <v>0.15</v>
      </c>
      <c r="J6" s="129"/>
    </row>
    <row r="7" spans="2:10" x14ac:dyDescent="0.3">
      <c r="B7" s="154" t="s">
        <v>2244</v>
      </c>
      <c r="C7" s="116">
        <f>'Financial impact (cash)'!D13</f>
        <v>0</v>
      </c>
      <c r="D7" s="116">
        <f>'Financial impact (cash)'!E13</f>
        <v>89.102964902019011</v>
      </c>
      <c r="E7" s="116">
        <f>'Financial impact (cash)'!F13</f>
        <v>179.77250596273089</v>
      </c>
      <c r="F7" s="116">
        <f>'Financial impact (cash)'!G13</f>
        <v>181.35285360963232</v>
      </c>
      <c r="G7" s="116">
        <f>'Financial impact (cash)'!H13</f>
        <v>182.94709380740903</v>
      </c>
      <c r="H7" s="116">
        <f>'Financial impact (cash)'!I13</f>
        <v>184.55534868296789</v>
      </c>
      <c r="J7" s="121"/>
    </row>
    <row r="8" spans="2:10" ht="14.4" customHeight="1" x14ac:dyDescent="0.3">
      <c r="B8" s="219"/>
      <c r="C8" s="219"/>
      <c r="D8" s="121"/>
      <c r="E8" s="121"/>
      <c r="F8" s="121"/>
      <c r="G8" s="121"/>
      <c r="H8" s="121"/>
      <c r="J8" s="121"/>
    </row>
    <row r="9" spans="2:10" ht="43.2" x14ac:dyDescent="0.3">
      <c r="B9" s="240" t="s">
        <v>2058</v>
      </c>
      <c r="C9" s="215" t="s">
        <v>2004</v>
      </c>
      <c r="D9" s="245" t="s">
        <v>1885</v>
      </c>
      <c r="E9" s="245" t="s">
        <v>1886</v>
      </c>
      <c r="F9" s="246" t="s">
        <v>2054</v>
      </c>
      <c r="G9" s="246" t="s">
        <v>2055</v>
      </c>
      <c r="H9" s="245" t="s">
        <v>2056</v>
      </c>
      <c r="J9" s="121"/>
    </row>
    <row r="10" spans="2:10" x14ac:dyDescent="0.3">
      <c r="B10" s="137" t="s">
        <v>2249</v>
      </c>
      <c r="C10" s="116">
        <f>'Inputs and population'!D35*C$5</f>
        <v>0</v>
      </c>
      <c r="D10" s="116">
        <f>'Inputs and population'!E35*D$5</f>
        <v>89.102964902019011</v>
      </c>
      <c r="E10" s="116">
        <f>'Inputs and population'!F35*E$5</f>
        <v>179.77250596273089</v>
      </c>
      <c r="F10" s="116">
        <f>'Inputs and population'!G35*F$5</f>
        <v>181.35285360963232</v>
      </c>
      <c r="G10" s="116">
        <f>'Inputs and population'!H35*G$5</f>
        <v>182.94709380740903</v>
      </c>
      <c r="H10" s="116">
        <f>'Inputs and population'!I35*H$5</f>
        <v>184.55534868296789</v>
      </c>
      <c r="J10" s="121"/>
    </row>
    <row r="11" spans="2:10" x14ac:dyDescent="0.3">
      <c r="B11" s="137" t="s">
        <v>2213</v>
      </c>
      <c r="C11" s="116">
        <f>'Inputs and population'!D36*C$5</f>
        <v>683.05828648663112</v>
      </c>
      <c r="D11" s="116">
        <f>'Inputs and population'!E36*D$5</f>
        <v>659.36194027494071</v>
      </c>
      <c r="E11" s="116">
        <f>'Inputs and population'!F36*E$5</f>
        <v>635.19618773498257</v>
      </c>
      <c r="F11" s="116">
        <f>'Inputs and population'!G36*F$5</f>
        <v>640.7800827540342</v>
      </c>
      <c r="G11" s="116">
        <f>'Inputs and population'!H36*G$5</f>
        <v>646.41306478617867</v>
      </c>
      <c r="H11" s="116">
        <f>'Inputs and population'!I36*H$5</f>
        <v>652.09556534648664</v>
      </c>
      <c r="J11" s="121"/>
    </row>
    <row r="12" spans="2:10" x14ac:dyDescent="0.3">
      <c r="B12" s="137" t="s">
        <v>2214</v>
      </c>
      <c r="C12" s="116">
        <f>'Inputs and population'!D37*C$5</f>
        <v>223.76047315941366</v>
      </c>
      <c r="D12" s="116">
        <f>'Inputs and population'!E37*D$5</f>
        <v>196.02652278444182</v>
      </c>
      <c r="E12" s="116">
        <f>'Inputs and population'!F37*E$5</f>
        <v>167.7876722318822</v>
      </c>
      <c r="F12" s="116">
        <f>'Inputs and population'!G37*F$5</f>
        <v>169.26266336899019</v>
      </c>
      <c r="G12" s="116">
        <f>'Inputs and population'!H37*G$5</f>
        <v>170.75062088691513</v>
      </c>
      <c r="H12" s="116">
        <f>'Inputs and population'!I37*H$5</f>
        <v>172.25165877077006</v>
      </c>
      <c r="J12" s="121"/>
    </row>
    <row r="13" spans="2:10" x14ac:dyDescent="0.3">
      <c r="B13" s="137" t="s">
        <v>2215</v>
      </c>
      <c r="C13" s="116">
        <f>'Inputs and population'!D38*C$5</f>
        <v>270.86794119297446</v>
      </c>
      <c r="D13" s="116">
        <f>'Inputs and population'!E38*D$5</f>
        <v>243.5481040655186</v>
      </c>
      <c r="E13" s="116">
        <f>'Inputs and population'!F38*E$5</f>
        <v>215.72700715527708</v>
      </c>
      <c r="F13" s="116">
        <f>'Inputs and population'!G38*F$5</f>
        <v>217.62342433155879</v>
      </c>
      <c r="G13" s="116">
        <f>'Inputs and population'!H38*G$5</f>
        <v>219.53651256889086</v>
      </c>
      <c r="H13" s="116">
        <f>'Inputs and population'!I38*H$5</f>
        <v>221.46641841956148</v>
      </c>
      <c r="J13" s="121"/>
    </row>
    <row r="14" spans="2:10" x14ac:dyDescent="0.3">
      <c r="B14" s="839"/>
      <c r="C14" s="163">
        <f t="shared" ref="C14:H14" si="0">SUM(C10:C13)</f>
        <v>1177.6867008390193</v>
      </c>
      <c r="D14" s="163">
        <f t="shared" si="0"/>
        <v>1188.0395320269201</v>
      </c>
      <c r="E14" s="163">
        <f t="shared" si="0"/>
        <v>1198.4833730848727</v>
      </c>
      <c r="F14" s="163">
        <f t="shared" si="0"/>
        <v>1209.0190240642155</v>
      </c>
      <c r="G14" s="163">
        <f t="shared" si="0"/>
        <v>1219.6472920493936</v>
      </c>
      <c r="H14" s="163">
        <f t="shared" si="0"/>
        <v>1230.368991219786</v>
      </c>
      <c r="J14" s="121"/>
    </row>
    <row r="15" spans="2:10" ht="15" thickBot="1" x14ac:dyDescent="0.35">
      <c r="B15" s="433"/>
      <c r="C15" s="433"/>
      <c r="D15" s="434"/>
      <c r="E15" s="434"/>
      <c r="F15" s="434"/>
      <c r="G15" s="434"/>
      <c r="H15" s="434"/>
      <c r="I15" s="435"/>
      <c r="J15" s="121"/>
    </row>
    <row r="16" spans="2:10" x14ac:dyDescent="0.3">
      <c r="B16" s="242"/>
      <c r="C16" s="242"/>
      <c r="D16" s="304"/>
      <c r="E16" s="304"/>
      <c r="F16" s="304"/>
      <c r="G16" s="304"/>
      <c r="H16" s="304"/>
      <c r="I16" s="121"/>
      <c r="J16" s="121"/>
    </row>
    <row r="17" spans="1:10" ht="43.2" x14ac:dyDescent="0.3">
      <c r="B17" s="236" t="s">
        <v>2059</v>
      </c>
      <c r="C17" s="215" t="s">
        <v>2004</v>
      </c>
      <c r="D17" s="245" t="s">
        <v>1885</v>
      </c>
      <c r="E17" s="245" t="s">
        <v>1886</v>
      </c>
      <c r="F17" s="246" t="s">
        <v>2054</v>
      </c>
      <c r="G17" s="246" t="s">
        <v>2055</v>
      </c>
      <c r="H17" s="245" t="s">
        <v>2056</v>
      </c>
      <c r="I17" s="121"/>
      <c r="J17" s="121"/>
    </row>
    <row r="18" spans="1:10" x14ac:dyDescent="0.3">
      <c r="B18" s="267" t="s">
        <v>2060</v>
      </c>
      <c r="C18" s="560" t="s">
        <v>2061</v>
      </c>
      <c r="D18" s="560" t="s">
        <v>2061</v>
      </c>
      <c r="E18" s="560" t="s">
        <v>2061</v>
      </c>
      <c r="F18" s="560" t="s">
        <v>2061</v>
      </c>
      <c r="G18" s="560" t="s">
        <v>2061</v>
      </c>
      <c r="H18" s="560" t="s">
        <v>2061</v>
      </c>
      <c r="I18" s="121"/>
      <c r="J18" s="121"/>
    </row>
    <row r="19" spans="1:10" x14ac:dyDescent="0.3">
      <c r="B19" s="241" t="s">
        <v>2062</v>
      </c>
      <c r="C19" s="228">
        <f>'Financial impact (cash)'!D24</f>
        <v>0</v>
      </c>
      <c r="D19" s="228">
        <f>'Financial impact (cash)'!E24</f>
        <v>0</v>
      </c>
      <c r="E19" s="228">
        <f>'Financial impact (cash)'!F24</f>
        <v>0</v>
      </c>
      <c r="F19" s="228">
        <f>'Financial impact (cash)'!G24</f>
        <v>0</v>
      </c>
      <c r="G19" s="228">
        <f>'Financial impact (cash)'!H24</f>
        <v>0</v>
      </c>
      <c r="H19" s="228">
        <f>'Financial impact (cash)'!I24</f>
        <v>0</v>
      </c>
      <c r="I19" s="121"/>
      <c r="J19" s="121"/>
    </row>
    <row r="20" spans="1:10" x14ac:dyDescent="0.3">
      <c r="C20" s="825"/>
      <c r="D20" s="177">
        <f>D19-$C$19</f>
        <v>0</v>
      </c>
      <c r="E20" s="177">
        <f>E19-$C$19</f>
        <v>0</v>
      </c>
      <c r="F20" s="177">
        <f>F19-$C$19</f>
        <v>0</v>
      </c>
      <c r="G20" s="177">
        <f>G19-$C$19</f>
        <v>0</v>
      </c>
      <c r="H20" s="177">
        <f>H19-$C$19</f>
        <v>0</v>
      </c>
      <c r="I20" s="401" t="s">
        <v>2063</v>
      </c>
      <c r="J20" s="121"/>
    </row>
    <row r="21" spans="1:10" x14ac:dyDescent="0.3">
      <c r="C21" s="80"/>
      <c r="D21" s="177">
        <f>D19-C19</f>
        <v>0</v>
      </c>
      <c r="E21" s="177">
        <f>E19-D19</f>
        <v>0</v>
      </c>
      <c r="F21" s="177">
        <f>F19-E19</f>
        <v>0</v>
      </c>
      <c r="G21" s="177">
        <f>G19-F19</f>
        <v>0</v>
      </c>
      <c r="H21" s="177">
        <f>H19-G19</f>
        <v>0</v>
      </c>
      <c r="I21" s="401" t="s">
        <v>2064</v>
      </c>
      <c r="J21" s="121"/>
    </row>
    <row r="22" spans="1:10" x14ac:dyDescent="0.3">
      <c r="B22" s="242"/>
      <c r="C22" s="242"/>
      <c r="D22" s="361"/>
      <c r="E22" s="361"/>
      <c r="F22" s="361"/>
      <c r="G22" s="361"/>
      <c r="H22" s="361"/>
      <c r="J22" s="121"/>
    </row>
    <row r="23" spans="1:10" x14ac:dyDescent="0.3">
      <c r="B23" t="s">
        <v>2065</v>
      </c>
      <c r="C23" s="242"/>
      <c r="D23" s="361"/>
      <c r="E23" s="361"/>
      <c r="F23" s="361"/>
      <c r="G23" s="361"/>
      <c r="H23" s="361"/>
      <c r="J23" s="121"/>
    </row>
    <row r="24" spans="1:10" x14ac:dyDescent="0.3">
      <c r="B24" s="512" t="s">
        <v>15</v>
      </c>
      <c r="C24" s="242"/>
      <c r="D24" s="361"/>
      <c r="E24" s="361"/>
      <c r="F24" s="361"/>
      <c r="G24" s="361"/>
      <c r="H24" s="361"/>
      <c r="J24" s="121"/>
    </row>
    <row r="25" spans="1:10" x14ac:dyDescent="0.3">
      <c r="B25" s="242"/>
      <c r="C25" s="242"/>
      <c r="D25" s="361"/>
      <c r="E25" s="361"/>
      <c r="F25" s="361"/>
      <c r="G25" s="361"/>
      <c r="H25" s="361"/>
      <c r="J25" s="121"/>
    </row>
    <row r="26" spans="1:10" ht="43.2" x14ac:dyDescent="0.3">
      <c r="A26" s="361"/>
      <c r="B26" s="236" t="s">
        <v>2066</v>
      </c>
      <c r="C26" s="215" t="s">
        <v>2004</v>
      </c>
      <c r="D26" s="245" t="s">
        <v>1885</v>
      </c>
      <c r="E26" s="245" t="s">
        <v>1886</v>
      </c>
      <c r="F26" s="246" t="s">
        <v>2054</v>
      </c>
      <c r="G26" s="246" t="s">
        <v>2055</v>
      </c>
      <c r="H26" s="245" t="s">
        <v>2056</v>
      </c>
      <c r="J26" s="121"/>
    </row>
    <row r="27" spans="1:10" x14ac:dyDescent="0.3">
      <c r="A27" s="361"/>
      <c r="B27" s="267" t="s">
        <v>2067</v>
      </c>
      <c r="C27" s="560" t="s">
        <v>2061</v>
      </c>
      <c r="D27" s="560" t="s">
        <v>2061</v>
      </c>
      <c r="E27" s="560" t="s">
        <v>2061</v>
      </c>
      <c r="F27" s="560" t="s">
        <v>2061</v>
      </c>
      <c r="G27" s="560" t="s">
        <v>2061</v>
      </c>
      <c r="H27" s="560" t="s">
        <v>2061</v>
      </c>
      <c r="J27" s="121"/>
    </row>
    <row r="28" spans="1:10" x14ac:dyDescent="0.3">
      <c r="A28" s="361"/>
      <c r="B28" s="241" t="s">
        <v>2068</v>
      </c>
      <c r="C28" s="228">
        <f>IF($B$24="national prices",'Capacity (national prices)'!L27,IF($B$24="local prices",'Capacity (local prices)'!L27,0))</f>
        <v>2696.0546104967498</v>
      </c>
      <c r="D28" s="228">
        <f>IF($B$24="national prices",'Capacity (national prices)'!M27,IF($B$24="local prices",'Capacity (local prices)'!M27,0))</f>
        <v>2577.7398643189194</v>
      </c>
      <c r="E28" s="228">
        <f>IF($B$24="national prices",'Capacity (national prices)'!N27,IF($B$24="local prices",'Capacity (local prices)'!N27,0))</f>
        <v>2457.1366039154714</v>
      </c>
      <c r="F28" s="228">
        <f>IF($B$24="national prices",'Capacity (national prices)'!O27,IF($B$24="local prices",'Capacity (local prices)'!O27,0))</f>
        <v>2478.7368482315746</v>
      </c>
      <c r="G28" s="228">
        <f>IF($B$24="national prices",'Capacity (national prices)'!P27,IF($B$24="local prices",'Capacity (local prices)'!P27,0))</f>
        <v>2500.5269763961273</v>
      </c>
      <c r="H28" s="228">
        <f>IF($B$24="national prices",'Capacity (national prices)'!Q27,IF($B$24="local prices",'Capacity (local prices)'!Q27,0))</f>
        <v>2522.508657643762</v>
      </c>
      <c r="J28" s="121"/>
    </row>
    <row r="29" spans="1:10" x14ac:dyDescent="0.3">
      <c r="A29" s="361"/>
      <c r="C29" s="825"/>
      <c r="D29" s="177">
        <f>D28-$C$28</f>
        <v>-118.31474617783033</v>
      </c>
      <c r="E29" s="177">
        <f>E28-$C$28</f>
        <v>-238.91800658127841</v>
      </c>
      <c r="F29" s="177">
        <f>F28-$C$28</f>
        <v>-217.31776226517513</v>
      </c>
      <c r="G29" s="177">
        <f>G28-$C$28</f>
        <v>-195.52763410062244</v>
      </c>
      <c r="H29" s="177">
        <f>H28-$C$28</f>
        <v>-173.54595285298774</v>
      </c>
      <c r="I29" s="401" t="s">
        <v>2063</v>
      </c>
      <c r="J29" s="121"/>
    </row>
    <row r="30" spans="1:10" x14ac:dyDescent="0.3">
      <c r="A30" s="361"/>
      <c r="C30" s="80"/>
      <c r="D30" s="177">
        <f>D28-C28</f>
        <v>-118.31474617783033</v>
      </c>
      <c r="E30" s="177">
        <f>E28-D28</f>
        <v>-120.60326040344808</v>
      </c>
      <c r="F30" s="177">
        <f>F28-E28</f>
        <v>21.600244316103272</v>
      </c>
      <c r="G30" s="177">
        <f>G28-F28</f>
        <v>21.790128164552698</v>
      </c>
      <c r="H30" s="177">
        <f>H28-G28</f>
        <v>21.981681247634697</v>
      </c>
      <c r="I30" s="401" t="s">
        <v>2064</v>
      </c>
      <c r="J30" s="121"/>
    </row>
    <row r="31" spans="1:10" x14ac:dyDescent="0.3">
      <c r="A31" s="361"/>
      <c r="B31" s="361"/>
      <c r="C31" s="361"/>
      <c r="D31" s="361"/>
      <c r="E31" s="361"/>
      <c r="F31" s="361"/>
      <c r="G31" s="361"/>
      <c r="H31" s="361"/>
      <c r="J31" s="121"/>
    </row>
    <row r="32" spans="1:10" ht="43.2" x14ac:dyDescent="0.3">
      <c r="A32" s="361"/>
      <c r="B32" s="236" t="s">
        <v>2069</v>
      </c>
      <c r="C32" s="215" t="s">
        <v>2004</v>
      </c>
      <c r="D32" s="245" t="s">
        <v>1885</v>
      </c>
      <c r="E32" s="245" t="s">
        <v>1886</v>
      </c>
      <c r="F32" s="246" t="s">
        <v>2054</v>
      </c>
      <c r="G32" s="246" t="s">
        <v>2055</v>
      </c>
      <c r="H32" s="245" t="s">
        <v>2056</v>
      </c>
      <c r="J32" s="121"/>
    </row>
    <row r="33" spans="2:10" x14ac:dyDescent="0.3">
      <c r="B33" s="267"/>
      <c r="C33" s="560" t="s">
        <v>2061</v>
      </c>
      <c r="D33" s="560" t="s">
        <v>2061</v>
      </c>
      <c r="E33" s="560" t="s">
        <v>2061</v>
      </c>
      <c r="F33" s="560" t="s">
        <v>2061</v>
      </c>
      <c r="G33" s="560" t="s">
        <v>2061</v>
      </c>
      <c r="H33" s="560" t="s">
        <v>2061</v>
      </c>
      <c r="I33" s="121"/>
      <c r="J33" s="121"/>
    </row>
    <row r="34" spans="2:10" x14ac:dyDescent="0.3">
      <c r="B34" s="429" t="s">
        <v>2070</v>
      </c>
      <c r="C34" s="442">
        <f>C19+C28</f>
        <v>2696.0546104967498</v>
      </c>
      <c r="D34" s="442">
        <f t="shared" ref="D34:H34" si="1">D19+D28</f>
        <v>2577.7398643189194</v>
      </c>
      <c r="E34" s="442">
        <f t="shared" si="1"/>
        <v>2457.1366039154714</v>
      </c>
      <c r="F34" s="442">
        <f t="shared" si="1"/>
        <v>2478.7368482315746</v>
      </c>
      <c r="G34" s="442">
        <f t="shared" si="1"/>
        <v>2500.5269763961273</v>
      </c>
      <c r="H34" s="442">
        <f t="shared" si="1"/>
        <v>2522.508657643762</v>
      </c>
      <c r="I34" s="121"/>
      <c r="J34" s="121"/>
    </row>
    <row r="35" spans="2:10" x14ac:dyDescent="0.3">
      <c r="B35" s="428"/>
      <c r="C35" s="430"/>
      <c r="D35" s="431">
        <f>D34-$C$34</f>
        <v>-118.31474617783033</v>
      </c>
      <c r="E35" s="431">
        <f t="shared" ref="E35:H35" si="2">E34-$C$34</f>
        <v>-238.91800658127841</v>
      </c>
      <c r="F35" s="431">
        <f t="shared" si="2"/>
        <v>-217.31776226517513</v>
      </c>
      <c r="G35" s="431">
        <f t="shared" si="2"/>
        <v>-195.52763410062244</v>
      </c>
      <c r="H35" s="431">
        <f t="shared" si="2"/>
        <v>-173.54595285298774</v>
      </c>
      <c r="I35" s="401" t="s">
        <v>2063</v>
      </c>
      <c r="J35" s="121"/>
    </row>
    <row r="36" spans="2:10" x14ac:dyDescent="0.3">
      <c r="B36" s="428"/>
      <c r="C36" s="430"/>
      <c r="D36" s="432">
        <f>D34-C34</f>
        <v>-118.31474617783033</v>
      </c>
      <c r="E36" s="432">
        <f>E34-D34</f>
        <v>-120.60326040344808</v>
      </c>
      <c r="F36" s="432">
        <f>F34-E34</f>
        <v>21.600244316103272</v>
      </c>
      <c r="G36" s="432">
        <f>G34-F34</f>
        <v>21.790128164552698</v>
      </c>
      <c r="H36" s="432">
        <f>H34-G34</f>
        <v>21.981681247634697</v>
      </c>
      <c r="I36" s="401" t="s">
        <v>2064</v>
      </c>
      <c r="J36" s="121"/>
    </row>
    <row r="37" spans="2:10" ht="15" thickBot="1" x14ac:dyDescent="0.35">
      <c r="B37" s="433"/>
      <c r="C37" s="433"/>
      <c r="D37" s="434"/>
      <c r="E37" s="434"/>
      <c r="F37" s="434"/>
      <c r="G37" s="434"/>
      <c r="H37" s="434"/>
      <c r="I37" s="435"/>
      <c r="J37" s="121"/>
    </row>
    <row r="38" spans="2:10" x14ac:dyDescent="0.3">
      <c r="B38" s="242"/>
      <c r="C38" s="242"/>
      <c r="D38" s="304"/>
      <c r="E38" s="304"/>
      <c r="F38" s="304"/>
      <c r="G38" s="304"/>
      <c r="H38" s="304"/>
      <c r="I38" s="121"/>
      <c r="J38" s="121"/>
    </row>
    <row r="39" spans="2:10" ht="43.2" x14ac:dyDescent="0.3">
      <c r="B39" s="236" t="s">
        <v>2071</v>
      </c>
      <c r="C39" s="421"/>
      <c r="D39" s="245" t="s">
        <v>1885</v>
      </c>
      <c r="E39" s="245" t="s">
        <v>1886</v>
      </c>
      <c r="F39" s="246" t="s">
        <v>2054</v>
      </c>
      <c r="G39" s="246" t="s">
        <v>2055</v>
      </c>
      <c r="H39" s="245" t="s">
        <v>2056</v>
      </c>
      <c r="I39" s="121"/>
      <c r="J39" s="121"/>
    </row>
    <row r="40" spans="2:10" x14ac:dyDescent="0.3">
      <c r="B40" s="424"/>
      <c r="C40" s="422"/>
      <c r="D40" s="423"/>
      <c r="E40" s="423"/>
      <c r="F40" s="423"/>
      <c r="G40" s="423"/>
      <c r="H40" s="423"/>
      <c r="I40" s="121"/>
      <c r="J40" s="121"/>
    </row>
    <row r="41" spans="2:10" x14ac:dyDescent="0.3">
      <c r="B41" s="236" t="s">
        <v>2072</v>
      </c>
      <c r="C41" s="234"/>
      <c r="D41" s="230"/>
      <c r="E41" s="230"/>
      <c r="F41" s="230"/>
      <c r="G41" s="230"/>
      <c r="H41" s="231"/>
      <c r="I41" s="121"/>
      <c r="J41" s="121"/>
    </row>
    <row r="42" spans="2:10" x14ac:dyDescent="0.3">
      <c r="B42" s="510" t="str">
        <f>'Capacity (local prices)'!B10</f>
        <v>First attendances</v>
      </c>
      <c r="C42" s="509"/>
      <c r="D42" s="511">
        <f>'Capacity (local prices)'!E10-'Capacity (local prices)'!$D10</f>
        <v>0</v>
      </c>
      <c r="E42" s="511">
        <f>'Capacity (local prices)'!F10-'Capacity (local prices)'!$D10</f>
        <v>0</v>
      </c>
      <c r="F42" s="511">
        <f>'Capacity (local prices)'!G10-'Capacity (local prices)'!$D10</f>
        <v>0</v>
      </c>
      <c r="G42" s="511">
        <f>'Capacity (local prices)'!H10-'Capacity (local prices)'!$D10</f>
        <v>0</v>
      </c>
      <c r="H42" s="511">
        <f>'Capacity (local prices)'!I10-'Capacity (local prices)'!$D10</f>
        <v>0</v>
      </c>
      <c r="I42" s="121"/>
      <c r="J42" s="121"/>
    </row>
    <row r="43" spans="2:10" x14ac:dyDescent="0.3">
      <c r="B43" s="510" t="str">
        <f>'Capacity (local prices)'!B11</f>
        <v>First attendances - hours</v>
      </c>
      <c r="C43" s="509"/>
      <c r="D43" s="511">
        <f>'Capacity (local prices)'!E11-'Capacity (local prices)'!$D11</f>
        <v>0</v>
      </c>
      <c r="E43" s="511">
        <f>'Capacity (local prices)'!F11-'Capacity (local prices)'!$D11</f>
        <v>0</v>
      </c>
      <c r="F43" s="511">
        <f>'Capacity (local prices)'!G11-'Capacity (local prices)'!$D11</f>
        <v>0</v>
      </c>
      <c r="G43" s="511">
        <f>'Capacity (local prices)'!H11-'Capacity (local prices)'!$D11</f>
        <v>0</v>
      </c>
      <c r="H43" s="511">
        <f>'Capacity (local prices)'!I11-'Capacity (local prices)'!$D11</f>
        <v>0</v>
      </c>
      <c r="I43" s="121"/>
      <c r="J43" s="121"/>
    </row>
    <row r="44" spans="2:10" x14ac:dyDescent="0.3">
      <c r="B44" s="510" t="str">
        <f>'Capacity (local prices)'!B12</f>
        <v>Follow up attendances</v>
      </c>
      <c r="C44" s="239"/>
      <c r="D44" s="511">
        <f>'Capacity (local prices)'!E12-'Capacity (local prices)'!$D12</f>
        <v>0</v>
      </c>
      <c r="E44" s="511">
        <f>'Capacity (local prices)'!F12-'Capacity (local prices)'!$D12</f>
        <v>0</v>
      </c>
      <c r="F44" s="511">
        <f>'Capacity (local prices)'!G12-'Capacity (local prices)'!$D12</f>
        <v>0</v>
      </c>
      <c r="G44" s="511">
        <f>'Capacity (local prices)'!H12-'Capacity (local prices)'!$D12</f>
        <v>0</v>
      </c>
      <c r="H44" s="511">
        <f>'Capacity (local prices)'!I12-'Capacity (local prices)'!$D12</f>
        <v>0</v>
      </c>
      <c r="I44" s="121"/>
      <c r="J44" s="121"/>
    </row>
    <row r="45" spans="2:10" x14ac:dyDescent="0.3">
      <c r="B45" s="510" t="str">
        <f>'Capacity (local prices)'!B13</f>
        <v>Follow up attendances - hours</v>
      </c>
      <c r="C45" s="239"/>
      <c r="D45" s="511">
        <f>'Capacity (local prices)'!E13-'Capacity (local prices)'!$D13</f>
        <v>0</v>
      </c>
      <c r="E45" s="511">
        <f>'Capacity (local prices)'!F13-'Capacity (local prices)'!$D13</f>
        <v>0</v>
      </c>
      <c r="F45" s="511">
        <f>'Capacity (local prices)'!G13-'Capacity (local prices)'!$D13</f>
        <v>0</v>
      </c>
      <c r="G45" s="511">
        <f>'Capacity (local prices)'!H13-'Capacity (local prices)'!$D13</f>
        <v>0</v>
      </c>
      <c r="H45" s="511">
        <f>'Capacity (local prices)'!I13-'Capacity (local prices)'!$D13</f>
        <v>0</v>
      </c>
      <c r="I45" s="121"/>
      <c r="J45" s="121"/>
    </row>
    <row r="46" spans="2:10" x14ac:dyDescent="0.3">
      <c r="B46" s="510" t="str">
        <f>'Capacity (local prices)'!B14</f>
        <v>Number of administrations</v>
      </c>
      <c r="C46" s="239"/>
      <c r="D46" s="511">
        <f>'Capacity (local prices)'!E14-'Capacity (local prices)'!$D14</f>
        <v>-229.85455825339704</v>
      </c>
      <c r="E46" s="511">
        <f>'Capacity (local prices)'!F14-'Capacity (local prices)'!$D14</f>
        <v>-464.26235789099064</v>
      </c>
      <c r="F46" s="511">
        <f>'Capacity (local prices)'!G14-'Capacity (local prices)'!$D14</f>
        <v>-410.09857620619005</v>
      </c>
      <c r="G46" s="511">
        <f>'Capacity (local prices)'!H14-'Capacity (local prices)'!$D14</f>
        <v>-355.45865049438817</v>
      </c>
      <c r="H46" s="511">
        <f>'Capacity (local prices)'!I14-'Capacity (local prices)'!$D14</f>
        <v>-300.33839505940068</v>
      </c>
      <c r="I46" s="121"/>
      <c r="J46" s="121"/>
    </row>
    <row r="47" spans="2:10" x14ac:dyDescent="0.3">
      <c r="I47" s="121"/>
      <c r="J47" s="121"/>
    </row>
    <row r="48" spans="2:10" x14ac:dyDescent="0.3">
      <c r="B48" s="236" t="s">
        <v>2073</v>
      </c>
      <c r="C48" s="237"/>
      <c r="D48" s="230"/>
      <c r="E48" s="230"/>
      <c r="F48" s="230"/>
      <c r="G48" s="230"/>
      <c r="H48" s="231"/>
      <c r="I48" s="121"/>
      <c r="J48" s="121"/>
    </row>
    <row r="49" spans="2:10" x14ac:dyDescent="0.3">
      <c r="B49" s="238" t="str">
        <f>'Capacity (local prices)'!B15</f>
        <v xml:space="preserve">Nursing - administrations (hours) </v>
      </c>
      <c r="C49" s="239"/>
      <c r="D49" s="511">
        <f>'Capacity (local prices)'!E15-'Capacity (local prices)'!$D15</f>
        <v>-138.62362533838905</v>
      </c>
      <c r="E49" s="511">
        <f>'Capacity (local prices)'!F15-'Capacity (local prices)'!$D15</f>
        <v>81755.594368275852</v>
      </c>
      <c r="F49" s="511">
        <f>'Capacity (local prices)'!G15-'Capacity (local prices)'!$D15</f>
        <v>-247.32749183569194</v>
      </c>
      <c r="G49" s="511">
        <f>'Capacity (local prices)'!H15-'Capacity (local prices)'!$D15</f>
        <v>-214.37454694764619</v>
      </c>
      <c r="H49" s="511">
        <f>'Capacity (local prices)'!I15-'Capacity (local prices)'!$D15</f>
        <v>-181.13191866984471</v>
      </c>
      <c r="I49" s="121"/>
      <c r="J49" s="121"/>
    </row>
    <row r="50" spans="2:10" x14ac:dyDescent="0.3">
      <c r="B50" s="238" t="str">
        <f>'Capacity (local prices)'!B16</f>
        <v xml:space="preserve">Nursing patient preparation time (hours) </v>
      </c>
      <c r="C50" s="239"/>
      <c r="D50" s="511">
        <f>'Capacity (local prices)'!E16-'Capacity (local prices)'!$D16</f>
        <v>-114.92727912669852</v>
      </c>
      <c r="E50" s="511">
        <f>'Capacity (local prices)'!F16-'Capacity (local prices)'!$D16</f>
        <v>-232.13117894549532</v>
      </c>
      <c r="F50" s="511">
        <f>'Capacity (local prices)'!G16-'Capacity (local prices)'!$D16</f>
        <v>-205.04928810309502</v>
      </c>
      <c r="G50" s="511">
        <f>'Capacity (local prices)'!H16-'Capacity (local prices)'!$D16</f>
        <v>-177.72932524719408</v>
      </c>
      <c r="H50" s="511">
        <f>'Capacity (local prices)'!I16-'Capacity (local prices)'!$D16</f>
        <v>-150.16919752970034</v>
      </c>
      <c r="I50" s="121"/>
      <c r="J50" s="121"/>
    </row>
    <row r="51" spans="2:10" x14ac:dyDescent="0.3">
      <c r="B51" s="238" t="str">
        <f>'Capacity (local prices)'!B17</f>
        <v xml:space="preserve">Post administration nursing time (hours) </v>
      </c>
      <c r="C51" s="239"/>
      <c r="D51" s="511">
        <f>'Capacity (local prices)'!E17-'Capacity (local prices)'!$D17</f>
        <v>-57.463639563349261</v>
      </c>
      <c r="E51" s="511">
        <f>'Capacity (local prices)'!F17-'Capacity (local prices)'!$D17</f>
        <v>-116.06558947274766</v>
      </c>
      <c r="F51" s="511">
        <f>'Capacity (local prices)'!G17-'Capacity (local prices)'!$D17</f>
        <v>-102.52464405154751</v>
      </c>
      <c r="G51" s="511">
        <f>'Capacity (local prices)'!H17-'Capacity (local prices)'!$D17</f>
        <v>-88.864662623597042</v>
      </c>
      <c r="H51" s="511">
        <f>'Capacity (local prices)'!I17-'Capacity (local prices)'!$D17</f>
        <v>-75.08459876485017</v>
      </c>
      <c r="I51" s="121"/>
      <c r="J51" s="121"/>
    </row>
    <row r="52" spans="2:10" x14ac:dyDescent="0.3">
      <c r="I52" s="121"/>
      <c r="J52" s="121"/>
    </row>
    <row r="53" spans="2:10" x14ac:dyDescent="0.3">
      <c r="B53" s="236" t="s">
        <v>2074</v>
      </c>
      <c r="C53" s="237"/>
      <c r="D53" s="230"/>
      <c r="E53" s="230"/>
      <c r="F53" s="230"/>
      <c r="G53" s="230"/>
      <c r="H53" s="231"/>
      <c r="I53" s="121"/>
      <c r="J53" s="121"/>
    </row>
    <row r="54" spans="2:10" x14ac:dyDescent="0.3">
      <c r="B54" s="238" t="str">
        <f>'Capacity (local prices)'!B18</f>
        <v>Pharmacy support</v>
      </c>
      <c r="C54" s="243"/>
      <c r="D54" s="511">
        <f>'Capacity (local prices)'!E18-'Capacity (local prices)'!$D18</f>
        <v>0</v>
      </c>
      <c r="E54" s="511">
        <f>'Capacity (local prices)'!F18-'Capacity (local prices)'!$D18</f>
        <v>0</v>
      </c>
      <c r="F54" s="511">
        <f>'Capacity (local prices)'!G18-'Capacity (local prices)'!$D18</f>
        <v>0</v>
      </c>
      <c r="G54" s="511">
        <f>'Capacity (local prices)'!H18-'Capacity (local prices)'!$D18</f>
        <v>0</v>
      </c>
      <c r="H54" s="511">
        <f>'Capacity (local prices)'!I18-'Capacity (local prices)'!$D18</f>
        <v>0</v>
      </c>
      <c r="I54" s="121"/>
      <c r="J54" s="121"/>
    </row>
    <row r="55" spans="2:10" x14ac:dyDescent="0.3">
      <c r="B55" s="238" t="str">
        <f>'Capacity (local prices)'!B19</f>
        <v>Pharmacy support - hours</v>
      </c>
      <c r="C55" s="243"/>
      <c r="D55" s="511">
        <f>'Capacity (local prices)'!E19-'Capacity (local prices)'!$D19</f>
        <v>0</v>
      </c>
      <c r="E55" s="511">
        <f>'Capacity (local prices)'!F19-'Capacity (local prices)'!$D19</f>
        <v>0</v>
      </c>
      <c r="F55" s="511">
        <f>'Capacity (local prices)'!G19-'Capacity (local prices)'!$D19</f>
        <v>0</v>
      </c>
      <c r="G55" s="511">
        <f>'Capacity (local prices)'!H19-'Capacity (local prices)'!$D19</f>
        <v>0</v>
      </c>
      <c r="H55" s="511">
        <f>'Capacity (local prices)'!I19-'Capacity (local prices)'!$D19</f>
        <v>0</v>
      </c>
      <c r="I55" s="121"/>
      <c r="J55" s="121"/>
    </row>
    <row r="56" spans="2:10" x14ac:dyDescent="0.3">
      <c r="I56" s="121"/>
      <c r="J56" s="121"/>
    </row>
    <row r="57" spans="2:10" x14ac:dyDescent="0.3">
      <c r="B57" s="236" t="s">
        <v>2075</v>
      </c>
      <c r="C57" s="237"/>
      <c r="D57" s="230"/>
      <c r="E57" s="230"/>
      <c r="F57" s="230"/>
      <c r="G57" s="230"/>
      <c r="H57" s="231"/>
      <c r="I57" s="121"/>
      <c r="J57" s="121"/>
    </row>
    <row r="58" spans="2:10" x14ac:dyDescent="0.3">
      <c r="B58" s="238" t="str">
        <f>'Capacity (local prices)'!B20</f>
        <v>Pre-treatment endoscopy appointments</v>
      </c>
      <c r="C58" s="243"/>
      <c r="D58" s="511">
        <f>'Capacity (local prices)'!E20-'Capacity (local prices)'!$D20</f>
        <v>-23.696346211690411</v>
      </c>
      <c r="E58" s="511">
        <f>'Capacity (local prices)'!F20-'Capacity (local prices)'!$D20</f>
        <v>-47.862098751648546</v>
      </c>
      <c r="F58" s="511">
        <f>'Capacity (local prices)'!G20-'Capacity (local prices)'!$D20</f>
        <v>-42.278203732596921</v>
      </c>
      <c r="G58" s="511">
        <f>'Capacity (local prices)'!H20-'Capacity (local prices)'!$D20</f>
        <v>-36.645221700452453</v>
      </c>
      <c r="H58" s="511">
        <f>'Capacity (local prices)'!I20-'Capacity (local prices)'!$D20</f>
        <v>-30.962721140144481</v>
      </c>
      <c r="I58" s="121"/>
      <c r="J58" s="121"/>
    </row>
    <row r="59" spans="2:10" x14ac:dyDescent="0.3">
      <c r="B59" s="238" t="e">
        <f>'Capacity (local prices)'!#REF!</f>
        <v>#REF!</v>
      </c>
      <c r="C59" s="243"/>
      <c r="D59" s="511" t="e">
        <f>'Capacity (local prices)'!#REF!-'Capacity (local prices)'!#REF!</f>
        <v>#REF!</v>
      </c>
      <c r="E59" s="511" t="e">
        <f>'Capacity (local prices)'!#REF!-'Capacity (local prices)'!#REF!</f>
        <v>#REF!</v>
      </c>
      <c r="F59" s="511" t="e">
        <f>'Capacity (local prices)'!#REF!-'Capacity (local prices)'!#REF!</f>
        <v>#REF!</v>
      </c>
      <c r="G59" s="511" t="e">
        <f>'Capacity (local prices)'!#REF!-'Capacity (local prices)'!#REF!</f>
        <v>#REF!</v>
      </c>
      <c r="H59" s="511" t="e">
        <f>'Capacity (local prices)'!#REF!-'Capacity (local prices)'!#REF!</f>
        <v>#REF!</v>
      </c>
      <c r="I59" s="121"/>
      <c r="J59" s="121"/>
    </row>
    <row r="60" spans="2:10" hidden="1" x14ac:dyDescent="0.3">
      <c r="I60" s="121"/>
      <c r="J60" s="121"/>
    </row>
    <row r="61" spans="2:10" hidden="1" x14ac:dyDescent="0.3">
      <c r="B61" s="236" t="s">
        <v>2076</v>
      </c>
      <c r="C61" s="237"/>
      <c r="D61" s="230"/>
      <c r="E61" s="230"/>
      <c r="F61" s="230"/>
      <c r="G61" s="230"/>
      <c r="H61" s="231"/>
      <c r="I61" s="121"/>
      <c r="J61" s="121"/>
    </row>
    <row r="62" spans="2:10" hidden="1" x14ac:dyDescent="0.3">
      <c r="B62" s="238" t="str">
        <f>'Capacity (local prices)'!B21</f>
        <v>Imaging scans</v>
      </c>
      <c r="C62" s="239"/>
      <c r="D62" s="511" t="e">
        <f>'Capacity (local prices)'!E21-'Capacity (local prices)'!$D21</f>
        <v>#REF!</v>
      </c>
      <c r="E62" s="511" t="e">
        <f>'Capacity (local prices)'!F21-'Capacity (local prices)'!$D21</f>
        <v>#REF!</v>
      </c>
      <c r="F62" s="511" t="e">
        <f>'Capacity (local prices)'!G21-'Capacity (local prices)'!$D21</f>
        <v>#REF!</v>
      </c>
      <c r="G62" s="511" t="e">
        <f>'Capacity (local prices)'!H21-'Capacity (local prices)'!$D21</f>
        <v>#REF!</v>
      </c>
      <c r="H62" s="511" t="e">
        <f>'Capacity (local prices)'!I21-'Capacity (local prices)'!$D21</f>
        <v>#REF!</v>
      </c>
      <c r="I62" s="121"/>
      <c r="J62" s="121"/>
    </row>
    <row r="63" spans="2:10" hidden="1" x14ac:dyDescent="0.3">
      <c r="B63" s="238" t="str">
        <f>'Capacity (local prices)'!B22</f>
        <v>Imaging scans - hours</v>
      </c>
      <c r="C63" s="239"/>
      <c r="D63" s="511" t="e">
        <f>'Capacity (local prices)'!E22-'Capacity (local prices)'!$D22</f>
        <v>#REF!</v>
      </c>
      <c r="E63" s="511" t="e">
        <f>'Capacity (local prices)'!F22-'Capacity (local prices)'!$D22</f>
        <v>#REF!</v>
      </c>
      <c r="F63" s="511" t="e">
        <f>'Capacity (local prices)'!G22-'Capacity (local prices)'!$D22</f>
        <v>#REF!</v>
      </c>
      <c r="G63" s="511" t="e">
        <f>'Capacity (local prices)'!H22-'Capacity (local prices)'!$D22</f>
        <v>#REF!</v>
      </c>
      <c r="H63" s="511" t="e">
        <f>'Capacity (local prices)'!I22-'Capacity (local prices)'!$D22</f>
        <v>#REF!</v>
      </c>
      <c r="I63" s="121"/>
      <c r="J63" s="121"/>
    </row>
    <row r="64" spans="2:10" hidden="1" x14ac:dyDescent="0.3">
      <c r="B64" s="238" t="str">
        <f>'Capacity (local prices)'!B23</f>
        <v>Pathology tests</v>
      </c>
      <c r="C64" s="239"/>
      <c r="D64" s="511" t="e">
        <f>'Capacity (local prices)'!E23-'Capacity (local prices)'!$D23</f>
        <v>#REF!</v>
      </c>
      <c r="E64" s="511" t="e">
        <f>'Capacity (local prices)'!F23-'Capacity (local prices)'!$D23</f>
        <v>#REF!</v>
      </c>
      <c r="F64" s="511" t="e">
        <f>'Capacity (local prices)'!G23-'Capacity (local prices)'!$D23</f>
        <v>#REF!</v>
      </c>
      <c r="G64" s="511" t="e">
        <f>'Capacity (local prices)'!H23-'Capacity (local prices)'!$D23</f>
        <v>#REF!</v>
      </c>
      <c r="H64" s="511" t="e">
        <f>'Capacity (local prices)'!I23-'Capacity (local prices)'!$D23</f>
        <v>#REF!</v>
      </c>
      <c r="I64" s="121"/>
      <c r="J64" s="121"/>
    </row>
    <row r="65" spans="2:14" hidden="1" x14ac:dyDescent="0.3">
      <c r="B65" s="238" t="str">
        <f>'Capacity (local prices)'!B24</f>
        <v>Pathology tests - hours</v>
      </c>
      <c r="C65" s="239"/>
      <c r="D65" s="511" t="e">
        <f>'Capacity (local prices)'!E24-'Capacity (local prices)'!$D24</f>
        <v>#REF!</v>
      </c>
      <c r="E65" s="511" t="e">
        <f>'Capacity (local prices)'!F24-'Capacity (local prices)'!$D24</f>
        <v>#REF!</v>
      </c>
      <c r="F65" s="511" t="e">
        <f>'Capacity (local prices)'!G24-'Capacity (local prices)'!$D24</f>
        <v>#REF!</v>
      </c>
      <c r="G65" s="511" t="e">
        <f>'Capacity (local prices)'!H24-'Capacity (local prices)'!$D24</f>
        <v>#REF!</v>
      </c>
      <c r="H65" s="511" t="e">
        <f>'Capacity (local prices)'!I24-'Capacity (local prices)'!$D24</f>
        <v>#REF!</v>
      </c>
      <c r="I65" s="121"/>
      <c r="J65" s="121"/>
    </row>
    <row r="66" spans="2:14" hidden="1" x14ac:dyDescent="0.3">
      <c r="B66" s="238" t="str">
        <f>'Capacity (local prices)'!B25</f>
        <v>Genomic tests</v>
      </c>
      <c r="C66" s="239"/>
      <c r="D66" s="511" t="e">
        <f>'Capacity (local prices)'!E25-'Capacity (local prices)'!$D25</f>
        <v>#REF!</v>
      </c>
      <c r="E66" s="511" t="e">
        <f>'Capacity (local prices)'!F25-'Capacity (local prices)'!$D25</f>
        <v>#REF!</v>
      </c>
      <c r="F66" s="511" t="e">
        <f>'Capacity (local prices)'!G25-'Capacity (local prices)'!$D25</f>
        <v>#REF!</v>
      </c>
      <c r="G66" s="511" t="e">
        <f>'Capacity (local prices)'!H25-'Capacity (local prices)'!$D25</f>
        <v>#REF!</v>
      </c>
      <c r="H66" s="511" t="e">
        <f>'Capacity (local prices)'!I25-'Capacity (local prices)'!$D25</f>
        <v>#REF!</v>
      </c>
      <c r="I66" s="121"/>
      <c r="J66" s="121"/>
    </row>
    <row r="67" spans="2:14" hidden="1" x14ac:dyDescent="0.3">
      <c r="B67" s="238" t="str">
        <f>'Capacity (local prices)'!B26</f>
        <v>Genomic tests - hours</v>
      </c>
      <c r="C67" s="239"/>
      <c r="D67" s="511" t="e">
        <f>'Capacity (local prices)'!E26-'Capacity (local prices)'!$D26</f>
        <v>#REF!</v>
      </c>
      <c r="E67" s="511" t="e">
        <f>'Capacity (local prices)'!F26-'Capacity (local prices)'!$D26</f>
        <v>#REF!</v>
      </c>
      <c r="F67" s="511" t="e">
        <f>'Capacity (local prices)'!G26-'Capacity (local prices)'!$D26</f>
        <v>#REF!</v>
      </c>
      <c r="G67" s="511" t="e">
        <f>'Capacity (local prices)'!H26-'Capacity (local prices)'!$D26</f>
        <v>#REF!</v>
      </c>
      <c r="H67" s="511" t="e">
        <f>'Capacity (local prices)'!I26-'Capacity (local prices)'!$D26</f>
        <v>#REF!</v>
      </c>
      <c r="I67" s="121"/>
      <c r="J67" s="121"/>
    </row>
    <row r="68" spans="2:14" x14ac:dyDescent="0.3">
      <c r="I68" s="121"/>
      <c r="J68" s="121"/>
    </row>
    <row r="69" spans="2:14" hidden="1" x14ac:dyDescent="0.3">
      <c r="B69" s="236" t="s">
        <v>2077</v>
      </c>
      <c r="C69" s="234"/>
      <c r="D69" s="230"/>
      <c r="E69" s="230"/>
      <c r="F69" s="230"/>
      <c r="G69" s="230"/>
      <c r="H69" s="231"/>
      <c r="I69" s="121"/>
      <c r="J69" s="121"/>
    </row>
    <row r="70" spans="2:14" hidden="1" x14ac:dyDescent="0.3">
      <c r="B70" s="238" t="s">
        <v>2078</v>
      </c>
      <c r="C70" s="239"/>
      <c r="D70" s="511">
        <f>Events!J33</f>
        <v>34.750156311787414</v>
      </c>
      <c r="E70" s="511">
        <f>Events!K33</f>
        <v>70.111277325465039</v>
      </c>
      <c r="F70" s="511">
        <f>Events!L33</f>
        <v>70.727612907756622</v>
      </c>
      <c r="G70" s="511">
        <f>Events!M33</f>
        <v>71.349366584889523</v>
      </c>
      <c r="H70" s="511">
        <f>Events!N33</f>
        <v>71.976585986357492</v>
      </c>
      <c r="I70" s="121"/>
      <c r="J70" s="121"/>
    </row>
    <row r="71" spans="2:14" x14ac:dyDescent="0.3">
      <c r="B71" s="242"/>
      <c r="C71" s="242"/>
      <c r="D71" s="229"/>
      <c r="E71" s="229"/>
      <c r="F71" s="229"/>
      <c r="G71" s="229"/>
      <c r="H71" s="229"/>
      <c r="I71" s="121"/>
      <c r="J71" s="121"/>
    </row>
    <row r="73" spans="2:14" x14ac:dyDescent="0.3">
      <c r="D73" s="952"/>
      <c r="E73" s="953"/>
      <c r="F73" s="953"/>
      <c r="G73" s="953"/>
      <c r="H73" s="953"/>
      <c r="I73" s="953"/>
      <c r="J73" s="953"/>
      <c r="K73" s="953"/>
      <c r="L73" s="953"/>
      <c r="M73" s="953"/>
      <c r="N73" s="953"/>
    </row>
    <row r="74" spans="2:14" x14ac:dyDescent="0.3">
      <c r="D74" s="953"/>
      <c r="E74" s="953"/>
      <c r="F74" s="953"/>
      <c r="G74" s="953"/>
      <c r="H74" s="953"/>
      <c r="I74" s="953"/>
      <c r="J74" s="953"/>
      <c r="K74" s="953"/>
      <c r="L74" s="953"/>
      <c r="M74" s="953"/>
      <c r="N74" s="953"/>
    </row>
    <row r="75" spans="2:14" x14ac:dyDescent="0.3">
      <c r="D75" s="952"/>
      <c r="E75" s="953"/>
      <c r="F75" s="953"/>
      <c r="G75" s="953"/>
      <c r="H75" s="953"/>
      <c r="I75" s="953"/>
      <c r="J75" s="953"/>
      <c r="K75" s="953"/>
      <c r="L75" s="953"/>
      <c r="M75" s="953"/>
      <c r="N75" s="953"/>
    </row>
  </sheetData>
  <sheetProtection algorithmName="SHA-512" hashValue="77JD51Zu2FZMJ+qqfcbm+hQQ0aeoTYq/QA9ZUs7CTqSQ2mSkRTf2KrzykMi4Pgofs+d4dRwiR5njvBkVxohpGg==" saltValue="HxJFtJa3SJtsoal/A2o/tg==" spinCount="100000" sheet="1" objects="1" scenarios="1"/>
  <mergeCells count="2">
    <mergeCell ref="D73:N74"/>
    <mergeCell ref="D75:N75"/>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schemas.microsoft.com/office/2006/metadata/properties"/>
    <ds:schemaRef ds:uri="acaf4567-dc07-471f-892c-2bcb86ef35ae"/>
    <ds:schemaRef ds:uri="http://purl.org/dc/elements/1.1/"/>
    <ds:schemaRef ds:uri="c1f338ac-e338-414f-952c-f74dcc6d59e1"/>
    <ds:schemaRef ds:uri="0eb656aa-4e79-4e95-9076-bc119a23e0cc"/>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vt:lpstr>
      <vt:lpstr>Population selection</vt:lpstr>
      <vt:lpstr>Uptake phasing</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TA1090 Durvalumab with tremelimumab for untreated advanced or unresectable hepatocellular carcinoma: Resource impact template 26/09/2025</dc:title>
  <dc:subject/>
  <dc:creator/>
  <cp:keywords/>
  <dc:description/>
  <cp:lastModifiedBy/>
  <cp:revision/>
  <dcterms:created xsi:type="dcterms:W3CDTF">2022-07-27T12:38:28Z</dcterms:created>
  <dcterms:modified xsi:type="dcterms:W3CDTF">2025-09-26T15:40:58Z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