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2" documentId="8_{8428B556-1AB8-465A-8980-8FF31E47830A}" xr6:coauthVersionLast="47" xr6:coauthVersionMax="47" xr10:uidLastSave="{E561787E-7DDE-4369-BA4A-DC94A755F8B2}"/>
  <bookViews>
    <workbookView xWindow="-108" yWindow="-108" windowWidth="23256" windowHeight="12456" tabRatio="910"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prices)'!$B$1:$S$112</definedName>
    <definedName name="_xlnm.Print_Area" localSheetId="11">'Capacity (national prices)'!$B$1:$S$120</definedName>
    <definedName name="_xlnm.Print_Area" localSheetId="5">'Capacity inputs'!$A$2:$M$29</definedName>
    <definedName name="_xlnm.Print_Area" localSheetId="3">Contents!$A$1:$T$26</definedName>
    <definedName name="_xlnm.Print_Area" localSheetId="2">Cover!$A$1:$C$24</definedName>
    <definedName name="_xlnm.Print_Area" localSheetId="9">'Financial impact (cash)'!$B$1:$J$34</definedName>
    <definedName name="_xlnm.Print_Area" localSheetId="4">'Inputs and population'!$A$2:$Q$81</definedName>
    <definedName name="_xlnm.Print_Area" localSheetId="0">'Population selection'!$B$11:$J$17</definedName>
    <definedName name="_xlnm.Print_Area" localSheetId="8">Summary!$B$1:$K$73</definedName>
    <definedName name="_xlnm.Print_Area" localSheetId="7">'Unit costs'!$B$1:$S$57</definedName>
    <definedName name="WALESHB">'Population selection'!$B$1315:$B$1321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50" l="1"/>
  <c r="H41" i="50"/>
  <c r="I42" i="50"/>
  <c r="G41" i="50"/>
  <c r="H42" i="50"/>
  <c r="I43" i="50"/>
  <c r="F41" i="50"/>
  <c r="G42" i="50"/>
  <c r="H43" i="50"/>
  <c r="I44" i="50"/>
  <c r="H10" i="47"/>
  <c r="I45" i="50"/>
  <c r="H11" i="47"/>
  <c r="H13" i="47"/>
  <c r="E45" i="50"/>
  <c r="D11" i="47"/>
  <c r="E41" i="50"/>
  <c r="F45" i="50"/>
  <c r="E11" i="47"/>
  <c r="G45" i="50"/>
  <c r="F11" i="47"/>
  <c r="H45" i="50"/>
  <c r="G11" i="47"/>
  <c r="D12" i="47"/>
  <c r="E12" i="47"/>
  <c r="F12" i="47"/>
  <c r="G12" i="47"/>
  <c r="H12" i="47"/>
  <c r="C12" i="47"/>
  <c r="C11" i="47"/>
  <c r="D10" i="47"/>
  <c r="F42" i="50"/>
  <c r="E10" i="47"/>
  <c r="G43" i="50"/>
  <c r="F10" i="47"/>
  <c r="H44" i="50"/>
  <c r="G10" i="47"/>
  <c r="C10" i="47"/>
  <c r="D46" i="50"/>
  <c r="J30" i="50"/>
  <c r="J29" i="50"/>
  <c r="E29" i="50"/>
  <c r="D27" i="50"/>
  <c r="E26" i="50"/>
  <c r="F26" i="50"/>
  <c r="F27" i="50"/>
  <c r="F28" i="50"/>
  <c r="F29" i="50"/>
  <c r="F30" i="50"/>
  <c r="D5" i="47"/>
  <c r="D7" i="47"/>
  <c r="G26" i="50"/>
  <c r="G27" i="50"/>
  <c r="G28" i="50"/>
  <c r="G29" i="50"/>
  <c r="G30" i="50"/>
  <c r="E5" i="47"/>
  <c r="E7" i="47"/>
  <c r="H26" i="50"/>
  <c r="H27" i="50"/>
  <c r="H28" i="50"/>
  <c r="H29" i="50"/>
  <c r="H30" i="50"/>
  <c r="F5" i="47"/>
  <c r="F7" i="47"/>
  <c r="I26" i="50"/>
  <c r="I27" i="50"/>
  <c r="I28" i="50"/>
  <c r="I29" i="50"/>
  <c r="I30" i="50"/>
  <c r="G5" i="47"/>
  <c r="G7" i="47"/>
  <c r="J26" i="50"/>
  <c r="J27" i="50"/>
  <c r="J28" i="50"/>
  <c r="H5" i="47"/>
  <c r="H7" i="47"/>
  <c r="E27" i="50"/>
  <c r="E28" i="50"/>
  <c r="E30" i="50"/>
  <c r="C5" i="47"/>
  <c r="C7" i="47"/>
  <c r="R27" i="59"/>
  <c r="J56" i="50"/>
  <c r="K36" i="50"/>
  <c r="K52" i="50"/>
  <c r="N35" i="50"/>
  <c r="O35" i="50"/>
  <c r="H40" i="50"/>
  <c r="M35" i="50"/>
  <c r="G40" i="50"/>
  <c r="L35" i="50"/>
  <c r="F40" i="50"/>
  <c r="K35" i="50"/>
  <c r="E40" i="50"/>
  <c r="H36" i="50"/>
  <c r="O36" i="50"/>
  <c r="H46" i="50"/>
  <c r="I36" i="50"/>
  <c r="P36" i="50"/>
  <c r="I46" i="50"/>
  <c r="B14" i="32"/>
  <c r="N7" i="32"/>
  <c r="C14" i="32"/>
  <c r="D14" i="32"/>
  <c r="E14" i="32"/>
  <c r="F14" i="32"/>
  <c r="E12" i="50"/>
  <c r="E14" i="50"/>
  <c r="P35" i="50"/>
  <c r="I40" i="50"/>
  <c r="I13" i="42"/>
  <c r="I14" i="42"/>
  <c r="I15" i="42"/>
  <c r="I16" i="42"/>
  <c r="I17" i="42"/>
  <c r="I52" i="46"/>
  <c r="E13" i="42"/>
  <c r="D40" i="50"/>
  <c r="E14" i="42"/>
  <c r="E52" i="46"/>
  <c r="C37" i="46"/>
  <c r="I37" i="46"/>
  <c r="I18" i="42"/>
  <c r="I19" i="42"/>
  <c r="C38" i="46"/>
  <c r="I38" i="46"/>
  <c r="I39" i="46"/>
  <c r="D19" i="42"/>
  <c r="D38" i="46"/>
  <c r="D13" i="42"/>
  <c r="D37" i="46"/>
  <c r="D39" i="46"/>
  <c r="D10" i="46"/>
  <c r="P22" i="59"/>
  <c r="D14" i="59"/>
  <c r="D47" i="50"/>
  <c r="P37" i="50"/>
  <c r="I46" i="57"/>
  <c r="I47" i="57"/>
  <c r="J47" i="57"/>
  <c r="K47" i="57"/>
  <c r="H48" i="57"/>
  <c r="H47" i="57"/>
  <c r="H46" i="57"/>
  <c r="J46" i="57"/>
  <c r="K46" i="57"/>
  <c r="K45" i="57"/>
  <c r="K44" i="57"/>
  <c r="K43" i="57"/>
  <c r="K42" i="57"/>
  <c r="K41" i="57"/>
  <c r="K40" i="57"/>
  <c r="K39" i="57"/>
  <c r="K38" i="57"/>
  <c r="K37" i="57"/>
  <c r="K36" i="57"/>
  <c r="K35" i="57"/>
  <c r="K34" i="57"/>
  <c r="K33" i="57"/>
  <c r="K32" i="57"/>
  <c r="K31" i="57"/>
  <c r="K30" i="57"/>
  <c r="K29" i="57"/>
  <c r="K28" i="57"/>
  <c r="K27" i="57"/>
  <c r="K26" i="57"/>
  <c r="L15" i="61"/>
  <c r="K16" i="46"/>
  <c r="K25" i="57"/>
  <c r="K24" i="57"/>
  <c r="K23" i="57"/>
  <c r="K22" i="57"/>
  <c r="K21" i="57"/>
  <c r="K20" i="57"/>
  <c r="K19" i="57"/>
  <c r="K18" i="57"/>
  <c r="K17" i="57"/>
  <c r="K16" i="57"/>
  <c r="K15" i="57"/>
  <c r="K14" i="57"/>
  <c r="C38" i="56"/>
  <c r="C37" i="56"/>
  <c r="H22" i="59"/>
  <c r="K22" i="59"/>
  <c r="G22" i="59"/>
  <c r="Q22" i="59"/>
  <c r="B14" i="42"/>
  <c r="B24" i="42"/>
  <c r="B15" i="42"/>
  <c r="B25" i="42"/>
  <c r="B16" i="42"/>
  <c r="B26" i="42"/>
  <c r="B17" i="42"/>
  <c r="B27" i="42"/>
  <c r="B18" i="42"/>
  <c r="B28" i="42"/>
  <c r="B19" i="42"/>
  <c r="B29" i="42"/>
  <c r="D14" i="42"/>
  <c r="D15" i="42"/>
  <c r="E15" i="42"/>
  <c r="D16" i="42"/>
  <c r="E16" i="42"/>
  <c r="F16" i="42"/>
  <c r="D17" i="42"/>
  <c r="E17" i="42"/>
  <c r="F17" i="42"/>
  <c r="G17" i="42"/>
  <c r="D18" i="42"/>
  <c r="B13" i="42"/>
  <c r="F24" i="50"/>
  <c r="G24" i="50"/>
  <c r="H24" i="50"/>
  <c r="I24" i="50"/>
  <c r="J24" i="50"/>
  <c r="F25" i="50"/>
  <c r="G25" i="50"/>
  <c r="H25" i="50"/>
  <c r="I25" i="50"/>
  <c r="J25" i="50"/>
  <c r="D36" i="50"/>
  <c r="E36" i="50"/>
  <c r="E37" i="50"/>
  <c r="F36" i="50"/>
  <c r="G36" i="50"/>
  <c r="G37" i="50"/>
  <c r="H37" i="50"/>
  <c r="F48" i="57"/>
  <c r="G48" i="57"/>
  <c r="E48" i="57"/>
  <c r="D48" i="57"/>
  <c r="F47" i="57"/>
  <c r="E47" i="57"/>
  <c r="D47" i="57"/>
  <c r="F46" i="57"/>
  <c r="E46" i="57"/>
  <c r="D46" i="57"/>
  <c r="G46" i="57"/>
  <c r="I45" i="57"/>
  <c r="H45" i="57"/>
  <c r="F45" i="57"/>
  <c r="E45" i="57"/>
  <c r="D45" i="57"/>
  <c r="G45" i="57"/>
  <c r="I44" i="57"/>
  <c r="H44" i="57"/>
  <c r="J44" i="57"/>
  <c r="F44" i="57"/>
  <c r="E44" i="57"/>
  <c r="D44" i="57"/>
  <c r="I43" i="57"/>
  <c r="H43" i="57"/>
  <c r="F43" i="57"/>
  <c r="E43" i="57"/>
  <c r="D43" i="57"/>
  <c r="G43" i="57"/>
  <c r="J42" i="57"/>
  <c r="C42" i="57"/>
  <c r="D42" i="57"/>
  <c r="G42" i="57"/>
  <c r="J41" i="57"/>
  <c r="C41" i="57"/>
  <c r="J40" i="57"/>
  <c r="E40" i="57"/>
  <c r="C40" i="57"/>
  <c r="F40" i="57"/>
  <c r="G40" i="57"/>
  <c r="D40" i="57"/>
  <c r="J39" i="57"/>
  <c r="C39" i="57"/>
  <c r="E39" i="57"/>
  <c r="J38" i="57"/>
  <c r="C38" i="57"/>
  <c r="E38" i="57"/>
  <c r="G38" i="57"/>
  <c r="J37" i="57"/>
  <c r="C37" i="57"/>
  <c r="D37" i="57"/>
  <c r="G37" i="57"/>
  <c r="V36" i="57"/>
  <c r="J36" i="57"/>
  <c r="C36" i="57"/>
  <c r="J35" i="57"/>
  <c r="C35" i="57"/>
  <c r="E35" i="57"/>
  <c r="J34" i="57"/>
  <c r="C34" i="57"/>
  <c r="E34" i="57"/>
  <c r="G34" i="57"/>
  <c r="J33" i="57"/>
  <c r="C33" i="57"/>
  <c r="E33" i="57"/>
  <c r="G33" i="57"/>
  <c r="J32" i="57"/>
  <c r="C32" i="57"/>
  <c r="E32" i="57"/>
  <c r="J31" i="57"/>
  <c r="C31" i="57"/>
  <c r="J30" i="57"/>
  <c r="C30" i="57"/>
  <c r="F30" i="57"/>
  <c r="J29" i="57"/>
  <c r="C29" i="57"/>
  <c r="V28" i="57"/>
  <c r="J28" i="57"/>
  <c r="C28" i="57"/>
  <c r="E28" i="57"/>
  <c r="G28" i="57"/>
  <c r="L18" i="61"/>
  <c r="K22" i="46"/>
  <c r="J27" i="57"/>
  <c r="C27" i="57"/>
  <c r="E27" i="57"/>
  <c r="J26" i="57"/>
  <c r="C26" i="57"/>
  <c r="J25" i="57"/>
  <c r="C25" i="57"/>
  <c r="F25" i="57"/>
  <c r="J24" i="57"/>
  <c r="C24" i="57"/>
  <c r="F24" i="57"/>
  <c r="J23" i="57"/>
  <c r="C23" i="57"/>
  <c r="D23" i="57"/>
  <c r="J22" i="57"/>
  <c r="C22" i="57"/>
  <c r="D22" i="57"/>
  <c r="G22" i="57"/>
  <c r="J21" i="57"/>
  <c r="C21" i="57"/>
  <c r="E21" i="57"/>
  <c r="V20" i="57"/>
  <c r="J20" i="57"/>
  <c r="C20" i="57"/>
  <c r="E20" i="57"/>
  <c r="J19" i="57"/>
  <c r="C19" i="57"/>
  <c r="J18" i="57"/>
  <c r="C18" i="57"/>
  <c r="D18" i="57"/>
  <c r="J17" i="57"/>
  <c r="C17" i="57"/>
  <c r="D17" i="57"/>
  <c r="J16" i="57"/>
  <c r="C16" i="57"/>
  <c r="F16" i="57"/>
  <c r="J15" i="57"/>
  <c r="C15" i="57"/>
  <c r="D15" i="57"/>
  <c r="G15" i="57"/>
  <c r="J14" i="57"/>
  <c r="C14" i="57"/>
  <c r="J13" i="57"/>
  <c r="C13" i="57"/>
  <c r="E15" i="57"/>
  <c r="J43" i="57"/>
  <c r="E17" i="57"/>
  <c r="F37" i="57"/>
  <c r="E37" i="57"/>
  <c r="E42" i="57"/>
  <c r="F38" i="57"/>
  <c r="E13" i="57"/>
  <c r="F28" i="57"/>
  <c r="J45" i="57"/>
  <c r="F13" i="57"/>
  <c r="F32" i="57"/>
  <c r="E18" i="57"/>
  <c r="E22" i="57"/>
  <c r="D39" i="57"/>
  <c r="G39" i="57"/>
  <c r="D27" i="57"/>
  <c r="D34" i="57"/>
  <c r="F42" i="57"/>
  <c r="D13" i="57"/>
  <c r="F20" i="57"/>
  <c r="G44" i="57"/>
  <c r="L13" i="61"/>
  <c r="K11" i="46"/>
  <c r="F33" i="57"/>
  <c r="F18" i="57"/>
  <c r="G18" i="57"/>
  <c r="G47" i="57"/>
  <c r="F15" i="57"/>
  <c r="F23" i="57"/>
  <c r="D16" i="57"/>
  <c r="F36" i="57"/>
  <c r="F41" i="57"/>
  <c r="F17" i="57"/>
  <c r="D19" i="57"/>
  <c r="F22" i="57"/>
  <c r="D14" i="57"/>
  <c r="E19" i="57"/>
  <c r="F34" i="57"/>
  <c r="D36" i="57"/>
  <c r="F39" i="57"/>
  <c r="D41" i="57"/>
  <c r="G41" i="57"/>
  <c r="E14" i="57"/>
  <c r="G14" i="57"/>
  <c r="F19" i="57"/>
  <c r="D26" i="57"/>
  <c r="D31" i="57"/>
  <c r="G31" i="57"/>
  <c r="E36" i="57"/>
  <c r="E41" i="57"/>
  <c r="F14" i="57"/>
  <c r="E26" i="57"/>
  <c r="E31" i="57"/>
  <c r="E16" i="57"/>
  <c r="F26" i="57"/>
  <c r="D28" i="57"/>
  <c r="F31" i="57"/>
  <c r="D33" i="57"/>
  <c r="D38" i="57"/>
  <c r="D20" i="57"/>
  <c r="G20" i="57"/>
  <c r="D25" i="57"/>
  <c r="D30" i="57"/>
  <c r="E25" i="57"/>
  <c r="E30" i="57"/>
  <c r="G19" i="57"/>
  <c r="G17" i="57"/>
  <c r="G13" i="57"/>
  <c r="K13" i="57"/>
  <c r="G36" i="57"/>
  <c r="G26" i="57"/>
  <c r="G16" i="57"/>
  <c r="B37" i="56"/>
  <c r="B52" i="56"/>
  <c r="B58" i="56"/>
  <c r="B37" i="46"/>
  <c r="B38" i="46"/>
  <c r="J52" i="50"/>
  <c r="I52" i="50"/>
  <c r="H52" i="50"/>
  <c r="G52" i="50"/>
  <c r="M22" i="59"/>
  <c r="N22" i="59"/>
  <c r="O22" i="59"/>
  <c r="R22" i="59"/>
  <c r="R23" i="59"/>
  <c r="K52" i="56"/>
  <c r="B14" i="56"/>
  <c r="B14" i="46"/>
  <c r="C45" i="56"/>
  <c r="C44" i="56"/>
  <c r="B38" i="56"/>
  <c r="B45" i="56"/>
  <c r="B60" i="56"/>
  <c r="B44" i="56"/>
  <c r="B52" i="46"/>
  <c r="B23" i="42"/>
  <c r="B109" i="56"/>
  <c r="B108" i="56"/>
  <c r="B59" i="56"/>
  <c r="B30" i="56"/>
  <c r="B29" i="56"/>
  <c r="B28" i="56"/>
  <c r="B27" i="56"/>
  <c r="B26" i="56"/>
  <c r="B25" i="56"/>
  <c r="B24" i="56"/>
  <c r="B23" i="56"/>
  <c r="B22" i="56"/>
  <c r="B21" i="56"/>
  <c r="B20" i="56"/>
  <c r="B19" i="56"/>
  <c r="B18" i="56"/>
  <c r="B17" i="56"/>
  <c r="B16" i="56"/>
  <c r="B15" i="56"/>
  <c r="B13" i="56"/>
  <c r="B12" i="56"/>
  <c r="B11" i="56"/>
  <c r="B10" i="56"/>
  <c r="C44" i="46"/>
  <c r="E18" i="50"/>
  <c r="E1784" i="32"/>
  <c r="D1784" i="32"/>
  <c r="C117" i="56"/>
  <c r="B117" i="56"/>
  <c r="C116" i="56"/>
  <c r="B116" i="56"/>
  <c r="C109" i="46"/>
  <c r="E109" i="46"/>
  <c r="C108" i="46"/>
  <c r="B109" i="46"/>
  <c r="B108" i="46"/>
  <c r="B110" i="56"/>
  <c r="D59" i="56"/>
  <c r="C101" i="56"/>
  <c r="C100" i="56"/>
  <c r="C93" i="46"/>
  <c r="H93" i="46"/>
  <c r="C92" i="46"/>
  <c r="B93" i="46"/>
  <c r="B92" i="46"/>
  <c r="C93" i="56"/>
  <c r="B93" i="56"/>
  <c r="C85" i="46"/>
  <c r="B85" i="46"/>
  <c r="E60" i="56"/>
  <c r="D60" i="56"/>
  <c r="C86" i="56"/>
  <c r="B86" i="56"/>
  <c r="C78" i="46"/>
  <c r="B78" i="46"/>
  <c r="C79" i="56"/>
  <c r="C73" i="56"/>
  <c r="C67" i="56"/>
  <c r="B67" i="56"/>
  <c r="B73" i="56"/>
  <c r="B59" i="46"/>
  <c r="B65" i="46"/>
  <c r="B71" i="46"/>
  <c r="B44" i="46"/>
  <c r="C45" i="46"/>
  <c r="B45" i="46"/>
  <c r="B79" i="56"/>
  <c r="F37" i="50"/>
  <c r="I37" i="50"/>
  <c r="D37"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c r="G1739" i="32"/>
  <c r="G1762" i="32"/>
  <c r="H1739" i="32"/>
  <c r="H1762" i="32"/>
  <c r="I1739" i="32"/>
  <c r="I1762" i="32"/>
  <c r="E1739"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H56" i="50"/>
  <c r="B1" i="62"/>
  <c r="L22"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22" i="59"/>
  <c r="F22" i="59"/>
  <c r="E22" i="59"/>
  <c r="D22" i="59"/>
  <c r="C22" i="59"/>
  <c r="C71" i="46"/>
  <c r="C65" i="46"/>
  <c r="C59" i="46"/>
  <c r="C26" i="50"/>
  <c r="K44" i="56"/>
  <c r="K100" i="56"/>
  <c r="K93" i="56"/>
  <c r="K101" i="56"/>
  <c r="K45" i="56"/>
  <c r="C11" i="46"/>
  <c r="E19" i="50"/>
  <c r="C30" i="56"/>
  <c r="C30" i="46"/>
  <c r="B30" i="46"/>
  <c r="B69" i="47"/>
  <c r="C28" i="56"/>
  <c r="C28" i="46"/>
  <c r="B28" i="46"/>
  <c r="B67" i="47"/>
  <c r="C26" i="56"/>
  <c r="C26" i="46"/>
  <c r="B26" i="46"/>
  <c r="B65" i="47"/>
  <c r="C24" i="56"/>
  <c r="C24" i="46"/>
  <c r="B24" i="46"/>
  <c r="B61" i="47"/>
  <c r="B22" i="46"/>
  <c r="B57" i="47"/>
  <c r="B20" i="46"/>
  <c r="B53" i="47"/>
  <c r="B18" i="46"/>
  <c r="B51" i="47"/>
  <c r="B16" i="46"/>
  <c r="B49" i="47"/>
  <c r="C13" i="56"/>
  <c r="C13" i="46"/>
  <c r="B13" i="46"/>
  <c r="B44" i="47"/>
  <c r="B12" i="46"/>
  <c r="B43" i="47"/>
  <c r="C11" i="56"/>
  <c r="B11" i="46"/>
  <c r="B42" i="47"/>
  <c r="B10" i="46"/>
  <c r="B41" i="47"/>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45" i="47"/>
  <c r="B29" i="46"/>
  <c r="B68" i="47"/>
  <c r="B27" i="46"/>
  <c r="B66" i="47"/>
  <c r="B25" i="46"/>
  <c r="B64" i="47"/>
  <c r="B23" i="46"/>
  <c r="B60" i="47"/>
  <c r="B21" i="46"/>
  <c r="B56" i="47"/>
  <c r="B19" i="46"/>
  <c r="B52" i="47"/>
  <c r="B17" i="46"/>
  <c r="B50" i="47"/>
  <c r="B15" i="46"/>
  <c r="B48" i="47"/>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c r="K1366" i="32"/>
  <c r="L1366" i="32"/>
  <c r="G1343" i="32"/>
  <c r="H1343" i="32"/>
  <c r="I1343" i="32"/>
  <c r="D1343" i="32"/>
  <c r="J1343" i="32"/>
  <c r="E1343" i="32"/>
  <c r="K1343" i="32"/>
  <c r="L1343" i="32"/>
  <c r="G1344" i="32"/>
  <c r="H1344" i="32"/>
  <c r="I1344" i="32"/>
  <c r="D1344" i="32"/>
  <c r="J1344" i="32"/>
  <c r="E1344" i="32"/>
  <c r="K1344" i="32"/>
  <c r="L1344" i="32"/>
  <c r="G1345" i="32"/>
  <c r="H1345" i="32"/>
  <c r="I1345" i="32"/>
  <c r="D1345" i="32"/>
  <c r="J1345" i="32"/>
  <c r="E1345" i="32"/>
  <c r="K1345" i="32"/>
  <c r="L1345" i="32"/>
  <c r="G1346" i="32"/>
  <c r="H1346" i="32"/>
  <c r="I1346" i="32"/>
  <c r="D1346" i="32"/>
  <c r="J1346" i="32"/>
  <c r="E1346" i="32"/>
  <c r="K1346" i="32"/>
  <c r="L1346" i="32"/>
  <c r="G1347" i="32"/>
  <c r="H1347" i="32"/>
  <c r="I1347" i="32"/>
  <c r="D1347" i="32"/>
  <c r="J1347" i="32"/>
  <c r="E1347" i="32"/>
  <c r="K1347" i="32"/>
  <c r="L1347" i="32"/>
  <c r="G1348" i="32"/>
  <c r="H1348" i="32"/>
  <c r="I1348" i="32"/>
  <c r="D1348" i="32"/>
  <c r="J1348" i="32"/>
  <c r="E1348" i="32"/>
  <c r="K1348" i="32"/>
  <c r="L1348" i="32"/>
  <c r="G1349" i="32"/>
  <c r="H1349" i="32"/>
  <c r="I1349" i="32"/>
  <c r="D1349" i="32"/>
  <c r="J1349" i="32"/>
  <c r="E1349" i="32"/>
  <c r="K1349" i="32"/>
  <c r="L1349" i="32"/>
  <c r="G1350" i="32"/>
  <c r="H1350" i="32"/>
  <c r="I1350" i="32"/>
  <c r="D1350" i="32"/>
  <c r="J1350" i="32"/>
  <c r="E1350" i="32"/>
  <c r="K1350" i="32"/>
  <c r="L1350" i="32"/>
  <c r="G1351" i="32"/>
  <c r="H1351" i="32"/>
  <c r="I1351" i="32"/>
  <c r="D1351" i="32"/>
  <c r="J1351" i="32"/>
  <c r="E1351" i="32"/>
  <c r="K1351" i="32"/>
  <c r="L1351" i="32"/>
  <c r="G1352" i="32"/>
  <c r="H1352" i="32"/>
  <c r="I1352" i="32"/>
  <c r="D1352" i="32"/>
  <c r="J1352" i="32"/>
  <c r="E1352" i="32"/>
  <c r="K1352" i="32"/>
  <c r="L1352" i="32"/>
  <c r="G1353" i="32"/>
  <c r="H1353" i="32"/>
  <c r="I1353" i="32"/>
  <c r="D1353" i="32"/>
  <c r="J1353" i="32"/>
  <c r="E1353" i="32"/>
  <c r="K1353" i="32"/>
  <c r="L1353" i="32"/>
  <c r="G1354" i="32"/>
  <c r="H1354" i="32"/>
  <c r="I1354" i="32"/>
  <c r="D1354" i="32"/>
  <c r="J1354" i="32"/>
  <c r="E1354" i="32"/>
  <c r="K1354" i="32"/>
  <c r="L1354" i="32"/>
  <c r="G1355" i="32"/>
  <c r="H1355" i="32"/>
  <c r="I1355" i="32"/>
  <c r="D1355" i="32"/>
  <c r="J1355" i="32"/>
  <c r="E1355" i="32"/>
  <c r="K1355" i="32"/>
  <c r="L1355" i="32"/>
  <c r="G1356" i="32"/>
  <c r="H1356" i="32"/>
  <c r="I1356" i="32"/>
  <c r="D1356" i="32"/>
  <c r="J1356" i="32"/>
  <c r="E1356" i="32"/>
  <c r="K1356" i="32"/>
  <c r="L1356" i="32"/>
  <c r="G1357" i="32"/>
  <c r="H1357" i="32"/>
  <c r="I1357" i="32"/>
  <c r="D1357" i="32"/>
  <c r="J1357" i="32"/>
  <c r="E1357" i="32"/>
  <c r="K1357" i="32"/>
  <c r="L1357" i="32"/>
  <c r="G1358" i="32"/>
  <c r="H1358" i="32"/>
  <c r="I1358" i="32"/>
  <c r="D1358" i="32"/>
  <c r="J1358" i="32"/>
  <c r="E1358" i="32"/>
  <c r="K1358" i="32"/>
  <c r="L1358" i="32"/>
  <c r="G1359" i="32"/>
  <c r="H1359" i="32"/>
  <c r="I1359" i="32"/>
  <c r="D1359" i="32"/>
  <c r="J1359" i="32"/>
  <c r="E1359" i="32"/>
  <c r="K1359" i="32"/>
  <c r="L1359" i="32"/>
  <c r="G1360" i="32"/>
  <c r="H1360" i="32"/>
  <c r="I1360" i="32"/>
  <c r="D1360" i="32"/>
  <c r="J1360" i="32"/>
  <c r="E1360" i="32"/>
  <c r="K1360" i="32"/>
  <c r="L1360" i="32"/>
  <c r="G1361" i="32"/>
  <c r="H1361" i="32"/>
  <c r="I1361" i="32"/>
  <c r="D1361" i="32"/>
  <c r="J1361" i="32"/>
  <c r="E1361" i="32"/>
  <c r="K1361" i="32"/>
  <c r="L1361" i="32"/>
  <c r="G1362" i="32"/>
  <c r="H1362" i="32"/>
  <c r="I1362" i="32"/>
  <c r="D1362" i="32"/>
  <c r="J1362" i="32"/>
  <c r="E1362" i="32"/>
  <c r="K1362" i="32"/>
  <c r="L1362" i="32"/>
  <c r="G1363" i="32"/>
  <c r="H1363" i="32"/>
  <c r="I1363" i="32"/>
  <c r="D1363" i="32"/>
  <c r="J1363" i="32"/>
  <c r="E1363" i="32"/>
  <c r="K1363" i="32"/>
  <c r="L1363" i="32"/>
  <c r="G1364" i="32"/>
  <c r="H1364" i="32"/>
  <c r="I1364" i="32"/>
  <c r="D1364" i="32"/>
  <c r="J1364" i="32"/>
  <c r="E1364" i="32"/>
  <c r="K1364" i="32"/>
  <c r="L1364" i="32"/>
  <c r="G1365" i="32"/>
  <c r="H1365" i="32"/>
  <c r="I1365" i="32"/>
  <c r="D1365" i="32"/>
  <c r="J1365" i="32"/>
  <c r="E1365" i="32"/>
  <c r="K1365" i="32"/>
  <c r="L1365" i="32"/>
  <c r="G1367" i="32"/>
  <c r="H1367" i="32"/>
  <c r="I1367" i="32"/>
  <c r="D1367" i="32"/>
  <c r="J1367" i="32"/>
  <c r="E1367" i="32"/>
  <c r="K1367" i="32"/>
  <c r="L1367" i="32"/>
  <c r="G1373" i="32"/>
  <c r="H1373" i="32"/>
  <c r="I1373" i="32"/>
  <c r="D1373" i="32"/>
  <c r="J1373" i="32"/>
  <c r="E1373" i="32"/>
  <c r="K1373" i="32"/>
  <c r="L1373" i="32"/>
  <c r="G1374" i="32"/>
  <c r="H1374" i="32"/>
  <c r="I1374" i="32"/>
  <c r="D1374" i="32"/>
  <c r="J1374" i="32"/>
  <c r="E1374" i="32"/>
  <c r="K1374" i="32"/>
  <c r="L1374" i="32"/>
  <c r="G1375" i="32"/>
  <c r="H1375" i="32"/>
  <c r="I1375" i="32"/>
  <c r="D1375" i="32"/>
  <c r="J1375" i="32"/>
  <c r="E1375" i="32"/>
  <c r="K1375" i="32"/>
  <c r="L1375" i="32"/>
  <c r="G1376" i="32"/>
  <c r="H1376" i="32"/>
  <c r="I1376" i="32"/>
  <c r="D1376" i="32"/>
  <c r="J1376" i="32"/>
  <c r="E1376" i="32"/>
  <c r="K1376" i="32"/>
  <c r="L1376" i="32"/>
  <c r="G1377" i="32"/>
  <c r="H1377" i="32"/>
  <c r="I1377" i="32"/>
  <c r="D1377" i="32"/>
  <c r="J1377" i="32"/>
  <c r="E1377" i="32"/>
  <c r="K1377" i="32"/>
  <c r="L1377" i="32"/>
  <c r="G1378" i="32"/>
  <c r="H1378" i="32"/>
  <c r="I1378" i="32"/>
  <c r="D1378" i="32"/>
  <c r="J1378" i="32"/>
  <c r="E1378" i="32"/>
  <c r="K1378" i="32"/>
  <c r="L1378" i="32"/>
  <c r="C1373" i="32"/>
  <c r="C1374" i="32"/>
  <c r="C1375" i="32"/>
  <c r="C1376" i="32"/>
  <c r="L1693" i="32"/>
  <c r="K1693" i="32"/>
  <c r="J1693" i="32"/>
  <c r="E1693" i="32"/>
  <c r="I1693" i="32"/>
  <c r="D1693" i="32"/>
  <c r="H1693" i="32"/>
  <c r="G1693" i="32"/>
  <c r="C1693" i="32"/>
  <c r="K1337" i="32"/>
  <c r="G1338" i="32"/>
  <c r="H1338" i="32"/>
  <c r="I1338" i="32"/>
  <c r="D1338" i="32"/>
  <c r="J1338" i="32"/>
  <c r="K1338" i="32"/>
  <c r="L1338" i="32"/>
  <c r="G1339" i="32"/>
  <c r="H1339" i="32"/>
  <c r="I1339" i="32"/>
  <c r="D1339" i="32"/>
  <c r="J1339" i="32"/>
  <c r="E1339" i="32"/>
  <c r="K1339" i="32"/>
  <c r="L1339" i="32"/>
  <c r="G1340" i="32"/>
  <c r="H1340" i="32"/>
  <c r="I1340" i="32"/>
  <c r="D1340" i="32"/>
  <c r="J1340" i="32"/>
  <c r="E1340" i="32"/>
  <c r="K1340" i="32"/>
  <c r="L1340" i="32"/>
  <c r="G1341" i="32"/>
  <c r="H1341" i="32"/>
  <c r="I1341" i="32"/>
  <c r="D1341" i="32"/>
  <c r="J1341" i="32"/>
  <c r="E1341" i="32"/>
  <c r="K1341" i="32"/>
  <c r="L1341" i="32"/>
  <c r="G1342" i="32"/>
  <c r="H1342" i="32"/>
  <c r="I1342" i="32"/>
  <c r="D1342" i="32"/>
  <c r="J1342" i="32"/>
  <c r="E1342" i="32"/>
  <c r="K1342" i="32"/>
  <c r="L1342" i="32"/>
  <c r="G1368" i="32"/>
  <c r="H1368" i="32"/>
  <c r="I1368" i="32"/>
  <c r="D1368" i="32"/>
  <c r="J1368" i="32"/>
  <c r="E1368" i="32"/>
  <c r="K1368" i="32"/>
  <c r="L1368" i="32"/>
  <c r="G1369" i="32"/>
  <c r="H1369" i="32"/>
  <c r="I1369" i="32"/>
  <c r="D1369" i="32"/>
  <c r="J1369" i="32"/>
  <c r="E1369" i="32"/>
  <c r="K1369" i="32"/>
  <c r="L1369" i="32"/>
  <c r="G1370" i="32"/>
  <c r="H1370" i="32"/>
  <c r="I1370" i="32"/>
  <c r="D1370" i="32"/>
  <c r="J1370" i="32"/>
  <c r="E1370" i="32"/>
  <c r="K1370" i="32"/>
  <c r="L1370" i="32"/>
  <c r="G1371" i="32"/>
  <c r="H1371" i="32"/>
  <c r="I1371" i="32"/>
  <c r="D1371" i="32"/>
  <c r="J1371" i="32"/>
  <c r="E1371" i="32"/>
  <c r="K1371" i="32"/>
  <c r="L1371" i="32"/>
  <c r="G1372" i="32"/>
  <c r="H1372" i="32"/>
  <c r="I1372" i="32"/>
  <c r="D1372" i="32"/>
  <c r="J1372" i="32"/>
  <c r="E1372" i="32"/>
  <c r="K1372" i="32"/>
  <c r="L1372" i="32"/>
  <c r="L1337" i="32"/>
  <c r="J1337" i="32"/>
  <c r="E1337" i="32"/>
  <c r="I1337" i="32"/>
  <c r="D1337" i="32"/>
  <c r="H1337" i="32"/>
  <c r="C1338" i="32"/>
  <c r="C1339" i="32"/>
  <c r="C1340" i="32"/>
  <c r="C1341" i="32"/>
  <c r="C1342" i="32"/>
  <c r="C1368" i="32"/>
  <c r="C1369" i="32"/>
  <c r="C1370" i="32"/>
  <c r="C1371" i="32"/>
  <c r="C1372" i="32"/>
  <c r="C1377" i="32"/>
  <c r="C1378" i="32"/>
  <c r="C1337" i="32"/>
  <c r="G1337"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c r="J1711" i="32"/>
  <c r="F1334" i="32"/>
  <c r="D1700" i="32"/>
  <c r="D1711" i="32"/>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E1338" i="32"/>
  <c r="E1379" i="32"/>
  <c r="J1379" i="32"/>
  <c r="F1337" i="32"/>
  <c r="G1379" i="32"/>
  <c r="L1314" i="32"/>
  <c r="I25" i="32"/>
  <c r="K25" i="32"/>
  <c r="G25" i="32"/>
  <c r="F1375" i="32"/>
  <c r="J26" i="32"/>
  <c r="E26" i="32"/>
  <c r="F29" i="32"/>
  <c r="G1314" i="32"/>
  <c r="H1314" i="32"/>
  <c r="F31" i="32"/>
  <c r="F1360" i="32"/>
  <c r="K27" i="32"/>
  <c r="D37" i="32"/>
  <c r="D1314" i="32"/>
  <c r="I1314" i="32"/>
  <c r="H1379" i="32"/>
  <c r="J27" i="32"/>
  <c r="E27" i="32"/>
  <c r="L27" i="32"/>
  <c r="E35" i="32"/>
  <c r="E1314" i="32"/>
  <c r="J1314" i="32"/>
  <c r="F1365" i="32"/>
  <c r="F1361" i="32"/>
  <c r="F1357" i="32"/>
  <c r="D1366" i="32"/>
  <c r="D1379" i="32"/>
  <c r="I1379" i="32"/>
  <c r="K1314" i="32"/>
  <c r="F1367" i="32"/>
  <c r="F1362" i="32"/>
  <c r="F1354" i="32"/>
  <c r="G26" i="32"/>
  <c r="I26" i="32"/>
  <c r="D26" i="32"/>
  <c r="F1700" i="32"/>
  <c r="P16" i="32"/>
  <c r="F1711" i="32"/>
  <c r="F1322" i="32"/>
  <c r="F26" i="32"/>
  <c r="F1336" i="32"/>
  <c r="F27" i="32"/>
  <c r="F1676" i="32"/>
  <c r="F1699" i="32"/>
  <c r="F1328" i="32"/>
  <c r="D25" i="32"/>
  <c r="E25" i="32"/>
  <c r="F1314" i="32"/>
  <c r="F1379"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F60" i="56"/>
  <c r="E59" i="56"/>
  <c r="D78" i="46"/>
  <c r="D79" i="46"/>
  <c r="D59" i="46"/>
  <c r="D71" i="46"/>
  <c r="D65" i="46"/>
  <c r="F59" i="56"/>
  <c r="G60" i="56"/>
  <c r="E111" i="56"/>
  <c r="D103" i="46"/>
  <c r="E78" i="46"/>
  <c r="E103" i="46"/>
  <c r="D111" i="56"/>
  <c r="E59" i="46"/>
  <c r="E65" i="46"/>
  <c r="E71" i="46"/>
  <c r="F111" i="56"/>
  <c r="F65" i="46"/>
  <c r="E79" i="46"/>
  <c r="E80" i="46"/>
  <c r="D60" i="46"/>
  <c r="D66" i="46"/>
  <c r="D72" i="46"/>
  <c r="G59" i="56"/>
  <c r="H60" i="56"/>
  <c r="F78" i="46"/>
  <c r="F59" i="46"/>
  <c r="E49" i="47"/>
  <c r="F71" i="46"/>
  <c r="F103" i="46"/>
  <c r="F112" i="56"/>
  <c r="D49" i="47"/>
  <c r="E66" i="46"/>
  <c r="D50" i="47"/>
  <c r="F66" i="46"/>
  <c r="E50" i="47"/>
  <c r="D51" i="47"/>
  <c r="E72" i="46"/>
  <c r="E60" i="46"/>
  <c r="D48" i="47"/>
  <c r="D57" i="47"/>
  <c r="E112" i="56"/>
  <c r="H59" i="56"/>
  <c r="I60" i="56"/>
  <c r="G111" i="56"/>
  <c r="G103" i="46"/>
  <c r="F72" i="46"/>
  <c r="E52" i="47"/>
  <c r="F79" i="46"/>
  <c r="F80" i="46"/>
  <c r="F60" i="46"/>
  <c r="E48" i="47"/>
  <c r="G78" i="46"/>
  <c r="G79" i="46"/>
  <c r="G80" i="46"/>
  <c r="G59" i="46"/>
  <c r="G65" i="46"/>
  <c r="G71" i="46"/>
  <c r="D52" i="47"/>
  <c r="F104" i="46"/>
  <c r="D53" i="47"/>
  <c r="E51" i="47"/>
  <c r="D66" i="47"/>
  <c r="E104" i="46"/>
  <c r="G104" i="46"/>
  <c r="E66" i="47"/>
  <c r="D67" i="47"/>
  <c r="E53" i="47"/>
  <c r="E57" i="47"/>
  <c r="E61" i="46"/>
  <c r="D56" i="47"/>
  <c r="E73" i="46"/>
  <c r="F67" i="46"/>
  <c r="E67" i="46"/>
  <c r="I59" i="56"/>
  <c r="G112" i="56"/>
  <c r="F66" i="47"/>
  <c r="F73" i="46"/>
  <c r="E56" i="47"/>
  <c r="F61" i="46"/>
  <c r="H103" i="46"/>
  <c r="G67" i="47"/>
  <c r="H111" i="56"/>
  <c r="G72" i="46"/>
  <c r="G66" i="46"/>
  <c r="G60" i="46"/>
  <c r="H65" i="46"/>
  <c r="H78" i="46"/>
  <c r="H59" i="46"/>
  <c r="H71" i="46"/>
  <c r="E67" i="47"/>
  <c r="F67" i="47"/>
  <c r="G66" i="47"/>
  <c r="H104" i="46"/>
  <c r="H112" i="56"/>
  <c r="F51" i="47"/>
  <c r="I65" i="46"/>
  <c r="I78" i="46"/>
  <c r="I59" i="46"/>
  <c r="I71" i="46"/>
  <c r="I111" i="56"/>
  <c r="H60" i="46"/>
  <c r="F48" i="47"/>
  <c r="G61" i="46"/>
  <c r="F52" i="47"/>
  <c r="G73" i="46"/>
  <c r="F49" i="47"/>
  <c r="I103" i="46"/>
  <c r="H79" i="46"/>
  <c r="F53" i="47"/>
  <c r="H72" i="46"/>
  <c r="H66" i="46"/>
  <c r="F56" i="47"/>
  <c r="F57" i="47"/>
  <c r="F50" i="47"/>
  <c r="G67" i="46"/>
  <c r="G51" i="47"/>
  <c r="G50" i="47"/>
  <c r="H67" i="46"/>
  <c r="I112" i="56"/>
  <c r="I72" i="46"/>
  <c r="G52" i="47"/>
  <c r="H73" i="46"/>
  <c r="G53" i="47"/>
  <c r="G57" i="47"/>
  <c r="I104" i="46"/>
  <c r="I60" i="46"/>
  <c r="G49" i="47"/>
  <c r="I79" i="46"/>
  <c r="I66" i="46"/>
  <c r="G56" i="47"/>
  <c r="G48" i="47"/>
  <c r="H61" i="46"/>
  <c r="H51" i="47"/>
  <c r="H56" i="47"/>
  <c r="H50" i="47"/>
  <c r="I67" i="46"/>
  <c r="H48" i="47"/>
  <c r="I61" i="46"/>
  <c r="H49" i="47"/>
  <c r="H52" i="47"/>
  <c r="I73" i="46"/>
  <c r="H66" i="47"/>
  <c r="H53" i="47"/>
  <c r="H57" i="47"/>
  <c r="H67" i="47"/>
  <c r="F101" i="56"/>
  <c r="N101" i="56"/>
  <c r="F117" i="56"/>
  <c r="E101" i="56"/>
  <c r="M101" i="56"/>
  <c r="E93" i="46"/>
  <c r="E117" i="56"/>
  <c r="I101" i="56"/>
  <c r="Q101" i="56"/>
  <c r="I117" i="56"/>
  <c r="G93" i="46"/>
  <c r="G101" i="56"/>
  <c r="O101" i="56"/>
  <c r="G117" i="56"/>
  <c r="H117" i="56"/>
  <c r="H101" i="56"/>
  <c r="P101" i="56"/>
  <c r="D117" i="56"/>
  <c r="D101" i="56"/>
  <c r="L101" i="56"/>
  <c r="E64" i="47"/>
  <c r="H64" i="47"/>
  <c r="D64" i="47"/>
  <c r="H68" i="47"/>
  <c r="D68" i="47"/>
  <c r="H65" i="47"/>
  <c r="G68" i="47"/>
  <c r="E65" i="47"/>
  <c r="G69" i="47"/>
  <c r="F68" i="47"/>
  <c r="D65" i="47"/>
  <c r="F64" i="47"/>
  <c r="E68" i="47"/>
  <c r="G64" i="47"/>
  <c r="G65" i="47"/>
  <c r="E69" i="47"/>
  <c r="D69" i="47"/>
  <c r="F65" i="47"/>
  <c r="F69" i="47"/>
  <c r="H69" i="47"/>
  <c r="I80" i="46"/>
  <c r="H80" i="46"/>
  <c r="I109" i="46"/>
  <c r="B107" i="56"/>
  <c r="H109" i="46"/>
  <c r="F93" i="46"/>
  <c r="D109" i="46"/>
  <c r="D93" i="46"/>
  <c r="G109" i="46"/>
  <c r="I93" i="46"/>
  <c r="F109" i="46"/>
  <c r="I48" i="57"/>
  <c r="L14" i="61"/>
  <c r="K13" i="46"/>
  <c r="L19" i="61"/>
  <c r="K24" i="46"/>
  <c r="J48" i="57"/>
  <c r="K48" i="57"/>
  <c r="G32" i="57"/>
  <c r="D21" i="57"/>
  <c r="G21" i="57"/>
  <c r="E29" i="57"/>
  <c r="F35" i="57"/>
  <c r="G35" i="57"/>
  <c r="F21" i="57"/>
  <c r="F27" i="57"/>
  <c r="D32" i="57"/>
  <c r="E24" i="57"/>
  <c r="G27" i="57"/>
  <c r="D35" i="57"/>
  <c r="E23" i="57"/>
  <c r="G23" i="57"/>
  <c r="L21" i="61"/>
  <c r="K28" i="46"/>
  <c r="G24" i="57"/>
  <c r="D29" i="57"/>
  <c r="G29" i="57"/>
  <c r="L22" i="61"/>
  <c r="K30" i="46"/>
  <c r="F29" i="57"/>
  <c r="D24" i="57"/>
  <c r="G30" i="57"/>
  <c r="G25" i="57"/>
  <c r="P22" i="46"/>
  <c r="N22" i="46"/>
  <c r="O22" i="46"/>
  <c r="L20" i="61"/>
  <c r="K26" i="46"/>
  <c r="N26" i="46"/>
  <c r="L16" i="61"/>
  <c r="K18" i="46"/>
  <c r="O18" i="46"/>
  <c r="L17" i="61"/>
  <c r="K20" i="46"/>
  <c r="M20" i="46"/>
  <c r="Q16" i="46"/>
  <c r="M16" i="46"/>
  <c r="P16" i="46"/>
  <c r="L16" i="46"/>
  <c r="N16" i="46"/>
  <c r="O16" i="46"/>
  <c r="Q22" i="46"/>
  <c r="M22" i="46"/>
  <c r="L22" i="46"/>
  <c r="C23" i="42"/>
  <c r="C25" i="42"/>
  <c r="D25" i="42"/>
  <c r="C26" i="42"/>
  <c r="F26" i="42"/>
  <c r="C24" i="42"/>
  <c r="D24" i="42"/>
  <c r="C27" i="42"/>
  <c r="D26" i="42"/>
  <c r="D10" i="59"/>
  <c r="D12" i="59"/>
  <c r="D13" i="59"/>
  <c r="G27" i="42"/>
  <c r="E26" i="42"/>
  <c r="D11" i="59"/>
  <c r="D28" i="42"/>
  <c r="E25" i="42"/>
  <c r="O30" i="46"/>
  <c r="L30" i="46"/>
  <c r="P30" i="46"/>
  <c r="N30" i="46"/>
  <c r="Q30" i="46"/>
  <c r="M30" i="46"/>
  <c r="Q28" i="46"/>
  <c r="L28" i="46"/>
  <c r="N28" i="46"/>
  <c r="M28" i="46"/>
  <c r="O28" i="46"/>
  <c r="P28" i="46"/>
  <c r="Q26" i="46"/>
  <c r="M26" i="46"/>
  <c r="P20" i="46"/>
  <c r="O26" i="46"/>
  <c r="N18" i="46"/>
  <c r="L20" i="46"/>
  <c r="O20" i="46"/>
  <c r="Q18" i="46"/>
  <c r="N20" i="46"/>
  <c r="L26" i="46"/>
  <c r="P18" i="46"/>
  <c r="M18" i="46"/>
  <c r="P26" i="46"/>
  <c r="Q20" i="46"/>
  <c r="L18" i="46"/>
  <c r="D27" i="42"/>
  <c r="E27" i="42"/>
  <c r="F27" i="42"/>
  <c r="D7" i="56"/>
  <c r="D7" i="46"/>
  <c r="D8" i="42"/>
  <c r="L36" i="50"/>
  <c r="E46" i="50"/>
  <c r="E19" i="42"/>
  <c r="E29" i="42"/>
  <c r="E7" i="56"/>
  <c r="E7" i="46"/>
  <c r="E8" i="42"/>
  <c r="M36" i="50"/>
  <c r="F46" i="50"/>
  <c r="F19" i="42"/>
  <c r="F29" i="42"/>
  <c r="F8" i="42"/>
  <c r="F7" i="56"/>
  <c r="F7" i="46"/>
  <c r="I7" i="56"/>
  <c r="I8" i="42"/>
  <c r="I7" i="46"/>
  <c r="I29" i="42"/>
  <c r="H19" i="42"/>
  <c r="H29" i="42"/>
  <c r="H7" i="46"/>
  <c r="H7" i="56"/>
  <c r="H8" i="42"/>
  <c r="G8" i="42"/>
  <c r="G7" i="56"/>
  <c r="G7" i="46"/>
  <c r="N36" i="50"/>
  <c r="G46" i="50"/>
  <c r="G19" i="42"/>
  <c r="G29" i="42"/>
  <c r="O37" i="50"/>
  <c r="M37" i="50"/>
  <c r="D29" i="42"/>
  <c r="D45" i="56"/>
  <c r="L45" i="56"/>
  <c r="D45" i="46"/>
  <c r="D38" i="56"/>
  <c r="F13" i="47"/>
  <c r="L37" i="50"/>
  <c r="C13" i="47"/>
  <c r="N37" i="50"/>
  <c r="K37" i="50"/>
  <c r="G13" i="42"/>
  <c r="E13" i="47"/>
  <c r="F13" i="42"/>
  <c r="G18" i="42"/>
  <c r="H13" i="42"/>
  <c r="I24" i="42"/>
  <c r="E18" i="42"/>
  <c r="D13" i="47"/>
  <c r="G13" i="47"/>
  <c r="E47" i="50"/>
  <c r="G45" i="56"/>
  <c r="O45" i="56"/>
  <c r="G38" i="46"/>
  <c r="G38" i="56"/>
  <c r="G28" i="42"/>
  <c r="G45" i="46"/>
  <c r="H15" i="62"/>
  <c r="I85" i="46"/>
  <c r="I86" i="46"/>
  <c r="I100" i="56"/>
  <c r="I23" i="42"/>
  <c r="I92" i="46"/>
  <c r="I94" i="46"/>
  <c r="I116" i="56"/>
  <c r="I118" i="56"/>
  <c r="I108" i="46"/>
  <c r="I110" i="46"/>
  <c r="I93" i="56"/>
  <c r="H16" i="62"/>
  <c r="H17" i="62"/>
  <c r="G14" i="42"/>
  <c r="G24" i="42"/>
  <c r="G93" i="56"/>
  <c r="F16" i="62"/>
  <c r="F17" i="62"/>
  <c r="G23" i="42"/>
  <c r="G108" i="46"/>
  <c r="G110" i="46"/>
  <c r="F15" i="62"/>
  <c r="G116" i="56"/>
  <c r="G118" i="56"/>
  <c r="D116" i="56"/>
  <c r="D118" i="56"/>
  <c r="G119" i="56"/>
  <c r="G85" i="46"/>
  <c r="G86" i="46"/>
  <c r="G100" i="56"/>
  <c r="G92" i="46"/>
  <c r="G94" i="46"/>
  <c r="H92" i="46"/>
  <c r="H94" i="46"/>
  <c r="G16" i="62"/>
  <c r="H23" i="42"/>
  <c r="G15" i="62"/>
  <c r="H93" i="56"/>
  <c r="H85" i="46"/>
  <c r="H86" i="46"/>
  <c r="G17" i="62"/>
  <c r="H108" i="46"/>
  <c r="H110" i="46"/>
  <c r="H100" i="56"/>
  <c r="H116" i="56"/>
  <c r="H118" i="56"/>
  <c r="H119" i="56"/>
  <c r="E45" i="46"/>
  <c r="E38" i="56"/>
  <c r="E28" i="42"/>
  <c r="E45" i="56"/>
  <c r="M45" i="56"/>
  <c r="E38" i="46"/>
  <c r="D52" i="46"/>
  <c r="D53" i="46"/>
  <c r="D14" i="46"/>
  <c r="D11" i="46"/>
  <c r="L11" i="46"/>
  <c r="C17" i="62"/>
  <c r="C24" i="62"/>
  <c r="D20" i="42"/>
  <c r="D37" i="56"/>
  <c r="D39" i="56"/>
  <c r="D10" i="56"/>
  <c r="D11" i="56"/>
  <c r="D108" i="46"/>
  <c r="D110" i="46"/>
  <c r="C15" i="62"/>
  <c r="D85" i="46"/>
  <c r="D86" i="46"/>
  <c r="D23" i="46"/>
  <c r="D24" i="46"/>
  <c r="L24" i="46"/>
  <c r="D100" i="56"/>
  <c r="D44" i="56"/>
  <c r="D44" i="46"/>
  <c r="D46" i="46"/>
  <c r="D12" i="46"/>
  <c r="D13" i="46"/>
  <c r="L13" i="46"/>
  <c r="D93" i="56"/>
  <c r="D52" i="56"/>
  <c r="D23" i="42"/>
  <c r="D30" i="42"/>
  <c r="C18" i="47"/>
  <c r="D92" i="46"/>
  <c r="D94" i="46"/>
  <c r="C16" i="62"/>
  <c r="C23" i="62"/>
  <c r="E23" i="42"/>
  <c r="E92" i="46"/>
  <c r="E94" i="46"/>
  <c r="E85" i="46"/>
  <c r="E86" i="46"/>
  <c r="D16" i="62"/>
  <c r="E93" i="56"/>
  <c r="E100" i="56"/>
  <c r="D15" i="62"/>
  <c r="E116" i="56"/>
  <c r="E118" i="56"/>
  <c r="E119" i="56"/>
  <c r="D17" i="62"/>
  <c r="E108" i="46"/>
  <c r="E110" i="46"/>
  <c r="E111" i="46"/>
  <c r="F14" i="42"/>
  <c r="F24" i="42"/>
  <c r="E24" i="42"/>
  <c r="F18" i="42"/>
  <c r="F85" i="46"/>
  <c r="F86" i="46"/>
  <c r="F108" i="46"/>
  <c r="F110" i="46"/>
  <c r="F111" i="46"/>
  <c r="F116" i="56"/>
  <c r="F118" i="56"/>
  <c r="F119" i="56"/>
  <c r="F23" i="42"/>
  <c r="F92" i="46"/>
  <c r="F94" i="46"/>
  <c r="E17" i="62"/>
  <c r="E16" i="62"/>
  <c r="E15" i="62"/>
  <c r="F100" i="56"/>
  <c r="F93" i="56"/>
  <c r="I25" i="42"/>
  <c r="H14" i="42"/>
  <c r="H24" i="42"/>
  <c r="E37" i="46"/>
  <c r="E53" i="46"/>
  <c r="E54" i="46"/>
  <c r="E44" i="56"/>
  <c r="E46" i="56"/>
  <c r="E20" i="42"/>
  <c r="E44" i="46"/>
  <c r="E46" i="46"/>
  <c r="E47" i="46"/>
  <c r="E52" i="56"/>
  <c r="M52" i="56"/>
  <c r="M53" i="56"/>
  <c r="L31" i="46"/>
  <c r="F95" i="46"/>
  <c r="I119" i="56"/>
  <c r="H95" i="46"/>
  <c r="E95" i="46"/>
  <c r="F102" i="56"/>
  <c r="N100" i="56"/>
  <c r="N102" i="56"/>
  <c r="E39" i="46"/>
  <c r="E30" i="42"/>
  <c r="H87" i="46"/>
  <c r="H23" i="46"/>
  <c r="H24" i="62"/>
  <c r="N24" i="62"/>
  <c r="N17" i="62"/>
  <c r="N16" i="62"/>
  <c r="H23" i="62"/>
  <c r="N23" i="62"/>
  <c r="F45" i="56"/>
  <c r="N45" i="56"/>
  <c r="F38" i="56"/>
  <c r="F45" i="46"/>
  <c r="F28" i="42"/>
  <c r="F38" i="46"/>
  <c r="J17" i="62"/>
  <c r="D24" i="62"/>
  <c r="J24" i="62"/>
  <c r="L100" i="56"/>
  <c r="L102" i="56"/>
  <c r="D102" i="56"/>
  <c r="O93" i="56"/>
  <c r="O94" i="56"/>
  <c r="G94" i="56"/>
  <c r="I95" i="46"/>
  <c r="D46" i="56"/>
  <c r="D12" i="56"/>
  <c r="D13" i="56"/>
  <c r="L44" i="56"/>
  <c r="L46" i="56"/>
  <c r="L12" i="56"/>
  <c r="E22" i="62"/>
  <c r="K15" i="62"/>
  <c r="K18" i="62"/>
  <c r="E72" i="47"/>
  <c r="E18" i="62"/>
  <c r="E23" i="62"/>
  <c r="K23" i="62"/>
  <c r="K16" i="62"/>
  <c r="E94" i="56"/>
  <c r="M93" i="56"/>
  <c r="M94" i="56"/>
  <c r="H102" i="56"/>
  <c r="P100" i="56"/>
  <c r="P102" i="56"/>
  <c r="G95" i="46"/>
  <c r="F18" i="62"/>
  <c r="F22" i="62"/>
  <c r="L15" i="62"/>
  <c r="L18" i="62"/>
  <c r="F72" i="47"/>
  <c r="G111" i="46"/>
  <c r="I102" i="56"/>
  <c r="I103" i="56"/>
  <c r="Q100" i="56"/>
  <c r="Q102" i="56"/>
  <c r="P93" i="56"/>
  <c r="P94" i="56"/>
  <c r="H94" i="56"/>
  <c r="D23" i="62"/>
  <c r="J23" i="62"/>
  <c r="J16" i="62"/>
  <c r="C22" i="62"/>
  <c r="C25" i="62"/>
  <c r="C18" i="62"/>
  <c r="G18" i="62"/>
  <c r="M15" i="62"/>
  <c r="M18" i="62"/>
  <c r="G72" i="47"/>
  <c r="G22" i="62"/>
  <c r="D18" i="62"/>
  <c r="D22" i="62"/>
  <c r="J15" i="62"/>
  <c r="J18" i="62"/>
  <c r="D72" i="47"/>
  <c r="E37" i="56"/>
  <c r="E39" i="56"/>
  <c r="H111" i="46"/>
  <c r="G102" i="56"/>
  <c r="O100" i="56"/>
  <c r="O102" i="56"/>
  <c r="O103" i="56"/>
  <c r="I94" i="56"/>
  <c r="Q93" i="56"/>
  <c r="Q94" i="56"/>
  <c r="I23" i="46"/>
  <c r="I87" i="46"/>
  <c r="K17" i="62"/>
  <c r="E24" i="62"/>
  <c r="K24" i="62"/>
  <c r="F23" i="46"/>
  <c r="F87" i="46"/>
  <c r="E58" i="56"/>
  <c r="E87" i="46"/>
  <c r="E23" i="46"/>
  <c r="L52" i="56"/>
  <c r="L53" i="56"/>
  <c r="L14" i="56"/>
  <c r="D58" i="56"/>
  <c r="D53" i="56"/>
  <c r="D14" i="56"/>
  <c r="G24" i="62"/>
  <c r="M24" i="62"/>
  <c r="M17" i="62"/>
  <c r="G23" i="46"/>
  <c r="G87" i="46"/>
  <c r="F24" i="62"/>
  <c r="L24" i="62"/>
  <c r="L17" i="62"/>
  <c r="I111" i="46"/>
  <c r="N15" i="62"/>
  <c r="N18" i="62"/>
  <c r="H72" i="47"/>
  <c r="H18" i="62"/>
  <c r="H22" i="62"/>
  <c r="F15" i="42"/>
  <c r="G15" i="42"/>
  <c r="N93" i="56"/>
  <c r="N94" i="56"/>
  <c r="F94" i="56"/>
  <c r="H18" i="42"/>
  <c r="M100" i="56"/>
  <c r="M102" i="56"/>
  <c r="M103" i="56"/>
  <c r="E102" i="56"/>
  <c r="E103" i="56"/>
  <c r="L93" i="56"/>
  <c r="L94" i="56"/>
  <c r="L23" i="56"/>
  <c r="D94" i="56"/>
  <c r="D23" i="56"/>
  <c r="D24" i="56"/>
  <c r="G23" i="62"/>
  <c r="M23" i="62"/>
  <c r="M16" i="62"/>
  <c r="F23" i="62"/>
  <c r="L23" i="62"/>
  <c r="L16" i="62"/>
  <c r="I26" i="42"/>
  <c r="H15" i="42"/>
  <c r="F47" i="50"/>
  <c r="E14" i="46"/>
  <c r="D45" i="47"/>
  <c r="M44" i="56"/>
  <c r="M46" i="56"/>
  <c r="M12" i="56"/>
  <c r="E53" i="56"/>
  <c r="E12" i="46"/>
  <c r="G103" i="56"/>
  <c r="P103" i="56"/>
  <c r="Q103" i="56"/>
  <c r="H103" i="56"/>
  <c r="H38" i="56"/>
  <c r="H38" i="46"/>
  <c r="H28" i="42"/>
  <c r="H45" i="56"/>
  <c r="P45" i="56"/>
  <c r="H45" i="46"/>
  <c r="Q95" i="56"/>
  <c r="Q23" i="56"/>
  <c r="E12" i="56"/>
  <c r="E13" i="56"/>
  <c r="E47" i="56"/>
  <c r="E40" i="56"/>
  <c r="E10" i="56"/>
  <c r="E11" i="56"/>
  <c r="F23" i="56"/>
  <c r="F24" i="56"/>
  <c r="F95" i="56"/>
  <c r="M54" i="56"/>
  <c r="M14" i="56"/>
  <c r="N23" i="56"/>
  <c r="N95" i="56"/>
  <c r="D25" i="62"/>
  <c r="J22" i="62"/>
  <c r="J25" i="62"/>
  <c r="O23" i="56"/>
  <c r="O95" i="56"/>
  <c r="E10" i="46"/>
  <c r="E40" i="46"/>
  <c r="I23" i="56"/>
  <c r="I24" i="56"/>
  <c r="I95" i="56"/>
  <c r="G25" i="42"/>
  <c r="D86" i="56"/>
  <c r="D79" i="56"/>
  <c r="D61" i="56"/>
  <c r="D73" i="56"/>
  <c r="D67" i="56"/>
  <c r="E60" i="47"/>
  <c r="F24" i="46"/>
  <c r="K22" i="62"/>
  <c r="K25" i="62"/>
  <c r="E25" i="62"/>
  <c r="G95" i="56"/>
  <c r="G23" i="56"/>
  <c r="G24" i="56"/>
  <c r="D18" i="47"/>
  <c r="E32" i="42"/>
  <c r="E33" i="42"/>
  <c r="I38" i="56"/>
  <c r="I45" i="56"/>
  <c r="Q45" i="56"/>
  <c r="I28" i="42"/>
  <c r="I45" i="46"/>
  <c r="M22" i="62"/>
  <c r="M25" i="62"/>
  <c r="G25" i="62"/>
  <c r="H23" i="56"/>
  <c r="H24" i="56"/>
  <c r="H95" i="56"/>
  <c r="I53" i="46"/>
  <c r="H16" i="42"/>
  <c r="H25" i="42"/>
  <c r="F25" i="42"/>
  <c r="F30" i="42"/>
  <c r="F44" i="46"/>
  <c r="F46" i="46"/>
  <c r="F52" i="46"/>
  <c r="F53" i="46"/>
  <c r="F37" i="46"/>
  <c r="F39" i="46"/>
  <c r="F52" i="56"/>
  <c r="F44" i="56"/>
  <c r="F37" i="56"/>
  <c r="F39" i="56"/>
  <c r="F20" i="42"/>
  <c r="E24" i="46"/>
  <c r="D60" i="47"/>
  <c r="P95" i="56"/>
  <c r="P23" i="56"/>
  <c r="M23" i="56"/>
  <c r="M95" i="56"/>
  <c r="L31" i="56"/>
  <c r="C27" i="47"/>
  <c r="C33" i="47"/>
  <c r="D43" i="47"/>
  <c r="E13" i="46"/>
  <c r="G16" i="42"/>
  <c r="G26" i="42"/>
  <c r="G47" i="50"/>
  <c r="E23" i="56"/>
  <c r="E24" i="56"/>
  <c r="E95" i="56"/>
  <c r="N103" i="56"/>
  <c r="E14" i="56"/>
  <c r="E54" i="56"/>
  <c r="G24" i="46"/>
  <c r="F60" i="47"/>
  <c r="N22" i="62"/>
  <c r="N25" i="62"/>
  <c r="H25" i="62"/>
  <c r="E67" i="56"/>
  <c r="E79" i="56"/>
  <c r="E73" i="56"/>
  <c r="E61" i="56"/>
  <c r="E62" i="56"/>
  <c r="E86" i="56"/>
  <c r="H60" i="47"/>
  <c r="I24" i="46"/>
  <c r="F25" i="62"/>
  <c r="L22" i="62"/>
  <c r="L25" i="62"/>
  <c r="G60" i="47"/>
  <c r="H24" i="46"/>
  <c r="F103" i="56"/>
  <c r="I44" i="56"/>
  <c r="I46" i="56"/>
  <c r="M47" i="56"/>
  <c r="I44" i="46"/>
  <c r="I46" i="46"/>
  <c r="I47" i="46"/>
  <c r="I20" i="42"/>
  <c r="I52" i="56"/>
  <c r="Q52" i="56"/>
  <c r="Q53" i="56"/>
  <c r="M31" i="56"/>
  <c r="D27" i="47"/>
  <c r="D28" i="47"/>
  <c r="I14" i="46"/>
  <c r="H45" i="47"/>
  <c r="I54" i="46"/>
  <c r="F14" i="46"/>
  <c r="E45" i="47"/>
  <c r="F54" i="46"/>
  <c r="Q44" i="56"/>
  <c r="Q46" i="56"/>
  <c r="D80" i="56"/>
  <c r="D19" i="56"/>
  <c r="D20" i="56"/>
  <c r="G30" i="42"/>
  <c r="E20" i="56"/>
  <c r="E80" i="56"/>
  <c r="M24" i="46"/>
  <c r="D61" i="47"/>
  <c r="E18" i="47"/>
  <c r="F32" i="42"/>
  <c r="F33" i="42"/>
  <c r="G44" i="46"/>
  <c r="G46" i="46"/>
  <c r="M13" i="46"/>
  <c r="D44" i="47"/>
  <c r="E61" i="47"/>
  <c r="N24" i="46"/>
  <c r="G44" i="56"/>
  <c r="I47" i="50"/>
  <c r="D87" i="56"/>
  <c r="D21" i="56"/>
  <c r="D22" i="56"/>
  <c r="G37" i="46"/>
  <c r="G39" i="46"/>
  <c r="D41" i="47"/>
  <c r="E11" i="46"/>
  <c r="E68" i="56"/>
  <c r="E16" i="56"/>
  <c r="F40" i="56"/>
  <c r="F10" i="56"/>
  <c r="F11" i="56"/>
  <c r="D20" i="47"/>
  <c r="D19" i="47"/>
  <c r="H61" i="47"/>
  <c r="Q24" i="46"/>
  <c r="N44" i="56"/>
  <c r="N46" i="56"/>
  <c r="F46" i="56"/>
  <c r="H26" i="42"/>
  <c r="D68" i="56"/>
  <c r="D15" i="56"/>
  <c r="D16" i="56"/>
  <c r="G20" i="42"/>
  <c r="F12" i="46"/>
  <c r="F47" i="46"/>
  <c r="G52" i="56"/>
  <c r="N52" i="56"/>
  <c r="N53" i="56"/>
  <c r="F58" i="56"/>
  <c r="F53" i="56"/>
  <c r="I27" i="42"/>
  <c r="I30" i="42"/>
  <c r="D18" i="56"/>
  <c r="D74" i="56"/>
  <c r="D17" i="56"/>
  <c r="G37" i="56"/>
  <c r="G39" i="56"/>
  <c r="I37" i="56"/>
  <c r="I39" i="56"/>
  <c r="E18" i="56"/>
  <c r="E74" i="56"/>
  <c r="P24" i="46"/>
  <c r="G61" i="47"/>
  <c r="E22" i="56"/>
  <c r="E87" i="56"/>
  <c r="O24" i="46"/>
  <c r="F61" i="47"/>
  <c r="H17" i="42"/>
  <c r="H52" i="46"/>
  <c r="H53" i="46"/>
  <c r="H47" i="50"/>
  <c r="F10" i="46"/>
  <c r="F40" i="46"/>
  <c r="I53" i="56"/>
  <c r="I58" i="56"/>
  <c r="G52" i="46"/>
  <c r="G53" i="46"/>
  <c r="D33" i="47"/>
  <c r="D35" i="47"/>
  <c r="D29" i="47"/>
  <c r="I12" i="46"/>
  <c r="H37" i="46"/>
  <c r="H39" i="46"/>
  <c r="H14" i="46"/>
  <c r="G45" i="47"/>
  <c r="H54" i="46"/>
  <c r="E41" i="47"/>
  <c r="F11" i="46"/>
  <c r="I10" i="46"/>
  <c r="I40" i="46"/>
  <c r="E15" i="56"/>
  <c r="E69" i="56"/>
  <c r="O44" i="56"/>
  <c r="O46" i="56"/>
  <c r="G46" i="56"/>
  <c r="M11" i="46"/>
  <c r="M31" i="46"/>
  <c r="D42" i="47"/>
  <c r="E81" i="56"/>
  <c r="E19" i="56"/>
  <c r="I12" i="56"/>
  <c r="I13" i="56"/>
  <c r="I47" i="56"/>
  <c r="H10" i="46"/>
  <c r="H40" i="46"/>
  <c r="F73" i="56"/>
  <c r="F79" i="56"/>
  <c r="F86" i="56"/>
  <c r="F61" i="56"/>
  <c r="F62" i="56"/>
  <c r="F67" i="56"/>
  <c r="G40" i="46"/>
  <c r="G10" i="46"/>
  <c r="G14" i="46"/>
  <c r="F45" i="47"/>
  <c r="G54" i="46"/>
  <c r="I32" i="42"/>
  <c r="H18" i="47"/>
  <c r="H27" i="42"/>
  <c r="H30" i="42"/>
  <c r="H20" i="42"/>
  <c r="H44" i="46"/>
  <c r="H46" i="46"/>
  <c r="H44" i="56"/>
  <c r="F14" i="56"/>
  <c r="F54" i="56"/>
  <c r="Q14" i="56"/>
  <c r="Q54" i="56"/>
  <c r="I14" i="56"/>
  <c r="I54" i="56"/>
  <c r="I10" i="56"/>
  <c r="I11" i="56"/>
  <c r="I40" i="56"/>
  <c r="N14" i="56"/>
  <c r="N54" i="56"/>
  <c r="H52" i="56"/>
  <c r="G53" i="56"/>
  <c r="G58" i="56"/>
  <c r="O52" i="56"/>
  <c r="O53" i="56"/>
  <c r="G47" i="46"/>
  <c r="G12" i="46"/>
  <c r="E17" i="56"/>
  <c r="E75" i="56"/>
  <c r="G40" i="56"/>
  <c r="G10" i="56"/>
  <c r="G11" i="56"/>
  <c r="F12" i="56"/>
  <c r="F13" i="56"/>
  <c r="F47" i="56"/>
  <c r="G32" i="42"/>
  <c r="G33" i="42"/>
  <c r="F18" i="47"/>
  <c r="Q47" i="56"/>
  <c r="Q12" i="56"/>
  <c r="I86" i="56"/>
  <c r="I61" i="56"/>
  <c r="I62" i="56"/>
  <c r="I67" i="56"/>
  <c r="I73" i="56"/>
  <c r="I79" i="56"/>
  <c r="E88" i="56"/>
  <c r="E21" i="56"/>
  <c r="H43" i="47"/>
  <c r="I13" i="46"/>
  <c r="F13" i="46"/>
  <c r="E43" i="47"/>
  <c r="N47" i="56"/>
  <c r="N12" i="56"/>
  <c r="E19" i="47"/>
  <c r="E20" i="47"/>
  <c r="H37" i="56"/>
  <c r="H39" i="56"/>
  <c r="D34" i="47"/>
  <c r="H32" i="42"/>
  <c r="H33" i="42"/>
  <c r="G18" i="47"/>
  <c r="H20" i="47"/>
  <c r="G79" i="56"/>
  <c r="G67" i="56"/>
  <c r="G86" i="56"/>
  <c r="G73" i="56"/>
  <c r="G61" i="56"/>
  <c r="G62" i="56"/>
  <c r="N13" i="46"/>
  <c r="E44" i="47"/>
  <c r="G54" i="56"/>
  <c r="G14" i="56"/>
  <c r="H19" i="47"/>
  <c r="F22" i="56"/>
  <c r="F87" i="56"/>
  <c r="I87" i="56"/>
  <c r="I22" i="56"/>
  <c r="Q31" i="56"/>
  <c r="H27" i="47"/>
  <c r="H33" i="47"/>
  <c r="F74" i="56"/>
  <c r="F18" i="56"/>
  <c r="I11" i="46"/>
  <c r="H41" i="47"/>
  <c r="I33" i="42"/>
  <c r="F80" i="56"/>
  <c r="F20" i="56"/>
  <c r="E42" i="47"/>
  <c r="N11" i="46"/>
  <c r="I16" i="56"/>
  <c r="I68" i="56"/>
  <c r="H10" i="56"/>
  <c r="H11" i="56"/>
  <c r="H40" i="56"/>
  <c r="H53" i="56"/>
  <c r="P52" i="56"/>
  <c r="P53" i="56"/>
  <c r="H58" i="56"/>
  <c r="F19" i="47"/>
  <c r="F20" i="47"/>
  <c r="P44" i="56"/>
  <c r="P46" i="56"/>
  <c r="H46" i="56"/>
  <c r="G11" i="46"/>
  <c r="F41" i="47"/>
  <c r="N31" i="56"/>
  <c r="E27" i="47"/>
  <c r="I20" i="56"/>
  <c r="I80" i="56"/>
  <c r="H12" i="46"/>
  <c r="H47" i="46"/>
  <c r="G12" i="56"/>
  <c r="G13" i="56"/>
  <c r="G47" i="56"/>
  <c r="Q13" i="46"/>
  <c r="H44" i="47"/>
  <c r="G13" i="46"/>
  <c r="F43" i="47"/>
  <c r="G41" i="47"/>
  <c r="H11" i="46"/>
  <c r="I18" i="56"/>
  <c r="I74" i="56"/>
  <c r="O14" i="56"/>
  <c r="O54" i="56"/>
  <c r="F68" i="56"/>
  <c r="F16" i="56"/>
  <c r="O47" i="56"/>
  <c r="O12" i="56"/>
  <c r="O31" i="56"/>
  <c r="F27" i="47"/>
  <c r="F33" i="47"/>
  <c r="N31" i="46"/>
  <c r="F34" i="47"/>
  <c r="F88" i="56"/>
  <c r="F21" i="56"/>
  <c r="H47" i="56"/>
  <c r="H12" i="56"/>
  <c r="H13" i="56"/>
  <c r="P11" i="46"/>
  <c r="G42" i="47"/>
  <c r="P47" i="56"/>
  <c r="P12" i="56"/>
  <c r="H13" i="46"/>
  <c r="G43" i="47"/>
  <c r="I69" i="56"/>
  <c r="I15" i="56"/>
  <c r="H42" i="47"/>
  <c r="Q11" i="46"/>
  <c r="Q31" i="46"/>
  <c r="H34" i="47"/>
  <c r="G74" i="56"/>
  <c r="G18" i="56"/>
  <c r="I81" i="56"/>
  <c r="I19" i="56"/>
  <c r="G22" i="56"/>
  <c r="G87" i="56"/>
  <c r="F29" i="47"/>
  <c r="F28" i="47"/>
  <c r="O13" i="46"/>
  <c r="F44" i="47"/>
  <c r="F75" i="56"/>
  <c r="F17" i="56"/>
  <c r="G68" i="56"/>
  <c r="G16" i="56"/>
  <c r="E29" i="47"/>
  <c r="E28" i="47"/>
  <c r="E33" i="47"/>
  <c r="H79" i="56"/>
  <c r="H86" i="56"/>
  <c r="H73" i="56"/>
  <c r="H67" i="56"/>
  <c r="H61" i="56"/>
  <c r="H62" i="56"/>
  <c r="H28" i="47"/>
  <c r="G20" i="56"/>
  <c r="G80" i="56"/>
  <c r="F15" i="56"/>
  <c r="F69" i="56"/>
  <c r="P54" i="56"/>
  <c r="P14" i="56"/>
  <c r="G20" i="47"/>
  <c r="G19" i="47"/>
  <c r="I75" i="56"/>
  <c r="I17" i="56"/>
  <c r="F42" i="47"/>
  <c r="O11" i="46"/>
  <c r="H14" i="56"/>
  <c r="H54" i="56"/>
  <c r="F81" i="56"/>
  <c r="F19" i="56"/>
  <c r="I88" i="56"/>
  <c r="I21" i="56"/>
  <c r="O31" i="46"/>
  <c r="G88" i="56"/>
  <c r="G21" i="56"/>
  <c r="H18" i="56"/>
  <c r="H74" i="56"/>
  <c r="H22" i="56"/>
  <c r="H87" i="56"/>
  <c r="H68" i="56"/>
  <c r="H16" i="56"/>
  <c r="G69" i="56"/>
  <c r="G15" i="56"/>
  <c r="E34" i="47"/>
  <c r="E35" i="47"/>
  <c r="G75" i="56"/>
  <c r="G17" i="56"/>
  <c r="G44" i="47"/>
  <c r="P13" i="46"/>
  <c r="P31" i="46"/>
  <c r="G19" i="56"/>
  <c r="G81" i="56"/>
  <c r="H80" i="56"/>
  <c r="H20" i="56"/>
  <c r="P31" i="56"/>
  <c r="G27" i="47"/>
  <c r="F35" i="47"/>
  <c r="H15" i="56"/>
  <c r="H69" i="56"/>
  <c r="G28" i="47"/>
  <c r="G29" i="47"/>
  <c r="H29" i="47"/>
  <c r="G33" i="47"/>
  <c r="H19" i="56"/>
  <c r="H81" i="56"/>
  <c r="H88" i="56"/>
  <c r="H21" i="56"/>
  <c r="H17" i="56"/>
  <c r="H75" i="56"/>
  <c r="G35" i="47"/>
  <c r="G34" i="47"/>
  <c r="H3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<sst xmlns="http://schemas.openxmlformats.org/spreadsheetml/2006/main" count="4608" uniqueCount="2235">
  <si>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</si>
  <si>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</si>
  <si>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</si>
  <si>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</si>
  <si>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</si>
  <si>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</si>
  <si>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</si>
  <si>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</si>
  <si>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</si>
  <si>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</si>
  <si>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</si>
  <si>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</si>
  <si>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</si>
  <si>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</si>
  <si>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</si>
  <si>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</si>
  <si>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</si>
  <si>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</si>
  <si>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</si>
  <si>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</si>
  <si>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</si>
  <si>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</si>
  <si>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</si>
  <si>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</si>
  <si>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</si>
  <si>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</si>
  <si>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</si>
  <si>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</si>
  <si>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</si>
  <si>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</si>
  <si>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</si>
  <si>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</si>
  <si>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</si>
  <si>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</si>
  <si>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</si>
  <si>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</si>
  <si>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</si>
  <si>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</si>
  <si>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</si>
  <si>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</si>
  <si>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</si>
  <si>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</si>
  <si>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</si>
  <si>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</si>
  <si>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</si>
  <si>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</si>
  <si>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</si>
  <si>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</si>
  <si>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</si>
  <si>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</si>
  <si>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</si>
  <si>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</si>
  <si>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</si>
  <si>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</si>
  <si>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</si>
  <si>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</si>
  <si>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</si>
  <si>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</si>
  <si>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</si>
  <si>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</si>
  <si>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</si>
  <si>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</si>
  <si>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</si>
  <si>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</si>
  <si>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</si>
  <si>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</si>
  <si>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</si>
  <si>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</si>
  <si>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</si>
  <si>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</si>
  <si>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</si>
  <si>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</si>
  <si>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</si>
  <si>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</si>
  <si>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</si>
  <si>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</si>
  <si>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</si>
  <si>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</si>
  <si>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</si>
  <si>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</si>
  <si>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</si>
  <si>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</si>
  <si>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</si>
  <si>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</si>
  <si>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</si>
  <si>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</si>
  <si>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</si>
  <si>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</si>
  <si>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</si>
  <si>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</si>
  <si>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</si>
  <si>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</si>
  <si>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</si>
  <si>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</si>
  <si>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</si>
  <si>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</si>
  <si>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</si>
  <si>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</si>
  <si>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</si>
  <si>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</si>
  <si>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</si>
  <si>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</si>
  <si>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</si>
  <si>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</si>
  <si>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</si>
  <si>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</si>
  <si>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</si>
  <si>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</si>
  <si>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</si>
  <si>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</si>
  <si>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</si>
  <si>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</si>
  <si>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</si>
  <si>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</si>
  <si>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</si>
  <si>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</si>
  <si>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</si>
  <si>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</si>
  <si>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</si>
  <si>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</si>
  <si>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</si>
  <si>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</si>
  <si>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</si>
  <si>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</si>
  <si>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</si>
  <si>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</si>
  <si>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</si>
  <si>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</si>
  <si>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</si>
  <si>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</si>
  <si>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</si>
  <si>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</si>
  <si>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</si>
  <si>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</si>
  <si>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</si>
  <si>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</si>
  <si>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</si>
  <si>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</si>
  <si>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</si>
  <si>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</si>
  <si>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</si>
  <si>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</si>
  <si>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</si>
  <si>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</si>
  <si>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</si>
  <si>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</si>
  <si>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</si>
  <si>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</si>
  <si>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</si>
  <si>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</si>
  <si>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</si>
  <si>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</si>
  <si>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</si>
  <si>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</si>
  <si>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</si>
  <si>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</si>
  <si>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</si>
  <si>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</si>
  <si>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</si>
  <si>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</si>
  <si>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</si>
  <si>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</si>
  <si>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</si>
  <si>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</si>
  <si>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</si>
  <si>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</si>
  <si>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</si>
  <si>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</si>
  <si>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</si>
  <si>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</si>
  <si>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</si>
  <si>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</si>
  <si>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</si>
  <si>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</si>
  <si>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</si>
  <si>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</si>
  <si>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</si>
  <si>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</si>
  <si>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</si>
  <si>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</si>
  <si>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</si>
  <si>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</si>
  <si>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</si>
  <si>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</si>
  <si>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</si>
  <si>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</si>
  <si>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</si>
  <si>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</si>
  <si>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</si>
  <si>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</si>
  <si>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</si>
  <si>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</si>
  <si>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</si>
  <si>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</si>
  <si>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</si>
  <si>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</si>
  <si>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</si>
  <si>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</si>
  <si>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</si>
  <si>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</si>
  <si>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</si>
  <si>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</si>
  <si>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</si>
  <si>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</si>
  <si>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</si>
  <si>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</si>
  <si>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</si>
  <si>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</si>
  <si>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</si>
  <si>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</si>
  <si>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</si>
  <si>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</si>
  <si>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</si>
  <si>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</si>
  <si>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</si>
  <si>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</si>
  <si>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</si>
  <si>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</si>
  <si>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</si>
  <si>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</si>
  <si>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</si>
  <si>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</si>
  <si>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</si>
  <si>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</si>
  <si>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</si>
  <si>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</si>
  <si>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</si>
  <si>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</si>
  <si>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</si>
  <si>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</si>
  <si>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</si>
  <si>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</si>
  <si>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</si>
  <si>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</si>
  <si>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</si>
  <si>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</si>
  <si>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</si>
  <si>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</si>
  <si>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</si>
  <si>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</si>
  <si>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</si>
  <si>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</si>
  <si>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</si>
  <si>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</si>
  <si>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</si>
  <si>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</si>
  <si>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</si>
  <si>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</si>
  <si>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</si>
  <si>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</si>
  <si>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</si>
  <si>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</si>
  <si>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</si>
  <si>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</si>
  <si>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</si>
  <si>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</si>
  <si>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</si>
  <si>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</si>
  <si>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</si>
  <si>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</si>
  <si>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</si>
  <si>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</si>
  <si>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</si>
  <si>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</si>
  <si>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</si>
  <si>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</si>
  <si>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</si>
  <si>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</si>
  <si>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</si>
  <si>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</si>
  <si>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</si>
  <si>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</si>
  <si>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</si>
  <si>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</si>
  <si>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</si>
  <si>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</si>
  <si>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</si>
  <si>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</si>
  <si>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</si>
  <si>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</si>
  <si>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</si>
  <si>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</si>
  <si>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</si>
  <si>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</si>
  <si>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</si>
  <si>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</si>
  <si>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</si>
  <si>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</si>
  <si>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</si>
  <si>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</si>
  <si>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</si>
  <si>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</si>
  <si>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</si>
  <si>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</si>
  <si>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</si>
  <si>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</si>
  <si>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</si>
  <si>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</si>
  <si>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</si>
  <si>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</si>
  <si>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</si>
  <si>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</si>
  <si>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</si>
  <si>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</si>
  <si>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</si>
  <si>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</si>
  <si>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</si>
  <si>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</si>
  <si>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</si>
  <si>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</si>
  <si>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</si>
  <si>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</si>
  <si>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</si>
  <si>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</si>
  <si>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</si>
  <si>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</si>
  <si>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</si>
  <si>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</si>
  <si>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</si>
  <si>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</si>
  <si>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</si>
  <si>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</si>
  <si>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</si>
  <si>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</si>
  <si>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</si>
  <si>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</si>
  <si>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</si>
  <si>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</si>
  <si>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</si>
  <si>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</si>
  <si>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</si>
  <si>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</si>
  <si>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</si>
  <si>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</si>
  <si>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</si>
  <si>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</si>
  <si>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</si>
  <si>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</si>
  <si>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</si>
  <si>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</si>
  <si>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</si>
  <si>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</si>
  <si>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</si>
  <si>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</si>
  <si>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</si>
  <si>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</si>
  <si>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</si>
  <si>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</si>
  <si>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</si>
  <si>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</si>
  <si>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</si>
  <si>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</si>
  <si>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</si>
  <si>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</si>
  <si>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</si>
  <si>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</si>
  <si>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</si>
  <si>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</si>
  <si>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</si>
  <si>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</si>
  <si>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</si>
  <si>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</si>
  <si>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</si>
  <si>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</si>
  <si>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</si>
  <si>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</si>
  <si>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</si>
  <si>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</si>
  <si>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</si>
  <si>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</si>
  <si>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</si>
  <si>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</si>
  <si>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</si>
  <si>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</si>
  <si>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</si>
  <si>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</si>
  <si>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</si>
  <si>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</si>
  <si>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</si>
  <si>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</si>
  <si>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</si>
  <si>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</si>
  <si>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</si>
  <si>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</si>
  <si>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</si>
  <si>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</si>
  <si>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</si>
  <si>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</si>
  <si>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</si>
  <si>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</si>
  <si>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</si>
  <si>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</si>
  <si>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</si>
  <si>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</si>
  <si>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</si>
  <si>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</si>
  <si>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</si>
  <si>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</si>
  <si>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</si>
  <si>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</si>
  <si>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</si>
  <si>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</si>
  <si>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</si>
  <si>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</si>
  <si>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</si>
  <si>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</si>
  <si>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</si>
  <si>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</si>
  <si>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</si>
  <si>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</si>
  <si>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</si>
  <si>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</si>
  <si>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</si>
  <si>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</si>
  <si>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</si>
  <si>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</si>
  <si>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</si>
  <si>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</si>
  <si>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</si>
  <si>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</si>
  <si>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</si>
  <si>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</si>
  <si>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</si>
  <si>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</si>
  <si>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</si>
  <si>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</si>
  <si>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</si>
  <si>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</si>
  <si>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</si>
  <si>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</si>
  <si>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</si>
  <si>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</si>
  <si>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</si>
  <si>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</si>
  <si>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</si>
  <si>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</si>
  <si>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</si>
  <si>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</si>
  <si>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</si>
  <si>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</si>
  <si>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</si>
  <si>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</si>
  <si>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</si>
  <si>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</si>
  <si>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</si>
  <si>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</si>
  <si>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</si>
  <si>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</si>
  <si>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</si>
  <si>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</si>
  <si>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</si>
  <si>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</si>
  <si>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</si>
  <si>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</si>
  <si>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</si>
  <si>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</si>
  <si>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</si>
  <si>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</si>
  <si>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</si>
  <si>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</si>
  <si>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</si>
  <si>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</si>
  <si>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</si>
  <si>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</si>
  <si>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</si>
  <si>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</si>
  <si>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</si>
  <si>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</si>
  <si>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</si>
  <si>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</si>
  <si>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</si>
  <si>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</si>
  <si>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</si>
  <si>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</si>
  <si>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</si>
  <si>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</si>
  <si>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</si>
  <si>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</si>
  <si>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</si>
  <si>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</si>
  <si>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</si>
  <si>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</si>
  <si>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</si>
  <si>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</si>
  <si>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</si>
  <si>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</si>
  <si>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</si>
  <si>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</si>
  <si>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</si>
  <si>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</si>
  <si>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</si>
  <si>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</si>
  <si>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</si>
  <si>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</si>
  <si>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</si>
  <si>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</si>
  <si>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</si>
  <si>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</si>
  <si>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</si>
  <si>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</si>
  <si>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</si>
  <si>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</si>
  <si>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</si>
  <si>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</si>
  <si>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</si>
  <si>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</si>
  <si>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</si>
  <si>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</si>
  <si>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</si>
  <si>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</si>
  <si>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</si>
  <si>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</si>
  <si>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</si>
  <si>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</si>
  <si>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</si>
  <si>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</si>
  <si>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</si>
  <si>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</si>
  <si>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</si>
  <si>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</si>
  <si>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</si>
  <si>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</si>
  <si>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</si>
  <si>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</si>
  <si>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</si>
  <si>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</si>
  <si>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</si>
  <si>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</si>
  <si>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</si>
  <si>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</si>
  <si>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</si>
  <si>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</si>
  <si>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</si>
  <si>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</si>
  <si>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</si>
  <si>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</si>
  <si>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</si>
  <si>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</si>
  <si>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</si>
  <si>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</si>
  <si>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</si>
  <si>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</si>
  <si>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</si>
  <si>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</si>
  <si>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</si>
  <si>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</si>
  <si>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</si>
  <si>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</si>
  <si>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</si>
  <si>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</si>
  <si>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</si>
  <si>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</si>
  <si>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</si>
  <si>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</si>
  <si>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</si>
  <si>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</si>
  <si>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</si>
  <si>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</si>
  <si>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</si>
  <si>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</si>
  <si>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</si>
  <si>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</si>
  <si>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</si>
  <si>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</si>
  <si>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</si>
  <si>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</si>
  <si>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</si>
  <si>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</si>
  <si>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</si>
  <si>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</si>
  <si>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</si>
  <si>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</si>
  <si>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</si>
  <si>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</si>
  <si>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</si>
  <si>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</si>
  <si>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</si>
  <si>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</si>
  <si>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</si>
  <si>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</si>
  <si>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</si>
  <si>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</si>
  <si>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</si>
  <si>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</si>
  <si>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</si>
  <si>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</si>
  <si>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</si>
  <si>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</si>
  <si>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</si>
  <si>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</si>
  <si>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</si>
  <si>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</si>
  <si>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</si>
  <si>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</si>
  <si>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</si>
  <si>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</si>
  <si>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</si>
  <si>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</si>
  <si>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</si>
  <si>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</si>
  <si>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</si>
  <si>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</si>
  <si>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</si>
  <si>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</si>
  <si>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Day(s) in cycle taken</t>
  </si>
  <si>
    <t>Number of days per cycle</t>
  </si>
  <si>
    <t>cycles 
year 1</t>
  </si>
  <si>
    <t>cycles 
year 2</t>
  </si>
  <si>
    <t>cycles 
year 3</t>
  </si>
  <si>
    <t>cycles 
year 4</t>
  </si>
  <si>
    <t>cycles 
year 5</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</si>
  <si>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</si>
  <si>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</si>
  <si>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</si>
  <si>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</si>
  <si>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</si>
  <si>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</si>
  <si>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</si>
  <si>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</si>
  <si>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</si>
  <si>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</si>
  <si>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</si>
  <si>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</si>
  <si>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</si>
  <si>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</si>
  <si>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</si>
  <si>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</si>
  <si>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</si>
  <si>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</si>
  <si>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</si>
  <si>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</si>
  <si>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</si>
  <si>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</si>
  <si>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</si>
  <si>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</si>
  <si>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</si>
  <si>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</si>
  <si>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</si>
  <si>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</si>
  <si>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</si>
  <si>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</si>
  <si>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</si>
  <si>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</si>
  <si>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</si>
  <si>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</si>
  <si>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</si>
  <si>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</si>
  <si>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</si>
  <si>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</si>
  <si>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</si>
  <si>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</si>
  <si>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</si>
  <si>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</si>
  <si>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</si>
  <si>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</si>
  <si>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</si>
  <si>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</si>
  <si>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</si>
  <si>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</si>
  <si>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</si>
  <si>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</si>
  <si>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</si>
  <si>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</si>
  <si>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</si>
  <si>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</si>
  <si>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</si>
  <si>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</si>
  <si>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</si>
  <si>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</si>
  <si>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</si>
  <si>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</si>
  <si>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</si>
  <si>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</si>
  <si>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</si>
  <si>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</si>
  <si>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Genomic tests</t>
  </si>
  <si>
    <t>Band 8a Mid</t>
  </si>
  <si>
    <t>HCAS rate is selected on the payscales worksheet</t>
  </si>
  <si>
    <t>Notes</t>
  </si>
  <si>
    <t xml:space="preserve">Some drugs may be delivered to patients via a homecare service outsourced from the local pharmacy.  Some administration/management of this arrangement will be required by the pharmacy. </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</si>
  <si>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</si>
  <si>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</si>
  <si>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</si>
  <si>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</si>
  <si>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</si>
  <si>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</si>
  <si>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</si>
  <si>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</si>
  <si>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</si>
  <si>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</si>
  <si>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</si>
  <si>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Year</t>
  </si>
  <si>
    <t>Drug cost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</si>
  <si>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</si>
  <si>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</si>
  <si>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</si>
  <si>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</si>
  <si>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</si>
  <si>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</si>
  <si>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</si>
  <si>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Dose per admin</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</si>
  <si>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</si>
  <si>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</si>
  <si>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</si>
  <si>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</si>
  <si>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</si>
  <si>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</si>
  <si>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</si>
  <si>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</si>
  <si>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</si>
  <si>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</si>
  <si>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</si>
  <si>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</si>
  <si>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</si>
  <si>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</si>
  <si>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</si>
  <si>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Appointments with specialist</t>
  </si>
  <si>
    <t>First attendance</t>
  </si>
  <si>
    <t>Based on 2023-25 National Tariff Payment System –  24-25 prices</t>
  </si>
  <si>
    <t>Appointments with x specialist</t>
  </si>
  <si>
    <t>all options</t>
  </si>
  <si>
    <t>MRI imaging</t>
  </si>
  <si>
    <t>Future practice -year 3</t>
  </si>
  <si>
    <t>Future practice - year 4</t>
  </si>
  <si>
    <t>Future practice - year 5</t>
  </si>
  <si>
    <t>Eligible population</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</si>
  <si>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</si>
  <si>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</si>
  <si>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</si>
  <si>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</si>
  <si>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</si>
  <si>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</si>
  <si>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</si>
  <si>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</si>
  <si>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</si>
  <si>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</si>
  <si>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</si>
  <si>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</si>
  <si>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</si>
  <si>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</si>
  <si>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</si>
  <si>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</si>
  <si>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x service</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</si>
  <si>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</si>
  <si>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</si>
  <si>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</si>
  <si>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</si>
  <si>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</si>
  <si>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</si>
  <si>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</si>
  <si>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</si>
  <si>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</si>
  <si>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</si>
  <si>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</si>
  <si>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</si>
  <si>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</si>
  <si>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</si>
  <si>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</si>
  <si>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</si>
  <si>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</si>
  <si>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Number per patient per year</t>
  </si>
  <si>
    <t>Attendances - change in number of attendances current practice</t>
  </si>
  <si>
    <t>Follow up attendances</t>
  </si>
  <si>
    <t>Follow up attendances - change in number of attendances current practice</t>
  </si>
  <si>
    <t xml:space="preserve">Administrations  </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</si>
  <si>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</si>
  <si>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</si>
  <si>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</si>
  <si>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</si>
  <si>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</si>
  <si>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</si>
  <si>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</si>
  <si>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</si>
  <si>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</si>
  <si>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</si>
  <si>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</si>
  <si>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</si>
  <si>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</si>
  <si>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</si>
  <si>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</si>
  <si>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</si>
  <si>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</si>
  <si>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</si>
  <si>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</si>
  <si>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</si>
  <si>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</si>
  <si>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</si>
  <si>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</si>
  <si>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</si>
  <si>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</si>
  <si>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</si>
  <si>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</si>
  <si>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</si>
  <si>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</si>
  <si>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</si>
  <si>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</si>
  <si>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</si>
  <si>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</si>
  <si>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</si>
  <si>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</si>
  <si>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</si>
  <si>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</si>
  <si>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</si>
  <si>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</si>
  <si>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</si>
  <si>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</si>
  <si>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</si>
  <si>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</si>
  <si>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</si>
  <si>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</si>
  <si>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</si>
  <si>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</si>
  <si>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</si>
  <si>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</si>
  <si>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</si>
  <si>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</si>
  <si>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</si>
  <si>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</si>
  <si>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</si>
  <si>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</si>
  <si>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</si>
  <si>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</si>
  <si>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</si>
  <si>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</si>
  <si>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</si>
  <si>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</si>
  <si>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</si>
  <si>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</si>
  <si>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</si>
  <si>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</si>
  <si>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</si>
  <si>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</si>
  <si>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</si>
  <si>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</si>
  <si>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</si>
  <si>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</si>
  <si>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</si>
  <si>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</si>
  <si>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</si>
  <si>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</si>
  <si>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</si>
  <si>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</si>
  <si>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</si>
  <si>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</si>
  <si>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</si>
  <si>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</si>
  <si>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</si>
  <si>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</si>
  <si>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</si>
  <si>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</si>
  <si>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</si>
  <si>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</si>
  <si>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</si>
  <si>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</si>
  <si>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</si>
  <si>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</si>
  <si>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</si>
  <si>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</si>
  <si>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</si>
  <si>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</si>
  <si>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</si>
  <si>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</si>
  <si>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</si>
  <si>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</si>
  <si>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</si>
  <si>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</si>
  <si>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</si>
  <si>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</si>
  <si>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</si>
  <si>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</si>
  <si>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</si>
  <si>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</si>
  <si>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</si>
  <si>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</si>
  <si>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</si>
  <si>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</si>
  <si>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</si>
  <si>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</si>
  <si>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</si>
  <si>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</si>
  <si>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</si>
  <si>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</si>
  <si>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</si>
  <si>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</si>
  <si>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</si>
  <si>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</si>
  <si>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</si>
  <si>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</si>
  <si>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</si>
  <si>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</si>
  <si>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</si>
  <si>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</si>
  <si>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</si>
  <si>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</si>
  <si>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</si>
  <si>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</si>
  <si>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</si>
  <si>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</si>
  <si>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</si>
  <si>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</si>
  <si>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</si>
  <si>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</si>
  <si>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</si>
  <si>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</si>
  <si>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</si>
  <si>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</si>
  <si>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</si>
  <si>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</si>
  <si>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</si>
  <si>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</si>
  <si>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</si>
  <si>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</si>
  <si>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</si>
  <si>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</si>
  <si>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</si>
  <si>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</si>
  <si>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</si>
  <si>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</si>
  <si>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</si>
  <si>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</si>
  <si>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</si>
  <si>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</si>
  <si>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</si>
  <si>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</si>
  <si>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</si>
  <si>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</si>
  <si>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</si>
  <si>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</si>
  <si>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</si>
  <si>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</si>
  <si>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</si>
  <si>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</si>
  <si>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</si>
  <si>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</si>
  <si>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</si>
  <si>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</si>
  <si>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</si>
  <si>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</si>
  <si>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</si>
  <si>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</si>
  <si>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</si>
  <si>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</si>
  <si>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</si>
  <si>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</si>
  <si>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</si>
  <si>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</si>
  <si>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</si>
  <si>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</si>
  <si>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</si>
  <si>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</si>
  <si>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</si>
  <si>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</si>
  <si>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</si>
  <si>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</si>
  <si>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</si>
  <si>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</si>
  <si>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</si>
  <si>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</si>
  <si>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</si>
  <si>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</si>
  <si>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</si>
  <si>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</si>
  <si>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</si>
  <si>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</si>
  <si>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</si>
  <si>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</si>
  <si>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</si>
  <si>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</si>
  <si>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</si>
  <si>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</si>
  <si>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</si>
  <si>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</si>
  <si>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</si>
  <si>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</si>
  <si>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</si>
  <si>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</si>
  <si>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</si>
  <si>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</si>
  <si>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</si>
  <si>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</si>
  <si>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</si>
  <si>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</si>
  <si>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</si>
  <si>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</si>
  <si>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</si>
  <si>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</si>
  <si>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</si>
  <si>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</si>
  <si>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</si>
  <si>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</si>
  <si>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</si>
  <si>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</si>
  <si>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</si>
  <si>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</si>
  <si>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</si>
  <si>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</si>
  <si>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</si>
  <si>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</si>
  <si>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</si>
  <si>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</si>
  <si>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</si>
  <si>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</si>
  <si>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</si>
  <si>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</si>
  <si>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</si>
  <si>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</si>
  <si>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</si>
  <si>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</si>
  <si>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</si>
  <si>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</si>
  <si>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</si>
  <si>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</si>
  <si>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</si>
  <si>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</si>
  <si>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</si>
  <si>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</si>
  <si>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</si>
  <si>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</si>
  <si>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</si>
  <si>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</si>
  <si>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</si>
  <si>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</si>
  <si>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</si>
  <si>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</si>
  <si>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</si>
  <si>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</si>
  <si>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</si>
  <si>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</si>
  <si>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</si>
  <si>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</si>
  <si>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</si>
  <si>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</si>
  <si>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</si>
  <si>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</si>
  <si>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</si>
  <si>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</si>
  <si>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</si>
  <si>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</si>
  <si>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</si>
  <si>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</si>
  <si>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</si>
  <si>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</si>
  <si>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</si>
  <si>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</si>
  <si>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</si>
  <si>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</si>
  <si>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</si>
  <si>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</si>
  <si>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</si>
  <si>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</si>
  <si>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</si>
  <si>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</si>
  <si>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</si>
  <si>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</si>
  <si>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</si>
  <si>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</si>
  <si>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</si>
  <si>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</si>
  <si>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</si>
  <si>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</si>
  <si>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</si>
  <si>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</si>
  <si>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</si>
  <si>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</si>
  <si>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</si>
  <si>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</si>
  <si>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</si>
  <si>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</si>
  <si>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</si>
  <si>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</si>
  <si>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</si>
  <si>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</si>
  <si>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</si>
  <si>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</si>
  <si>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</si>
  <si>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</si>
  <si>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</si>
  <si>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</si>
  <si>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</si>
  <si>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</si>
  <si>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</si>
  <si>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</si>
  <si>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</si>
  <si>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</si>
  <si>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</si>
  <si>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</si>
  <si>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</si>
  <si>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</si>
  <si>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</si>
  <si>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</si>
  <si>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</si>
  <si>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</si>
  <si>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</si>
  <si>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</si>
  <si>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</si>
  <si>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</si>
  <si>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</si>
  <si>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</si>
  <si>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</si>
  <si>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</si>
  <si>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</si>
  <si>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</si>
  <si>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</si>
  <si>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</si>
  <si>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</si>
  <si>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</si>
  <si>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</si>
  <si>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</si>
  <si>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</si>
  <si>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</si>
  <si>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</si>
  <si>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</si>
  <si>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</si>
  <si>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</si>
  <si>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</si>
  <si>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</si>
  <si>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</si>
  <si>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</si>
  <si>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</si>
  <si>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</si>
  <si>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</si>
  <si>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</si>
  <si>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</si>
  <si>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</si>
  <si>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</si>
  <si>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</si>
  <si>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</si>
  <si>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</si>
  <si>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</si>
  <si>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</si>
  <si>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</si>
  <si>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</si>
  <si>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</si>
  <si>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</si>
  <si>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</si>
  <si>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</si>
  <si>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</si>
  <si>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</si>
  <si>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</si>
  <si>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</si>
  <si>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</si>
  <si>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</si>
  <si>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</si>
  <si>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</si>
  <si>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</si>
  <si>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</si>
  <si>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</si>
  <si>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</si>
  <si>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</si>
  <si>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</si>
  <si>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</si>
  <si>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</si>
  <si>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</si>
  <si>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</si>
  <si>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</si>
  <si>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</si>
  <si>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</si>
  <si>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</si>
  <si>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</si>
  <si>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</si>
  <si>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</si>
  <si>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</si>
  <si>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</si>
  <si>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</si>
  <si>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</si>
  <si>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</si>
  <si>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</si>
  <si>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</si>
  <si>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</si>
  <si>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</si>
  <si>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</si>
  <si>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</si>
  <si>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</si>
  <si>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</si>
  <si>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</si>
  <si>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</si>
  <si>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</si>
  <si>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</si>
  <si>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</si>
  <si>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</si>
  <si>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</si>
  <si>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</si>
  <si>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</si>
  <si>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</si>
  <si>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</si>
  <si>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</si>
  <si>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</si>
  <si>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</si>
  <si>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</si>
  <si>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</si>
  <si>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</si>
  <si>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</si>
  <si>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</si>
  <si>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</si>
  <si>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</si>
  <si>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</si>
  <si>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</si>
  <si>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</si>
  <si>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</si>
  <si>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</si>
  <si>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</si>
  <si>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</si>
  <si>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</si>
  <si>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</si>
  <si>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</si>
  <si>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</si>
  <si>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</si>
  <si>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</si>
  <si>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</si>
  <si>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</si>
  <si>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</si>
  <si>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</si>
  <si>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</si>
  <si>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</si>
  <si>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</si>
  <si>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</si>
  <si>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</si>
  <si>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</si>
  <si>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</si>
  <si>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</si>
  <si>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</si>
  <si>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</si>
  <si>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</si>
  <si>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</si>
  <si>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</si>
  <si>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</si>
  <si>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</si>
  <si>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</si>
  <si>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</si>
  <si>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</si>
  <si>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</si>
  <si>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</si>
  <si>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</si>
  <si>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</si>
  <si>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</si>
  <si>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</si>
  <si>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</si>
  <si>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</si>
  <si>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</si>
  <si>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</si>
  <si>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</si>
  <si>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</si>
  <si>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</si>
  <si>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</si>
  <si>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</si>
  <si>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</si>
  <si>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</si>
  <si>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</si>
  <si>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</si>
  <si>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</si>
  <si>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</si>
  <si>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</si>
  <si>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</si>
  <si>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</si>
  <si>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</si>
  <si>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</si>
  <si>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</si>
  <si>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</si>
  <si>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</si>
  <si>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</si>
  <si>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</si>
  <si>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</si>
  <si>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</si>
  <si>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</si>
  <si>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</si>
  <si>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</si>
  <si>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</si>
  <si>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</si>
  <si>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</si>
  <si>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</si>
  <si>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</si>
  <si>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</si>
  <si>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</si>
  <si>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</si>
  <si>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</si>
  <si>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</si>
  <si>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</si>
  <si>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</si>
  <si>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</si>
  <si>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</si>
  <si>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</si>
  <si>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</si>
  <si>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</si>
  <si>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</si>
  <si>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</si>
  <si>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</si>
  <si>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</si>
  <si>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</si>
  <si>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</si>
  <si>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</si>
  <si>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</si>
  <si>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</si>
  <si>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</si>
  <si>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</si>
  <si>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</si>
  <si>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</si>
  <si>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</si>
  <si>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</si>
  <si>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</si>
  <si>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</si>
  <si>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</si>
  <si>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</si>
  <si>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</si>
  <si>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</si>
  <si>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</si>
  <si>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</si>
  <si>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</si>
  <si>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</si>
  <si>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</si>
  <si>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</si>
  <si>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</si>
  <si>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</si>
  <si>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</si>
  <si>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</si>
  <si>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</si>
  <si>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</si>
  <si>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</si>
  <si>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</si>
  <si>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</si>
  <si>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</si>
  <si>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</si>
  <si>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</si>
  <si>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</si>
  <si>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</si>
  <si>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</si>
  <si>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</si>
  <si>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</si>
  <si>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</si>
  <si>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</si>
  <si>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</si>
  <si>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</si>
  <si>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</si>
  <si>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</si>
  <si>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</si>
  <si>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</si>
  <si>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</si>
  <si>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</si>
  <si>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</si>
  <si>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</si>
  <si>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</si>
  <si>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</si>
  <si>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</si>
  <si>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</si>
  <si>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</si>
  <si>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</si>
  <si>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</si>
  <si>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</si>
  <si>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</si>
  <si>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</si>
  <si>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</si>
  <si>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</si>
  <si>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</si>
  <si>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</si>
  <si>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</si>
  <si>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</si>
  <si>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</si>
  <si>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</si>
  <si>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</si>
  <si>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</si>
  <si>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</si>
  <si>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</si>
  <si>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</si>
  <si>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</si>
  <si>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</si>
  <si>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</si>
  <si>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</si>
  <si>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</si>
  <si>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</si>
  <si>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</si>
  <si>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</si>
  <si>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</si>
  <si>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</si>
  <si>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</si>
  <si>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</si>
  <si>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</si>
  <si>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</si>
  <si>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</si>
  <si>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</si>
  <si>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</si>
  <si>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</si>
  <si>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</si>
  <si>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</si>
  <si>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</si>
  <si>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</si>
  <si>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</si>
  <si>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</si>
  <si>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</si>
  <si>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</si>
  <si>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</si>
  <si>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</si>
  <si>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</si>
  <si>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</si>
  <si>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</si>
  <si>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</si>
  <si>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</si>
  <si>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</si>
  <si>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</si>
  <si>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</si>
  <si>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</si>
  <si>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</si>
  <si>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</si>
  <si>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</si>
  <si>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</si>
  <si>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</si>
  <si>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</si>
  <si>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</si>
  <si>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</si>
  <si>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</si>
  <si>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</si>
  <si>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</si>
  <si>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</si>
  <si>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</si>
  <si>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</si>
  <si>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</si>
  <si>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</si>
  <si>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</si>
  <si>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</si>
  <si>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</si>
  <si>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</si>
  <si>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</si>
  <si>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</si>
  <si>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</si>
  <si>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</si>
  <si>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</si>
  <si>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</si>
  <si>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</si>
  <si>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</si>
  <si>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</si>
  <si>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</si>
  <si>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</si>
  <si>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</si>
  <si>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</si>
  <si>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</si>
  <si>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</si>
  <si>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</si>
  <si>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</si>
  <si>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</si>
  <si>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</si>
  <si>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</si>
  <si>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</si>
  <si>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</si>
  <si>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</si>
  <si>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</si>
  <si>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</si>
  <si>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</si>
  <si>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</si>
  <si>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</si>
  <si>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</si>
  <si>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</si>
  <si>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</si>
  <si>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</si>
  <si>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</si>
  <si>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</si>
  <si>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</si>
  <si>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</si>
  <si>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</si>
  <si>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</si>
  <si>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</si>
  <si>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</si>
  <si>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</si>
  <si>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</si>
  <si>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</si>
  <si>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</si>
  <si>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</si>
  <si>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</si>
  <si>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</si>
  <si>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</si>
  <si>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</si>
  <si>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</si>
  <si>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</si>
  <si>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</si>
  <si>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</si>
  <si>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</si>
  <si>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</si>
  <si>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</si>
  <si>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</si>
  <si>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</si>
  <si>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</si>
  <si>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</si>
  <si>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</si>
  <si>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</si>
  <si>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</si>
  <si>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</si>
  <si>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</si>
  <si>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</si>
  <si>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</si>
  <si>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</si>
  <si>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</si>
  <si>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</si>
  <si>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</si>
  <si>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</si>
  <si>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</si>
  <si>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</si>
  <si>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</si>
  <si>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</si>
  <si>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</si>
  <si>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</si>
  <si>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</si>
  <si>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</si>
  <si>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</si>
  <si>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</si>
  <si>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</si>
  <si>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</si>
  <si>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</si>
  <si>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</si>
  <si>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</si>
  <si>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</si>
  <si>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</si>
  <si>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</si>
  <si>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</si>
  <si>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</si>
  <si>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</si>
  <si>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</si>
  <si>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</si>
  <si>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</si>
  <si>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</si>
  <si>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</si>
  <si>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</si>
  <si>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</si>
  <si>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</si>
  <si>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</si>
  <si>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</si>
  <si>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</si>
  <si>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</si>
  <si>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</si>
  <si>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</si>
  <si>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</si>
  <si>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</si>
  <si>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</si>
  <si>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</si>
  <si>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</si>
  <si>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</si>
  <si>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</si>
  <si>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</si>
  <si>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</si>
  <si>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</si>
  <si>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</si>
  <si>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</si>
  <si>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</si>
  <si>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</si>
  <si>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</si>
  <si>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</si>
  <si>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</si>
  <si>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</si>
  <si>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</si>
  <si>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</si>
  <si>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</si>
  <si>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</si>
  <si>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</si>
  <si>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</si>
  <si>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</si>
  <si>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</si>
  <si>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</si>
  <si>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</si>
  <si>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</si>
  <si>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</si>
  <si>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</si>
  <si>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</si>
  <si>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</si>
  <si>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</si>
  <si>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</si>
  <si>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</si>
  <si>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</si>
  <si>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</si>
  <si>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</si>
  <si>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</si>
  <si>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</si>
  <si>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</si>
  <si>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</si>
  <si>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</si>
  <si>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</si>
  <si>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</si>
  <si>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</si>
  <si>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</si>
  <si>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</si>
  <si>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</si>
  <si>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</si>
  <si>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</si>
  <si>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</si>
  <si>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</si>
  <si>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</si>
  <si>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</si>
  <si>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</si>
  <si>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</si>
  <si>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</si>
  <si>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</si>
  <si>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</si>
  <si>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</si>
  <si>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</si>
  <si>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</si>
  <si>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</si>
  <si>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</si>
  <si>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</si>
  <si>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</si>
  <si>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</si>
  <si>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</si>
  <si>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</si>
  <si>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</si>
  <si>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</si>
  <si>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</si>
  <si>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</si>
  <si>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</si>
  <si>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</si>
  <si>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</si>
  <si>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</si>
  <si>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</si>
  <si>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</si>
  <si>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</si>
  <si>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</si>
  <si>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</si>
  <si>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</si>
  <si>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</si>
  <si>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</si>
  <si>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</si>
  <si>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</si>
  <si>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</si>
  <si>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</si>
  <si>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</si>
  <si>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</si>
  <si>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</si>
  <si>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</si>
  <si>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</si>
  <si>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</si>
  <si>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</si>
  <si>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</si>
  <si>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</si>
  <si>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</si>
  <si>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</si>
  <si>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</si>
  <si>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</si>
  <si>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</si>
  <si>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</si>
  <si>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</si>
  <si>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</si>
  <si>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</si>
  <si>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</si>
  <si>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</si>
  <si>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</si>
  <si>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</si>
  <si>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</si>
  <si>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</si>
  <si>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</si>
  <si>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</si>
  <si>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</si>
  <si>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</si>
  <si>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</si>
  <si>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</si>
  <si>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</si>
  <si>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</si>
  <si>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</si>
  <si>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</si>
  <si>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</si>
  <si>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</si>
  <si>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</si>
  <si>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</si>
  <si>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</si>
  <si>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</si>
  <si>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</si>
  <si>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</si>
  <si>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</si>
  <si>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</si>
  <si>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</si>
  <si>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</si>
  <si>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</si>
  <si>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</si>
  <si>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</si>
  <si>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</si>
  <si>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</si>
  <si>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</si>
  <si>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</si>
  <si>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</si>
  <si>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</si>
  <si>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</si>
  <si>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</si>
  <si>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</si>
  <si>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</si>
  <si>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</si>
  <si>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</si>
  <si>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</si>
  <si>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</si>
  <si>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</si>
  <si>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</si>
  <si>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</si>
  <si>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</si>
  <si>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</si>
  <si>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</si>
  <si>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</si>
  <si>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</si>
  <si>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</si>
  <si>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</si>
  <si>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</si>
  <si>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</si>
  <si>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</si>
  <si>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</si>
  <si>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</si>
  <si>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</si>
  <si>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</si>
  <si>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</si>
  <si>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</si>
  <si>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</si>
  <si>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</si>
  <si>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</si>
  <si>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</si>
  <si>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</si>
  <si>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</si>
  <si>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</si>
  <si>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</si>
  <si>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</si>
  <si>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</si>
  <si>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</si>
  <si>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</si>
  <si>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</si>
  <si>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</si>
  <si>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</si>
  <si>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</si>
  <si>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</si>
  <si>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</si>
  <si>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</si>
  <si>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</si>
  <si>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</si>
  <si>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</si>
  <si>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</si>
  <si>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</si>
  <si>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</si>
  <si>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</si>
  <si>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</si>
  <si>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</si>
  <si>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</si>
  <si>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</si>
  <si>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</si>
  <si>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</si>
  <si>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</si>
  <si>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</si>
  <si>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</si>
  <si>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</si>
  <si>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</si>
  <si>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</si>
  <si>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</si>
  <si>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</si>
  <si>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</si>
  <si>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</si>
  <si>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</si>
  <si>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</si>
  <si>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</si>
  <si>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</si>
  <si>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</si>
  <si>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</si>
  <si>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</si>
  <si>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</si>
  <si>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</si>
  <si>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</si>
  <si>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</si>
  <si>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</si>
  <si>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</si>
  <si>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</si>
  <si>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</si>
  <si>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</si>
  <si>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</si>
  <si>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</si>
  <si>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</si>
  <si>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</si>
  <si>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</si>
  <si>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</si>
  <si>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</si>
  <si>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</si>
  <si>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</si>
  <si>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</si>
  <si>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</si>
  <si>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</si>
  <si>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</si>
  <si>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</si>
  <si>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</si>
  <si>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</si>
  <si>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</si>
  <si>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</si>
  <si>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</si>
  <si>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</si>
  <si>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</si>
  <si>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</si>
  <si>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</si>
  <si>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</si>
  <si>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</si>
  <si>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</si>
  <si>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</si>
  <si>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</si>
  <si>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</si>
  <si>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</si>
  <si>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</si>
  <si>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</si>
  <si>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</si>
  <si>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</si>
  <si>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</si>
  <si>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</si>
  <si>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</si>
  <si>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</si>
  <si>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</si>
  <si>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</si>
  <si>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</si>
  <si>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</si>
  <si>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</si>
  <si>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</si>
  <si>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</si>
  <si>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</si>
  <si>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</si>
  <si>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</si>
  <si>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</si>
  <si>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</si>
  <si>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</si>
  <si>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</si>
  <si>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</si>
  <si>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</si>
  <si>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</si>
  <si>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</si>
  <si>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</si>
  <si>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</si>
  <si>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</si>
  <si>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</si>
  <si>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</si>
  <si>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</si>
  <si>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</si>
  <si>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</si>
  <si>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</si>
  <si>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</si>
  <si>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</si>
  <si>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</si>
  <si>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</si>
  <si>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</si>
  <si>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</si>
  <si>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</si>
  <si>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</si>
  <si>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</si>
  <si>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</si>
  <si>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</si>
  <si>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</si>
  <si>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</si>
  <si>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</si>
  <si>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</si>
  <si>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</si>
  <si>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</si>
  <si>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</si>
  <si>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</si>
  <si>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</si>
  <si>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</si>
  <si>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</si>
  <si>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</si>
  <si>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</si>
  <si>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</si>
  <si>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</si>
  <si>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</si>
  <si>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</si>
  <si>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</si>
  <si>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</si>
  <si>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</si>
  <si>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</si>
  <si>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</si>
  <si>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</si>
  <si>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</si>
  <si>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</si>
  <si>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</si>
  <si>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</si>
  <si>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</si>
  <si>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</si>
  <si>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</si>
  <si>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</si>
  <si>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</si>
  <si>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</si>
  <si>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</si>
  <si>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</si>
  <si>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</si>
  <si>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</si>
  <si>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</si>
  <si>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</si>
  <si>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</si>
  <si>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</si>
  <si>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</si>
  <si>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</si>
  <si>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</si>
  <si>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</si>
  <si>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</si>
  <si>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</si>
  <si>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</si>
  <si>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</si>
  <si>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</si>
  <si>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</si>
  <si>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</si>
  <si>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</si>
  <si>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</si>
  <si>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</si>
  <si>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</si>
  <si>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</si>
  <si>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</si>
  <si>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</si>
  <si>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</si>
  <si>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</si>
  <si>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</si>
  <si>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</si>
  <si>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</si>
  <si>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</si>
  <si>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</si>
  <si>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</si>
  <si>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</si>
  <si>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</si>
  <si>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</si>
  <si>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</si>
  <si>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</si>
  <si>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</si>
  <si>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</si>
  <si>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</si>
  <si>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</si>
  <si>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</si>
  <si>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</si>
  <si>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</si>
  <si>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</si>
  <si>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</si>
  <si>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</si>
  <si>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</si>
  <si>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</si>
  <si>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</si>
  <si>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</si>
  <si>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</si>
  <si>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</si>
  <si>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</si>
  <si>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</si>
  <si>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</si>
  <si>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</si>
  <si>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</si>
  <si>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</si>
  <si>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</si>
  <si>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</si>
  <si>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</si>
  <si>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</si>
  <si>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</si>
  <si>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</si>
  <si>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</si>
  <si>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</si>
  <si>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</si>
  <si>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</si>
  <si>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</si>
  <si>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</si>
  <si>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</si>
  <si>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</si>
  <si>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</si>
  <si>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</si>
  <si>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</si>
  <si>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</si>
  <si>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</si>
  <si>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</si>
  <si>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</si>
  <si>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</si>
  <si>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</si>
  <si>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</si>
  <si>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</si>
  <si>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</si>
  <si>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</si>
  <si>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</si>
  <si>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</si>
  <si>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</si>
  <si>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</si>
  <si>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</si>
  <si>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</si>
  <si>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</si>
  <si>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</si>
  <si>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</si>
  <si>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</si>
  <si>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</si>
  <si>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</si>
  <si>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</si>
  <si>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</si>
  <si>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</si>
  <si>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</si>
  <si>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</si>
  <si>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</si>
  <si>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</si>
  <si>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</si>
  <si>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</si>
  <si>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</si>
  <si>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</si>
  <si>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</si>
  <si>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</si>
  <si>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</si>
  <si>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</si>
  <si>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</si>
  <si>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</si>
  <si>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</si>
  <si>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</si>
  <si>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</si>
  <si>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</si>
  <si>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</si>
  <si>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</si>
  <si>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</si>
  <si>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</si>
  <si>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</si>
  <si>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</si>
  <si>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</si>
  <si>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</si>
  <si>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</si>
  <si>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</si>
  <si>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</si>
  <si>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</si>
  <si>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</si>
  <si>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</si>
  <si>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</si>
  <si>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</si>
  <si>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</si>
  <si>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</si>
  <si>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</si>
  <si>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</si>
  <si>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</si>
  <si>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</si>
  <si>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</si>
  <si>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</si>
  <si>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</si>
  <si>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</si>
  <si>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</si>
  <si>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</si>
  <si>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</si>
  <si>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</si>
  <si>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</si>
  <si>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</si>
  <si>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</si>
  <si>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</si>
  <si>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</si>
  <si>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</si>
  <si>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</si>
  <si>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</si>
  <si>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</si>
  <si>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</si>
  <si>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</si>
  <si>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</si>
  <si>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</si>
  <si>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</si>
  <si>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</si>
  <si>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</si>
  <si>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</si>
  <si>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</si>
  <si>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</si>
  <si>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</si>
  <si>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</si>
  <si>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</si>
  <si>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</si>
  <si>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</si>
  <si>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</si>
  <si>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</si>
  <si>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</si>
  <si>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</si>
  <si>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</si>
  <si>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</si>
  <si>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</si>
  <si>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</si>
  <si>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</si>
  <si>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</si>
  <si>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</si>
  <si>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</si>
  <si>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</si>
  <si>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</si>
  <si>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</si>
  <si>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</si>
  <si>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</si>
  <si>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</si>
  <si>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</si>
  <si>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</si>
  <si>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</si>
  <si>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</si>
  <si>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</si>
  <si>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</si>
  <si>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</si>
  <si>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</si>
  <si>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</si>
  <si>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</si>
  <si>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</si>
  <si>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</si>
  <si>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</si>
  <si>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</si>
  <si>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</si>
  <si>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</si>
  <si>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</si>
  <si>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</si>
  <si>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</si>
  <si>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</si>
  <si>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</si>
  <si>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</si>
  <si>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</si>
  <si>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</si>
  <si>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</si>
  <si>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</si>
  <si>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</si>
  <si>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</si>
  <si>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</si>
  <si>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</si>
  <si>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</si>
  <si>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</si>
  <si>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</si>
  <si>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</si>
  <si>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</si>
  <si>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</si>
  <si>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</si>
  <si>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</si>
  <si>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</si>
  <si>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</si>
  <si>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</si>
  <si>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</si>
  <si>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</si>
  <si>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</si>
  <si>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</si>
  <si>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</si>
  <si>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</si>
  <si>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</si>
  <si>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</si>
  <si>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</si>
  <si>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</si>
  <si>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</si>
  <si>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</si>
  <si>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</si>
  <si>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</si>
  <si>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</si>
  <si>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</si>
  <si>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</si>
  <si>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</si>
  <si>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</si>
  <si>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</si>
  <si>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</si>
  <si>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</si>
  <si>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</si>
  <si>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</si>
  <si>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</si>
  <si>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</si>
  <si>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</si>
  <si>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</si>
  <si>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</si>
  <si>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</si>
  <si>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</si>
  <si>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</si>
  <si>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</si>
  <si>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</si>
  <si>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</si>
  <si>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</si>
  <si>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</si>
  <si>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</si>
  <si>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</si>
  <si>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</si>
  <si>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</si>
  <si>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</si>
  <si>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</si>
  <si>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</si>
  <si>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</si>
  <si>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</si>
  <si>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</si>
  <si>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</si>
  <si>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</si>
  <si>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</si>
  <si>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</si>
  <si>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</si>
  <si>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</si>
  <si>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</si>
  <si>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Best supportive care</t>
  </si>
  <si>
    <t>Monthly administrative cost to secondary care provider of managing and commissioning a homecare service.</t>
  </si>
  <si>
    <t>Homecare service</t>
  </si>
  <si>
    <t>GP appointments</t>
  </si>
  <si>
    <t>Number of GP appointments</t>
  </si>
  <si>
    <t>NHS England » 2025/26 NHS Payment Scheme</t>
  </si>
  <si>
    <t>WF01A</t>
  </si>
  <si>
    <t>Follow up attendance - Single professional</t>
  </si>
  <si>
    <t>Diagnostic tests</t>
  </si>
  <si>
    <t>Diagnostics tests - change in number to current practice</t>
  </si>
  <si>
    <t>GP / Specialty appointments</t>
  </si>
  <si>
    <t>Betula verrucosa Year 1</t>
  </si>
  <si>
    <t>Follow up attendances - change in number of attendances to current practice</t>
  </si>
  <si>
    <t>Administrations per year - change to current practice</t>
  </si>
  <si>
    <t>Benralizumab for treating relapsing or refractory eosinophilic granulomatosis with polyangiitis</t>
  </si>
  <si>
    <t xml:space="preserve">Benralizumab for treating relapsing or refractory </t>
  </si>
  <si>
    <t>eosinophilic granulomatosis with polyangiitis</t>
  </si>
  <si>
    <t>NHS England</t>
  </si>
  <si>
    <t>90 days</t>
  </si>
  <si>
    <t>Relapsing or refractory eosinophilic granulomatosis with polyangiitis</t>
  </si>
  <si>
    <t>Eosinophilic granulomatosis</t>
  </si>
  <si>
    <t>Subcutaneous</t>
  </si>
  <si>
    <t>Vial</t>
  </si>
  <si>
    <t>Benralizumab</t>
  </si>
  <si>
    <t>Standard of care</t>
  </si>
  <si>
    <t>Capacity impact on pathology</t>
  </si>
  <si>
    <r>
      <t xml:space="preserve">Calculated from % assumptions. </t>
    </r>
    <r>
      <rPr>
        <b/>
        <sz val="11"/>
        <color theme="1"/>
        <rFont val="Calibri"/>
        <family val="2"/>
        <scheme val="minor"/>
      </rPr>
      <t>Adjust locally if required</t>
    </r>
  </si>
  <si>
    <t>The cost of prednisolone is very low and administered orally, therefore the cost of standard of care is not included in either treatment as it has minimal impact.</t>
  </si>
  <si>
    <t xml:space="preserve">The level of use of immunosuppressive agents is expected to be the same for people receiving benralizumab plus standard of care or standard care alone. </t>
  </si>
  <si>
    <t xml:space="preserve">The level of corticosteroids (prednisolone) use is expected to be lower from year 2 for people receiving benralizumab plus standard of care compared with standard care alone. </t>
  </si>
  <si>
    <t>Eligible population and market share</t>
  </si>
  <si>
    <t>Amend blue cells where required to relect local values</t>
  </si>
  <si>
    <t>Select required payscale using the drop down in the blue cell</t>
  </si>
  <si>
    <t xml:space="preserve">      For information</t>
  </si>
  <si>
    <t>AfC Salary with 2025/26 pay award</t>
  </si>
  <si>
    <t>% of hours that are directly clinical (exclude admin time)</t>
  </si>
  <si>
    <t>Hours used to calculate hourly rate</t>
  </si>
  <si>
    <t>Hourly rate used in costing</t>
  </si>
  <si>
    <t>Less SPA sessions (4 hour sessions)</t>
  </si>
  <si>
    <t>% that is direct patient care</t>
  </si>
  <si>
    <t>Drop down look up list</t>
  </si>
  <si>
    <t>Payscale rate</t>
  </si>
  <si>
    <t xml:space="preserve">Appren 
ticeship 
levy </t>
  </si>
  <si>
    <t>Annual working hours 
(based on data in column V)</t>
  </si>
  <si>
    <t>Enhancements 
Mon-Fri</t>
  </si>
  <si>
    <t xml:space="preserve"> Annual hours worked calculations</t>
  </si>
  <si>
    <t xml:space="preserve">Type 2 diabetes mellitus </t>
  </si>
  <si>
    <t>Osteoporosis</t>
  </si>
  <si>
    <t>Established cardiovascular disease</t>
  </si>
  <si>
    <t>See tables below for the calculations for each treatment option</t>
  </si>
  <si>
    <t>An annual per person percentage likelihood rate of each event occurring is shown</t>
  </si>
  <si>
    <t>genomic testing</t>
  </si>
  <si>
    <t>Secondary care - acute / tertiary care</t>
  </si>
  <si>
    <t>Local input</t>
  </si>
  <si>
    <t>Market share estimates are as per consultant in respiratory medicine</t>
  </si>
  <si>
    <t>The cost of the event is based on company submission</t>
  </si>
  <si>
    <t xml:space="preserve">This is based on </t>
  </si>
  <si>
    <t>Prevalence of people with eosinophilic granulomatosis with polyangiitis (EPGA)</t>
  </si>
  <si>
    <t>Appointments with GP's to be updated based on local input</t>
  </si>
  <si>
    <t>Discontinuation rate</t>
  </si>
  <si>
    <t>Subsequent years</t>
  </si>
  <si>
    <t>People receiving treatment options by year received</t>
  </si>
  <si>
    <t>benralizumab  - Year 1</t>
  </si>
  <si>
    <t>benralizumab  - Year 2</t>
  </si>
  <si>
    <t>benralizumab  - Year 3</t>
  </si>
  <si>
    <t>benralizumab  - Year 4</t>
  </si>
  <si>
    <t>benralizumab  - Year 5</t>
  </si>
  <si>
    <t>TA1096</t>
  </si>
  <si>
    <t>Published: September 2025</t>
  </si>
  <si>
    <t xml:space="preserve">03X - Disorders of Blood </t>
  </si>
  <si>
    <t>Professor of Clinical Autoimmunity opinion</t>
  </si>
  <si>
    <t>Prevalence, incidence and healthcare burden of eosinophilic granulomatosis with polyangiitis in the United Kingdom</t>
  </si>
  <si>
    <t>Discontinuation rates based on average from clinical experts. Users can update to reflect local practice</t>
  </si>
  <si>
    <t>Appointments with specialist based on respiratory consultant opinion. Users can update to reflect local practice</t>
  </si>
  <si>
    <t>TFC 340 Respiratory medicine services</t>
  </si>
  <si>
    <t>People who have started treatment with Benralizumab</t>
  </si>
  <si>
    <t>People having the treatment options</t>
  </si>
  <si>
    <t>People having treatment with Benralizumab</t>
  </si>
  <si>
    <t>People with relapsing or refractory eosinophilic granulomatosis with polyangiitis and not having a biologic for severe asthma</t>
  </si>
  <si>
    <t>People who have stopped benralizumab and now having standard of care</t>
  </si>
  <si>
    <t>Rheumatology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</si>
</sst>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sz val="11"/>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s>
  <cellStyleXfs count="11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cellStyleXfs>
  <cellXfs count="88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0" fontId="0" fillId="0" borderId="11" xfId="92" applyNumberFormat="1" applyFont="1" applyFill="1" applyBorder="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8"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8" xfId="0" applyBorder="1" applyAlignment="1">
      <alignment horizontal="center"/>
    </xf>
    <xf numFmtId="0" fontId="0" fillId="0" borderId="15" xfId="0" applyBorder="1"/>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0" fillId="48" borderId="0" xfId="0" applyFont="1" applyFill="1" applyAlignment="1">
      <alignment horizontal="left" vertical="center"/>
    </xf>
    <xf numFmtId="0" fontId="39" fillId="48" borderId="0" xfId="0" applyFont="1" applyFill="1" applyAlignment="1">
      <alignment horizontal="left" vertical="center"/>
    </xf>
    <xf numFmtId="0" fontId="71" fillId="48"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9"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2" fillId="0" borderId="17" xfId="82" applyBorder="1"/>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5"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0" borderId="18" xfId="82" applyFont="1" applyBorder="1"/>
    <xf numFmtId="0" fontId="0" fillId="39" borderId="32" xfId="0" applyFill="1" applyBorder="1" applyAlignment="1" applyProtection="1">
      <alignment horizontal="right"/>
      <protection locked="0"/>
    </xf>
    <xf numFmtId="0" fontId="53" fillId="0" borderId="0" xfId="72" applyFont="1" applyFill="1" applyBorder="1" applyAlignment="1" applyProtection="1">
      <alignment horizontal="left"/>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3" fontId="0" fillId="42" borderId="17" xfId="0" applyNumberFormat="1"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3"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0" fillId="39" borderId="51" xfId="0" applyFill="1" applyBorder="1" applyProtection="1">
      <protection locked="0"/>
    </xf>
    <xf numFmtId="166" fontId="46" fillId="0" borderId="12" xfId="56" applyNumberFormat="1" applyFont="1" applyFill="1" applyBorder="1" applyProtection="1">
      <protection locked="0"/>
    </xf>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5" borderId="49" xfId="0" applyNumberFormat="1" applyFont="1" applyFill="1" applyBorder="1"/>
    <xf numFmtId="0" fontId="0" fillId="45" borderId="49" xfId="0"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1" fontId="0" fillId="39" borderId="32" xfId="0" applyNumberFormat="1" applyFill="1" applyBorder="1" applyProtection="1">
      <protection locked="0"/>
    </xf>
    <xf numFmtId="1" fontId="46" fillId="39" borderId="11" xfId="82" applyNumberFormat="1" applyFont="1" applyFill="1" applyBorder="1" applyProtection="1">
      <protection locked="0"/>
    </xf>
    <xf numFmtId="0" fontId="56" fillId="0" borderId="0" xfId="72" applyFont="1" applyAlignment="1" applyProtection="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4" fontId="0" fillId="0" borderId="24" xfId="0" applyNumberFormat="1" applyBorder="1" applyAlignment="1" applyProtection="1">
      <alignment horizontal="right" vertical="center"/>
      <protection locked="0"/>
    </xf>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164" fontId="0" fillId="0" borderId="26" xfId="0" applyNumberFormat="1" applyBorder="1" applyAlignment="1" applyProtection="1">
      <alignment horizontal="right" vertical="center"/>
      <protection locked="0"/>
    </xf>
    <xf numFmtId="0" fontId="78" fillId="0" borderId="0" xfId="0" applyFont="1"/>
    <xf numFmtId="0" fontId="78" fillId="0" borderId="0" xfId="0" applyFont="1" applyAlignment="1">
      <alignment horizontal="right"/>
    </xf>
    <xf numFmtId="9" fontId="0" fillId="0" borderId="47" xfId="0" applyNumberFormat="1" applyBorder="1"/>
    <xf numFmtId="9" fontId="0" fillId="0" borderId="23" xfId="0" applyNumberFormat="1" applyBorder="1"/>
    <xf numFmtId="0" fontId="44" fillId="0" borderId="0" xfId="0" applyFont="1" applyAlignment="1">
      <alignment vertical="center"/>
    </xf>
    <xf numFmtId="0" fontId="44" fillId="24" borderId="39" xfId="0" applyFont="1" applyFill="1" applyBorder="1"/>
    <xf numFmtId="0" fontId="0" fillId="24" borderId="41" xfId="0" applyFill="1" applyBorder="1"/>
    <xf numFmtId="0" fontId="44" fillId="24" borderId="58" xfId="0" applyFont="1" applyFill="1" applyBorder="1" applyAlignment="1">
      <alignment horizontal="center" wrapText="1"/>
    </xf>
    <xf numFmtId="0" fontId="44" fillId="47" borderId="46" xfId="0" applyFont="1" applyFill="1" applyBorder="1" applyAlignment="1">
      <alignment horizontal="center" wrapText="1"/>
    </xf>
    <xf numFmtId="0" fontId="44" fillId="24" borderId="56" xfId="0" applyFont="1" applyFill="1" applyBorder="1" applyAlignment="1">
      <alignment horizontal="center" wrapText="1"/>
    </xf>
    <xf numFmtId="0" fontId="44" fillId="24" borderId="57" xfId="0" applyFont="1" applyFill="1" applyBorder="1" applyAlignment="1">
      <alignment horizontal="center" wrapText="1"/>
    </xf>
    <xf numFmtId="0" fontId="0" fillId="0" borderId="11" xfId="0" applyBorder="1" applyAlignment="1">
      <alignment horizontal="center"/>
    </xf>
    <xf numFmtId="0" fontId="44" fillId="24" borderId="59" xfId="0" applyFont="1" applyFill="1" applyBorder="1"/>
    <xf numFmtId="0" fontId="0" fillId="24" borderId="60" xfId="0" applyFill="1" applyBorder="1"/>
    <xf numFmtId="0" fontId="0" fillId="24" borderId="61" xfId="0" applyFill="1" applyBorder="1"/>
    <xf numFmtId="3" fontId="0" fillId="39" borderId="47" xfId="0" applyNumberFormat="1" applyFill="1" applyBorder="1"/>
    <xf numFmtId="9" fontId="0" fillId="39" borderId="19" xfId="92" applyFont="1" applyFill="1" applyBorder="1"/>
    <xf numFmtId="3" fontId="0" fillId="39" borderId="23" xfId="0" applyNumberFormat="1" applyFill="1" applyBorder="1"/>
    <xf numFmtId="0" fontId="0" fillId="39" borderId="0" xfId="0" applyFill="1"/>
    <xf numFmtId="9" fontId="0" fillId="39" borderId="0" xfId="0" applyNumberFormat="1" applyFill="1"/>
    <xf numFmtId="9" fontId="27" fillId="0" borderId="23" xfId="92" applyFont="1" applyFill="1" applyBorder="1" applyAlignment="1" applyProtection="1">
      <alignment horizontal="right" vertical="center"/>
      <protection locked="0"/>
    </xf>
    <xf numFmtId="3" fontId="0" fillId="39" borderId="27" xfId="0" applyNumberFormat="1" applyFill="1" applyBorder="1"/>
    <xf numFmtId="9" fontId="0" fillId="39" borderId="28" xfId="92" applyFont="1" applyFill="1" applyBorder="1"/>
    <xf numFmtId="9" fontId="27" fillId="0" borderId="27" xfId="92" applyFont="1" applyFill="1" applyBorder="1" applyAlignment="1" applyProtection="1">
      <alignment horizontal="right" vertical="center"/>
      <protection locked="0"/>
    </xf>
    <xf numFmtId="9" fontId="0" fillId="39" borderId="62" xfId="0" applyNumberFormat="1" applyFill="1" applyBorder="1" applyAlignment="1" applyProtection="1">
      <alignment horizontal="right"/>
      <protection locked="0"/>
    </xf>
    <xf numFmtId="174" fontId="0" fillId="39" borderId="11" xfId="92" applyNumberFormat="1" applyFont="1" applyFill="1" applyBorder="1" applyProtection="1">
      <protection locked="0"/>
    </xf>
    <xf numFmtId="0" fontId="56" fillId="0" borderId="11" xfId="72" applyFont="1" applyBorder="1" applyAlignment="1" applyProtection="1"/>
    <xf numFmtId="0" fontId="77" fillId="24" borderId="11" xfId="82" applyFont="1" applyFill="1" applyBorder="1" applyAlignment="1">
      <alignment horizontal="center"/>
    </xf>
    <xf numFmtId="0" fontId="46" fillId="26" borderId="0" xfId="82" applyFont="1" applyFill="1"/>
    <xf numFmtId="0" fontId="28" fillId="0" borderId="12" xfId="72" applyBorder="1" applyAlignment="1" applyProtection="1"/>
    <xf numFmtId="9" fontId="44" fillId="0" borderId="10" xfId="92" applyFont="1" applyBorder="1" applyAlignment="1">
      <alignment horizontal="left" indent="1"/>
    </xf>
    <xf numFmtId="16" fontId="46" fillId="39" borderId="11" xfId="82" quotePrefix="1" applyNumberFormat="1" applyFont="1" applyFill="1" applyBorder="1" applyAlignment="1" applyProtection="1">
      <alignment horizontal="right"/>
      <protection locked="0"/>
    </xf>
    <xf numFmtId="9" fontId="46" fillId="39" borderId="11" xfId="92" applyFont="1" applyFill="1" applyBorder="1" applyProtection="1">
      <protection locked="0"/>
    </xf>
    <xf numFmtId="9" fontId="46" fillId="39" borderId="11" xfId="92" quotePrefix="1" applyFont="1" applyFill="1" applyBorder="1" applyAlignment="1" applyProtection="1">
      <alignment horizontal="right"/>
      <protection locked="0"/>
    </xf>
    <xf numFmtId="0" fontId="0" fillId="24" borderId="63" xfId="0" applyFill="1" applyBorder="1" applyAlignment="1">
      <alignment horizontal="center"/>
    </xf>
    <xf numFmtId="0" fontId="0" fillId="24" borderId="64" xfId="0" applyFill="1" applyBorder="1" applyAlignment="1">
      <alignment horizontal="center"/>
    </xf>
    <xf numFmtId="3" fontId="0" fillId="39" borderId="11" xfId="0" applyNumberFormat="1" applyFill="1" applyBorder="1" applyAlignment="1" applyProtection="1">
      <alignment horizontal="right"/>
      <protection locked="0"/>
    </xf>
    <xf numFmtId="165" fontId="27" fillId="0" borderId="17" xfId="0" applyNumberFormat="1" applyFont="1" applyBorder="1"/>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50" xfId="0" applyFont="1" applyBorder="1"/>
    <xf numFmtId="0" fontId="0" fillId="0" borderId="65" xfId="0" applyBorder="1"/>
    <xf numFmtId="0" fontId="46" fillId="0" borderId="12" xfId="82" applyFont="1" applyBorder="1"/>
    <xf numFmtId="0" fontId="46" fillId="0" borderId="11" xfId="82" applyFont="1" applyBorder="1" applyAlignment="1">
      <alignment horizontal="center"/>
    </xf>
    <xf numFmtId="166" fontId="46" fillId="0" borderId="11" xfId="56" applyNumberFormat="1" applyFont="1" applyFill="1" applyBorder="1" applyProtection="1"/>
    <xf numFmtId="0" fontId="46" fillId="0" borderId="11" xfId="82" applyFont="1" applyBorder="1" applyAlignment="1">
      <alignment horizontal="right"/>
    </xf>
    <xf numFmtId="1" fontId="46" fillId="0" borderId="11" xfId="82" applyNumberFormat="1" applyFont="1" applyBorder="1"/>
    <xf numFmtId="166" fontId="46" fillId="0" borderId="11" xfId="82" applyNumberFormat="1" applyFont="1" applyBorder="1"/>
    <xf numFmtId="164" fontId="46" fillId="0" borderId="12" xfId="82" applyNumberFormat="1" applyFont="1" applyBorder="1"/>
    <xf numFmtId="9" fontId="46" fillId="0" borderId="11" xfId="82" applyNumberFormat="1" applyFont="1" applyBorder="1"/>
    <xf numFmtId="0" fontId="46" fillId="0" borderId="10" xfId="82" applyFont="1" applyBorder="1"/>
    <xf numFmtId="0" fontId="46" fillId="0" borderId="21" xfId="82" applyFont="1" applyBorder="1"/>
    <xf numFmtId="165" fontId="48" fillId="25" borderId="19" xfId="82" applyNumberFormat="1" applyFont="1"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78" fillId="0" borderId="0" xfId="0" applyFont="1"/>
  </cellXfs>
  <cellStyles count="11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2" xr:uid="{89F9C0AB-3F0D-4F00-9BA7-9E18F24070C1}"/>
    <cellStyle name="Comma 3" xfId="58" xr:uid="{00000000-0005-0000-0000-000039000000}"/>
    <cellStyle name="Comma 3 2" xfId="113" xr:uid="{F50BD63B-DDEB-47FE-8CC8-22C57F829A0A}"/>
    <cellStyle name="Comma 4" xfId="59" xr:uid="{00000000-0005-0000-0000-00003A000000}"/>
    <cellStyle name="Comma 4 2" xfId="114" xr:uid="{C9C83922-90ED-4186-A5F4-CFC8456D92AB}"/>
    <cellStyle name="Comma 5" xfId="111" xr:uid="{DE8D17E9-E951-4725-898D-6133FA99FC59}"/>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ublications.ersnet.org/content/erjor/early/2024/01/04/23120541.00430-2023.full.pdf" TargetMode="Externa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comments" Target="../comments1.xml"/><Relationship Id="rId5" Type="http://schemas.openxmlformats.org/officeDocument/2006/relationships/hyperlink" Target="https://www.nisra.gov.uk/publications/2023-mid-year-population-estimates-northern-ireland" TargetMode="External"/><Relationship Id="rId10" Type="http://schemas.openxmlformats.org/officeDocument/2006/relationships/vmlDrawing" Target="../drawings/vmlDrawing2.vm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ublication/2025-26-nhs-payment-scheme/"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5" Type="http://schemas.openxmlformats.org/officeDocument/2006/relationships/printerSettings" Target="../printerSettings/printerSettings7.bin"/><Relationship Id="rId4" Type="http://schemas.openxmlformats.org/officeDocument/2006/relationships/hyperlink" Target="https://www.england.nhs.uk/publication/2025-26-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218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hidden="1" customWidth="1"/>
    <col min="18" max="18" width="20.21875" style="11" hidden="1" customWidth="1"/>
    <col min="19" max="42" width="10.77734375" style="11" hidden="1" customWidth="1"/>
    <col min="43" max="50" width="10.77734375" style="12" hidden="1" customWidth="1"/>
    <col min="51" max="100" width="10.77734375" style="1" hidden="1" customWidth="1"/>
    <col min="101" max="106" width="10.77734375" style="1" customWidth="1"/>
    <col min="107" max="189" width="10.77734375" style="10" hidden="1" customWidth="1"/>
    <col min="190" max="193" width="10.77734375" style="10" customWidth="1"/>
    <col min="194" max="194" width="10.44140625" style="10" customWidth="1"/>
    <col min="195" max="16384" width="9.21875" style="10"/>
  </cols>
  <sheetData>
    <row r="1" spans="2:106" x14ac:dyDescent="0.25">
      <c r="C1" s="649" t="s">
        <v>0</v>
      </c>
    </row>
    <row r="2" spans="2:106" x14ac:dyDescent="0.25">
      <c r="B2" s="9" t="s">
        <v>1</v>
      </c>
    </row>
    <row r="3" spans="2:106" x14ac:dyDescent="0.25">
      <c r="B3" s="84" t="s">
        <v>2</v>
      </c>
      <c r="C3" s="773"/>
      <c r="D3" s="774"/>
      <c r="E3" s="774"/>
      <c r="F3" s="774"/>
      <c r="G3" s="775"/>
    </row>
    <row r="4" spans="2:106" x14ac:dyDescent="0.25">
      <c r="B4" s="85"/>
      <c r="C4" s="86"/>
      <c r="D4" s="7"/>
      <c r="E4" s="7"/>
      <c r="F4" s="7"/>
      <c r="G4" s="87"/>
      <c r="L4" s="9" t="s">
        <v>3</v>
      </c>
      <c r="M4" s="9" t="s">
        <v>3</v>
      </c>
      <c r="N4" s="9" t="s">
        <v>4</v>
      </c>
      <c r="O4" s="9" t="s">
        <v>4</v>
      </c>
      <c r="P4" s="9" t="s">
        <v>5</v>
      </c>
      <c r="R4" s="155" t="s">
        <v>6</v>
      </c>
      <c r="S4" s="155" t="s">
        <v>7</v>
      </c>
      <c r="T4" s="155" t="s">
        <v>8</v>
      </c>
      <c r="V4" s="155"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53"/>
      <c r="V7" s="127">
        <v>6</v>
      </c>
    </row>
    <row r="8" spans="2:106" ht="19.5"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05" customHeight="1" x14ac:dyDescent="0.25">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857</v>
      </c>
      <c r="M14" s="20" t="s">
        <v>48</v>
      </c>
      <c r="N14" s="20" t="str">
        <f>'Inputs and population'!$D$11</f>
        <v>National</v>
      </c>
      <c r="O14" s="20" t="str">
        <f>IFERROR(VLOOKUP('Inputs and population'!$D$11, $L$5:$M$14, 2, FALSE), "-")</f>
        <v>NATIONAL</v>
      </c>
      <c r="P14" s="15" t="b">
        <f>ISTEXT('Inputs and population'!$D$12)</f>
        <v>1</v>
      </c>
      <c r="V14" s="127" t="s">
        <v>49</v>
      </c>
    </row>
    <row r="15" spans="2:106" x14ac:dyDescent="0.25">
      <c r="B15" s="182"/>
      <c r="C15" s="19"/>
      <c r="D15" s="83"/>
      <c r="E15" s="83"/>
      <c r="F15" s="19"/>
      <c r="L15" s="20"/>
      <c r="M15" s="20"/>
      <c r="N15" s="20"/>
      <c r="O15" s="20"/>
      <c r="P15" s="20"/>
      <c r="V15" s="127" t="s">
        <v>50</v>
      </c>
    </row>
    <row r="16" spans="2:106" x14ac:dyDescent="0.25">
      <c r="B16" s="183" t="s">
        <v>51</v>
      </c>
      <c r="C16" s="184">
        <f>IF(C15&gt;0,C14,C15)</f>
        <v>0</v>
      </c>
      <c r="D16" s="184">
        <f>IF(D15&gt;0,D14,D15)</f>
        <v>0</v>
      </c>
      <c r="E16" s="184">
        <f>IF(E15&gt;0,E14,E15)</f>
        <v>0</v>
      </c>
      <c r="F16" s="184">
        <f>SUM(F15)</f>
        <v>0</v>
      </c>
      <c r="L16" s="21"/>
      <c r="M16" s="21"/>
      <c r="P16" s="351">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1" customHeight="1" x14ac:dyDescent="0.25">
      <c r="D19" s="185">
        <v>2</v>
      </c>
      <c r="E19" s="185">
        <v>3</v>
      </c>
      <c r="F19" s="185">
        <v>4</v>
      </c>
      <c r="G19" s="185">
        <v>5</v>
      </c>
      <c r="H19" s="185">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76"/>
      <c r="O20" s="776"/>
      <c r="P20" s="776"/>
      <c r="Q20" s="776"/>
      <c r="R20" s="776"/>
      <c r="S20" s="776"/>
      <c r="T20" s="776"/>
      <c r="U20" s="776"/>
      <c r="V20" s="776"/>
      <c r="W20" s="776"/>
      <c r="X20" s="776"/>
      <c r="Y20" s="776"/>
      <c r="Z20" s="776"/>
      <c r="AA20" s="776"/>
      <c r="AB20" s="776"/>
      <c r="AC20" s="776"/>
      <c r="AD20" s="776"/>
      <c r="AE20" s="776"/>
      <c r="AF20" s="776"/>
      <c r="AG20" s="776"/>
      <c r="AH20" s="776"/>
      <c r="AI20" s="776"/>
      <c r="AJ20" s="776"/>
      <c r="AK20" s="776"/>
      <c r="AL20" s="776"/>
      <c r="AM20" s="776"/>
      <c r="AN20" s="776"/>
      <c r="AO20" s="776"/>
      <c r="AP20" s="776"/>
      <c r="AQ20" s="776"/>
      <c r="AR20" s="776"/>
      <c r="AS20" s="776"/>
      <c r="AT20" s="776"/>
      <c r="AU20" s="776"/>
      <c r="AV20" s="776"/>
      <c r="AW20" s="776"/>
      <c r="AX20" s="776"/>
      <c r="AY20" s="776"/>
      <c r="AZ20" s="776"/>
      <c r="BA20" s="776"/>
      <c r="BB20" s="776"/>
      <c r="BC20" s="776"/>
      <c r="BD20" s="776"/>
      <c r="BE20" s="776"/>
      <c r="BF20" s="776"/>
      <c r="BG20" s="776"/>
      <c r="BH20" s="776"/>
      <c r="BI20" s="776"/>
      <c r="BJ20" s="776"/>
      <c r="BK20" s="776"/>
      <c r="BL20" s="776"/>
      <c r="BM20" s="776"/>
      <c r="BN20" s="776"/>
      <c r="BO20" s="776"/>
      <c r="BP20" s="776"/>
      <c r="BQ20" s="776"/>
      <c r="BR20" s="776"/>
      <c r="BS20" s="776"/>
      <c r="BT20" s="776"/>
      <c r="BU20" s="776"/>
      <c r="BV20" s="776"/>
      <c r="BW20" s="776"/>
      <c r="BX20" s="776"/>
      <c r="BY20" s="776"/>
      <c r="BZ20" s="776"/>
      <c r="CA20" s="776"/>
      <c r="CB20" s="776"/>
      <c r="CC20" s="776"/>
      <c r="CD20" s="776"/>
      <c r="CE20" s="776"/>
      <c r="CF20" s="776"/>
      <c r="CG20" s="776"/>
      <c r="CH20" s="776"/>
      <c r="CI20" s="776"/>
      <c r="CJ20" s="776"/>
      <c r="CK20" s="776"/>
      <c r="CL20" s="776"/>
      <c r="CM20" s="776"/>
      <c r="CN20" s="776"/>
      <c r="CO20" s="776"/>
      <c r="CP20" s="776"/>
      <c r="CQ20" s="776"/>
      <c r="CR20" s="776"/>
      <c r="CS20" s="776"/>
      <c r="CT20" s="776"/>
      <c r="CU20" s="776"/>
      <c r="CV20" s="776"/>
      <c r="CW20" s="776"/>
      <c r="CX20" s="776"/>
      <c r="CY20" s="777"/>
      <c r="CZ20" s="778" t="s">
        <v>58</v>
      </c>
      <c r="DA20" s="778"/>
      <c r="DB20" s="778"/>
      <c r="DC20" s="778"/>
      <c r="DD20" s="778"/>
      <c r="DE20" s="778"/>
      <c r="DF20" s="778"/>
      <c r="DG20" s="778"/>
      <c r="DH20" s="778"/>
      <c r="DI20" s="778"/>
      <c r="DJ20" s="778"/>
      <c r="DK20" s="778"/>
      <c r="DL20" s="778"/>
      <c r="DM20" s="778"/>
      <c r="DN20" s="778"/>
      <c r="DO20" s="778"/>
      <c r="DP20" s="778"/>
      <c r="DQ20" s="778"/>
      <c r="DR20" s="778"/>
      <c r="DS20" s="778"/>
      <c r="DT20" s="778"/>
      <c r="DU20" s="778"/>
      <c r="DV20" s="778"/>
      <c r="DW20" s="778"/>
      <c r="DX20" s="778"/>
      <c r="DY20" s="778"/>
      <c r="DZ20" s="778"/>
      <c r="EA20" s="778"/>
      <c r="EB20" s="778"/>
      <c r="EC20" s="778"/>
      <c r="ED20" s="778"/>
      <c r="EE20" s="778"/>
      <c r="EF20" s="778"/>
      <c r="EG20" s="778"/>
      <c r="EH20" s="778"/>
      <c r="EI20" s="778"/>
      <c r="EJ20" s="778"/>
      <c r="EK20" s="778"/>
      <c r="EL20" s="778"/>
      <c r="EM20" s="778"/>
      <c r="EN20" s="778"/>
      <c r="EO20" s="778"/>
      <c r="EP20" s="778"/>
      <c r="EQ20" s="778"/>
      <c r="ER20" s="778"/>
      <c r="ES20" s="778"/>
      <c r="ET20" s="778"/>
      <c r="EU20" s="778"/>
      <c r="EV20" s="778"/>
      <c r="EW20" s="778"/>
      <c r="EX20" s="778"/>
      <c r="EY20" s="778"/>
      <c r="EZ20" s="778"/>
      <c r="FA20" s="778"/>
      <c r="FB20" s="778"/>
      <c r="FC20" s="778"/>
      <c r="FD20" s="778"/>
      <c r="FE20" s="778"/>
      <c r="FF20" s="778"/>
      <c r="FG20" s="778"/>
      <c r="FH20" s="778"/>
      <c r="FI20" s="778"/>
      <c r="FJ20" s="778"/>
      <c r="FK20" s="778"/>
      <c r="FL20" s="778"/>
      <c r="FM20" s="778"/>
      <c r="FN20" s="778"/>
      <c r="FO20" s="778"/>
      <c r="FP20" s="778"/>
      <c r="FQ20" s="778"/>
      <c r="FR20" s="778"/>
      <c r="FS20" s="778"/>
      <c r="FT20" s="778"/>
      <c r="FU20" s="778"/>
      <c r="FV20" s="778"/>
      <c r="FW20" s="778"/>
      <c r="FX20" s="778"/>
      <c r="FY20" s="778"/>
      <c r="FZ20" s="778"/>
      <c r="GA20" s="778"/>
      <c r="GB20" s="778"/>
      <c r="GC20" s="778"/>
      <c r="GD20" s="778"/>
      <c r="GE20" s="778"/>
      <c r="GF20" s="778"/>
      <c r="GG20" s="778"/>
      <c r="GH20" s="778"/>
      <c r="GI20" s="778"/>
      <c r="GJ20" s="778"/>
      <c r="GK20" s="778"/>
      <c r="GL20" s="779"/>
    </row>
    <row r="21" spans="1:194" s="8" customFormat="1" ht="27.6"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5">
      <c r="A22" s="29"/>
      <c r="B22" s="68"/>
      <c r="C22" s="780"/>
      <c r="D22" s="781"/>
      <c r="E22" s="781"/>
      <c r="F22" s="782"/>
      <c r="G22" s="782"/>
      <c r="H22" s="781"/>
      <c r="I22" s="781"/>
      <c r="J22" s="781"/>
      <c r="K22" s="782"/>
      <c r="L22" s="781"/>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c r="BD22" s="782"/>
      <c r="BE22" s="782"/>
      <c r="BF22" s="782"/>
      <c r="BG22" s="782"/>
      <c r="BH22" s="782"/>
      <c r="BI22" s="782"/>
      <c r="BJ22" s="782"/>
      <c r="BK22" s="782"/>
      <c r="BL22" s="782"/>
      <c r="BM22" s="782"/>
      <c r="BN22" s="782"/>
      <c r="BO22" s="782"/>
      <c r="BP22" s="782"/>
      <c r="BQ22" s="782"/>
      <c r="BR22" s="782"/>
      <c r="BS22" s="782"/>
      <c r="BT22" s="782"/>
      <c r="BU22" s="782"/>
      <c r="BV22" s="782"/>
      <c r="BW22" s="782"/>
      <c r="BX22" s="782"/>
      <c r="BY22" s="782"/>
      <c r="BZ22" s="782"/>
      <c r="CA22" s="782"/>
      <c r="CB22" s="782"/>
      <c r="CC22" s="782"/>
      <c r="CD22" s="782"/>
      <c r="CE22" s="782"/>
      <c r="CF22" s="782"/>
      <c r="CG22" s="782"/>
      <c r="CH22" s="782"/>
      <c r="CI22" s="782"/>
      <c r="CJ22" s="782"/>
      <c r="CK22" s="782"/>
      <c r="CL22" s="782"/>
      <c r="CM22" s="782"/>
      <c r="CN22" s="782"/>
      <c r="CO22" s="782"/>
      <c r="CP22" s="782"/>
      <c r="CQ22" s="782"/>
      <c r="CR22" s="782"/>
      <c r="CS22" s="782"/>
      <c r="CT22" s="782"/>
      <c r="CU22" s="782"/>
      <c r="CV22" s="782"/>
      <c r="CW22" s="782"/>
      <c r="CX22" s="782"/>
      <c r="CY22" s="781"/>
      <c r="CZ22" s="782"/>
      <c r="DA22" s="782"/>
      <c r="DB22" s="782"/>
      <c r="DC22" s="782"/>
      <c r="DD22" s="782"/>
      <c r="DE22" s="782"/>
      <c r="DF22" s="782"/>
      <c r="DG22" s="782"/>
      <c r="DH22" s="782"/>
      <c r="DI22" s="782"/>
      <c r="DJ22" s="782"/>
      <c r="DK22" s="782"/>
      <c r="DL22" s="782"/>
      <c r="DM22" s="782"/>
      <c r="DN22" s="782"/>
      <c r="DO22" s="782"/>
      <c r="DP22" s="782"/>
      <c r="DQ22" s="782"/>
      <c r="DR22" s="782"/>
      <c r="DS22" s="782"/>
      <c r="DT22" s="782"/>
      <c r="DU22" s="782"/>
      <c r="DV22" s="782"/>
      <c r="DW22" s="782"/>
      <c r="DX22" s="782"/>
      <c r="DY22" s="782"/>
      <c r="DZ22" s="782"/>
      <c r="EA22" s="782"/>
      <c r="EB22" s="782"/>
      <c r="EC22" s="782"/>
      <c r="ED22" s="782"/>
      <c r="EE22" s="782"/>
      <c r="EF22" s="782"/>
      <c r="EG22" s="782"/>
      <c r="EH22" s="782"/>
      <c r="EI22" s="782"/>
      <c r="EJ22" s="782"/>
      <c r="EK22" s="782"/>
      <c r="EL22" s="782"/>
      <c r="EM22" s="782"/>
      <c r="EN22" s="782"/>
      <c r="EO22" s="782"/>
      <c r="EP22" s="782"/>
      <c r="EQ22" s="782"/>
      <c r="ER22" s="782"/>
      <c r="ES22" s="782"/>
      <c r="ET22" s="782"/>
      <c r="EU22" s="782"/>
      <c r="EV22" s="782"/>
      <c r="EW22" s="782"/>
      <c r="EX22" s="782"/>
      <c r="EY22" s="782"/>
      <c r="EZ22" s="782"/>
      <c r="FA22" s="782"/>
      <c r="FB22" s="782"/>
      <c r="FC22" s="782"/>
      <c r="FD22" s="782"/>
      <c r="FE22" s="782"/>
      <c r="FF22" s="782"/>
      <c r="FG22" s="782"/>
      <c r="FH22" s="782"/>
      <c r="FI22" s="782"/>
      <c r="FJ22" s="782"/>
      <c r="FK22" s="782"/>
      <c r="FL22" s="782"/>
      <c r="FM22" s="782"/>
      <c r="FN22" s="782"/>
      <c r="FO22" s="782"/>
      <c r="FP22" s="782"/>
      <c r="FQ22" s="782"/>
      <c r="FR22" s="782"/>
      <c r="FS22" s="782"/>
      <c r="FT22" s="782"/>
      <c r="FU22" s="782"/>
      <c r="FV22" s="782"/>
      <c r="FW22" s="782"/>
      <c r="FX22" s="782"/>
      <c r="FY22" s="782"/>
      <c r="FZ22" s="782"/>
      <c r="GA22" s="782"/>
      <c r="GB22" s="782"/>
      <c r="GC22" s="782"/>
      <c r="GD22" s="782"/>
      <c r="GE22" s="782"/>
      <c r="GF22" s="782"/>
      <c r="GG22" s="782"/>
      <c r="GH22" s="782"/>
      <c r="GI22" s="782"/>
      <c r="GJ22" s="782"/>
      <c r="GK22" s="782"/>
      <c r="GL22" s="781"/>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68" t="s">
        <v>61</v>
      </c>
      <c r="C25" s="783" t="s">
        <v>62</v>
      </c>
      <c r="D25" s="784">
        <f t="shared" ref="D25:E27" si="3">I25</f>
        <v>22137472</v>
      </c>
      <c r="E25" s="784">
        <f t="shared" si="3"/>
        <v>23554205</v>
      </c>
      <c r="F25" s="785">
        <f>G25+H25</f>
        <v>57690323</v>
      </c>
      <c r="G25" s="785">
        <f>SUM(M25:CY25)</f>
        <v>28283074</v>
      </c>
      <c r="H25" s="786">
        <f>SUM(CZ25:GL25)</f>
        <v>29407249</v>
      </c>
      <c r="I25" s="786">
        <f>SUM(AE25:CY25)</f>
        <v>22137472</v>
      </c>
      <c r="J25" s="786">
        <f>SUM(DR25:GL25)</f>
        <v>23554205</v>
      </c>
      <c r="K25" s="787">
        <f>SUM(M25:AD25)</f>
        <v>6145602</v>
      </c>
      <c r="L25" s="784">
        <f>SUM(CZ25:DQ25)</f>
        <v>5853044</v>
      </c>
      <c r="M25" s="785">
        <v>293933</v>
      </c>
      <c r="N25" s="785">
        <v>312995</v>
      </c>
      <c r="O25" s="785">
        <v>311501</v>
      </c>
      <c r="P25" s="785">
        <v>322067</v>
      </c>
      <c r="Q25" s="785">
        <v>328129</v>
      </c>
      <c r="R25" s="785">
        <v>331735</v>
      </c>
      <c r="S25" s="785">
        <v>339328</v>
      </c>
      <c r="T25" s="785">
        <v>348942</v>
      </c>
      <c r="U25" s="785">
        <v>345591</v>
      </c>
      <c r="V25" s="785">
        <v>347329</v>
      </c>
      <c r="W25" s="785">
        <v>356650</v>
      </c>
      <c r="X25" s="785">
        <v>365469</v>
      </c>
      <c r="Y25" s="785">
        <v>366063</v>
      </c>
      <c r="Z25" s="785">
        <v>360895</v>
      </c>
      <c r="AA25" s="785">
        <v>358117</v>
      </c>
      <c r="AB25" s="785">
        <v>361691</v>
      </c>
      <c r="AC25" s="785">
        <v>349931</v>
      </c>
      <c r="AD25" s="785">
        <v>345236</v>
      </c>
      <c r="AE25" s="785">
        <v>346661</v>
      </c>
      <c r="AF25" s="785">
        <v>349313</v>
      </c>
      <c r="AG25" s="785">
        <v>347749</v>
      </c>
      <c r="AH25" s="785">
        <v>345536</v>
      </c>
      <c r="AI25" s="785">
        <v>345643</v>
      </c>
      <c r="AJ25" s="785">
        <v>355934</v>
      </c>
      <c r="AK25" s="785">
        <v>368759</v>
      </c>
      <c r="AL25" s="785">
        <v>370911</v>
      </c>
      <c r="AM25" s="785">
        <v>376733</v>
      </c>
      <c r="AN25" s="785">
        <v>370426</v>
      </c>
      <c r="AO25" s="785">
        <v>373327</v>
      </c>
      <c r="AP25" s="785">
        <v>380776</v>
      </c>
      <c r="AQ25" s="785">
        <v>380078</v>
      </c>
      <c r="AR25" s="785">
        <v>390686</v>
      </c>
      <c r="AS25" s="785">
        <v>395074</v>
      </c>
      <c r="AT25" s="785">
        <v>392740</v>
      </c>
      <c r="AU25" s="785">
        <v>389629</v>
      </c>
      <c r="AV25" s="785">
        <v>392507</v>
      </c>
      <c r="AW25" s="785">
        <v>383002</v>
      </c>
      <c r="AX25" s="785">
        <v>382093</v>
      </c>
      <c r="AY25" s="785">
        <v>380825</v>
      </c>
      <c r="AZ25" s="785">
        <v>368755</v>
      </c>
      <c r="BA25" s="785">
        <v>368886</v>
      </c>
      <c r="BB25" s="785">
        <v>368552</v>
      </c>
      <c r="BC25" s="785">
        <v>371001</v>
      </c>
      <c r="BD25" s="785">
        <v>373542</v>
      </c>
      <c r="BE25" s="785">
        <v>358913</v>
      </c>
      <c r="BF25" s="785">
        <v>335009</v>
      </c>
      <c r="BG25" s="785">
        <v>329186</v>
      </c>
      <c r="BH25" s="785">
        <v>336077</v>
      </c>
      <c r="BI25" s="785">
        <v>342724</v>
      </c>
      <c r="BJ25" s="785">
        <v>346555</v>
      </c>
      <c r="BK25" s="785">
        <v>359694</v>
      </c>
      <c r="BL25" s="785">
        <v>372431</v>
      </c>
      <c r="BM25" s="785">
        <v>383893</v>
      </c>
      <c r="BN25" s="785">
        <v>374199</v>
      </c>
      <c r="BO25" s="785">
        <v>382036</v>
      </c>
      <c r="BP25" s="785">
        <v>380548</v>
      </c>
      <c r="BQ25" s="785">
        <v>383158</v>
      </c>
      <c r="BR25" s="785">
        <v>379113</v>
      </c>
      <c r="BS25" s="785">
        <v>379303</v>
      </c>
      <c r="BT25" s="785">
        <v>373318</v>
      </c>
      <c r="BU25" s="785">
        <v>363989</v>
      </c>
      <c r="BV25" s="785">
        <v>354500</v>
      </c>
      <c r="BW25" s="785">
        <v>341604</v>
      </c>
      <c r="BX25" s="785">
        <v>326378</v>
      </c>
      <c r="BY25" s="785">
        <v>315915</v>
      </c>
      <c r="BZ25" s="785">
        <v>305908</v>
      </c>
      <c r="CA25" s="785">
        <v>290478</v>
      </c>
      <c r="CB25" s="785">
        <v>278154</v>
      </c>
      <c r="CC25" s="785">
        <v>264200</v>
      </c>
      <c r="CD25" s="785">
        <v>261871</v>
      </c>
      <c r="CE25" s="785">
        <v>255543</v>
      </c>
      <c r="CF25" s="785">
        <v>244170</v>
      </c>
      <c r="CG25" s="785">
        <v>243498</v>
      </c>
      <c r="CH25" s="785">
        <v>242922</v>
      </c>
      <c r="CI25" s="785">
        <v>246267</v>
      </c>
      <c r="CJ25" s="785">
        <v>255937</v>
      </c>
      <c r="CK25" s="785">
        <v>273876</v>
      </c>
      <c r="CL25" s="785">
        <v>203760</v>
      </c>
      <c r="CM25" s="785">
        <v>192397</v>
      </c>
      <c r="CN25" s="785">
        <v>186010</v>
      </c>
      <c r="CO25" s="785">
        <v>165062</v>
      </c>
      <c r="CP25" s="785">
        <v>140882</v>
      </c>
      <c r="CQ25" s="785">
        <v>119224</v>
      </c>
      <c r="CR25" s="785">
        <v>117844</v>
      </c>
      <c r="CS25" s="785">
        <v>110353</v>
      </c>
      <c r="CT25" s="785">
        <v>99978</v>
      </c>
      <c r="CU25" s="785">
        <v>87281</v>
      </c>
      <c r="CV25" s="785">
        <v>74936</v>
      </c>
      <c r="CW25" s="785">
        <v>63762</v>
      </c>
      <c r="CX25" s="785">
        <v>52022</v>
      </c>
      <c r="CY25" s="785">
        <v>173456</v>
      </c>
      <c r="CZ25" s="785">
        <v>279167</v>
      </c>
      <c r="DA25" s="785">
        <v>298988</v>
      </c>
      <c r="DB25" s="785">
        <v>297423</v>
      </c>
      <c r="DC25" s="785">
        <v>307905</v>
      </c>
      <c r="DD25" s="785">
        <v>312529</v>
      </c>
      <c r="DE25" s="785">
        <v>316813</v>
      </c>
      <c r="DF25" s="785">
        <v>324426</v>
      </c>
      <c r="DG25" s="785">
        <v>332617</v>
      </c>
      <c r="DH25" s="785">
        <v>330045</v>
      </c>
      <c r="DI25" s="785">
        <v>331941</v>
      </c>
      <c r="DJ25" s="785">
        <v>339519</v>
      </c>
      <c r="DK25" s="785">
        <v>348893</v>
      </c>
      <c r="DL25" s="785">
        <v>348165</v>
      </c>
      <c r="DM25" s="785">
        <v>343885</v>
      </c>
      <c r="DN25" s="785">
        <v>341284</v>
      </c>
      <c r="DO25" s="785">
        <v>344315</v>
      </c>
      <c r="DP25" s="785">
        <v>330622</v>
      </c>
      <c r="DQ25" s="785">
        <v>324507</v>
      </c>
      <c r="DR25" s="785">
        <v>324547</v>
      </c>
      <c r="DS25" s="785">
        <v>328240</v>
      </c>
      <c r="DT25" s="785">
        <v>325534</v>
      </c>
      <c r="DU25" s="785">
        <v>329081</v>
      </c>
      <c r="DV25" s="785">
        <v>331235</v>
      </c>
      <c r="DW25" s="785">
        <v>345013</v>
      </c>
      <c r="DX25" s="785">
        <v>361888</v>
      </c>
      <c r="DY25" s="785">
        <v>369890</v>
      </c>
      <c r="DZ25" s="785">
        <v>379188</v>
      </c>
      <c r="EA25" s="785">
        <v>375004</v>
      </c>
      <c r="EB25" s="785">
        <v>384557</v>
      </c>
      <c r="EC25" s="785">
        <v>397037</v>
      </c>
      <c r="ED25" s="785">
        <v>399178</v>
      </c>
      <c r="EE25" s="785">
        <v>412384</v>
      </c>
      <c r="EF25" s="785">
        <v>417512</v>
      </c>
      <c r="EG25" s="785">
        <v>419044</v>
      </c>
      <c r="EH25" s="785">
        <v>417098</v>
      </c>
      <c r="EI25" s="785">
        <v>422891</v>
      </c>
      <c r="EJ25" s="785">
        <v>413850</v>
      </c>
      <c r="EK25" s="785">
        <v>408208</v>
      </c>
      <c r="EL25" s="785">
        <v>405771</v>
      </c>
      <c r="EM25" s="785">
        <v>392998</v>
      </c>
      <c r="EN25" s="785">
        <v>392640</v>
      </c>
      <c r="EO25" s="785">
        <v>389013</v>
      </c>
      <c r="EP25" s="785">
        <v>392804</v>
      </c>
      <c r="EQ25" s="785">
        <v>392829</v>
      </c>
      <c r="ER25" s="785">
        <v>375222</v>
      </c>
      <c r="ES25" s="785">
        <v>347593</v>
      </c>
      <c r="ET25" s="785">
        <v>340244</v>
      </c>
      <c r="EU25" s="785">
        <v>346591</v>
      </c>
      <c r="EV25" s="785">
        <v>353283</v>
      </c>
      <c r="EW25" s="785">
        <v>357012</v>
      </c>
      <c r="EX25" s="785">
        <v>369968</v>
      </c>
      <c r="EY25" s="785">
        <v>383711</v>
      </c>
      <c r="EZ25" s="785">
        <v>398952</v>
      </c>
      <c r="FA25" s="785">
        <v>388155</v>
      </c>
      <c r="FB25" s="785">
        <v>395977</v>
      </c>
      <c r="FC25" s="785">
        <v>394307</v>
      </c>
      <c r="FD25" s="785">
        <v>395319</v>
      </c>
      <c r="FE25" s="785">
        <v>395085</v>
      </c>
      <c r="FF25" s="785">
        <v>394913</v>
      </c>
      <c r="FG25" s="785">
        <v>388786</v>
      </c>
      <c r="FH25" s="785">
        <v>378799</v>
      </c>
      <c r="FI25" s="785">
        <v>369231</v>
      </c>
      <c r="FJ25" s="785">
        <v>353273</v>
      </c>
      <c r="FK25" s="785">
        <v>338179</v>
      </c>
      <c r="FL25" s="785">
        <v>328875</v>
      </c>
      <c r="FM25" s="785">
        <v>318729</v>
      </c>
      <c r="FN25" s="785">
        <v>305975</v>
      </c>
      <c r="FO25" s="785">
        <v>293096</v>
      </c>
      <c r="FP25" s="785">
        <v>282116</v>
      </c>
      <c r="FQ25" s="785">
        <v>282344</v>
      </c>
      <c r="FR25" s="785">
        <v>275725</v>
      </c>
      <c r="FS25" s="785">
        <v>267981</v>
      </c>
      <c r="FT25" s="785">
        <v>267569</v>
      </c>
      <c r="FU25" s="785">
        <v>271143</v>
      </c>
      <c r="FV25" s="785">
        <v>275176</v>
      </c>
      <c r="FW25" s="785">
        <v>289150</v>
      </c>
      <c r="FX25" s="785">
        <v>309463</v>
      </c>
      <c r="FY25" s="785">
        <v>234189</v>
      </c>
      <c r="FZ25" s="785">
        <v>223653</v>
      </c>
      <c r="GA25" s="785">
        <v>218690</v>
      </c>
      <c r="GB25" s="785">
        <v>198932</v>
      </c>
      <c r="GC25" s="785">
        <v>173919</v>
      </c>
      <c r="GD25" s="785">
        <v>151373</v>
      </c>
      <c r="GE25" s="785">
        <v>152822</v>
      </c>
      <c r="GF25" s="785">
        <v>146074</v>
      </c>
      <c r="GG25" s="785">
        <v>135895</v>
      </c>
      <c r="GH25" s="785">
        <v>122383</v>
      </c>
      <c r="GI25" s="785">
        <v>109600</v>
      </c>
      <c r="GJ25" s="785">
        <v>96854</v>
      </c>
      <c r="GK25" s="785">
        <v>82610</v>
      </c>
      <c r="GL25" s="785">
        <v>347835</v>
      </c>
    </row>
    <row r="26" spans="1:194" s="8" customFormat="1" x14ac:dyDescent="0.25">
      <c r="A26" s="31" t="s">
        <v>21</v>
      </c>
      <c r="B26" s="469"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70"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71"/>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857</v>
      </c>
      <c r="B29" s="472" t="s">
        <v>858</v>
      </c>
      <c r="C29" s="68" t="str">
        <f t="shared" ref="C29:C43" si="4">CONCATENATE(A29," - ",B29)</f>
        <v>England – PCNs - 3 CENTRES PCN</v>
      </c>
      <c r="D29" s="788">
        <f>I29</f>
        <v>14772</v>
      </c>
      <c r="E29" s="788">
        <f>J29</f>
        <v>15689</v>
      </c>
      <c r="F29" s="789">
        <f>G29+H29</f>
        <v>39727</v>
      </c>
      <c r="G29" s="789">
        <f>SUM(M29:CY29)</f>
        <v>19549</v>
      </c>
      <c r="H29" s="790">
        <f>SUM(CZ29:GL29)</f>
        <v>20178</v>
      </c>
      <c r="I29" s="790">
        <f>SUM(AE29:CY29)</f>
        <v>14772</v>
      </c>
      <c r="J29" s="790">
        <f>SUM(DR29:GL29)</f>
        <v>15689</v>
      </c>
      <c r="K29" s="791">
        <f>SUM(M29:AD29)</f>
        <v>4777</v>
      </c>
      <c r="L29" s="788">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857</v>
      </c>
      <c r="B30" s="472" t="s">
        <v>859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857</v>
      </c>
      <c r="B31" s="472" t="s">
        <v>860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857</v>
      </c>
      <c r="B32" s="472" t="s">
        <v>861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857</v>
      </c>
      <c r="B33" s="472" t="s">
        <v>862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857</v>
      </c>
      <c r="B34" s="472" t="s">
        <v>863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857</v>
      </c>
      <c r="B35" s="472" t="s">
        <v>864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857</v>
      </c>
      <c r="B36" s="472" t="s">
        <v>865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857</v>
      </c>
      <c r="B37" s="472" t="s">
        <v>866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857</v>
      </c>
      <c r="B38" s="472" t="s">
        <v>867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857</v>
      </c>
      <c r="B39" s="472" t="s">
        <v>868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857</v>
      </c>
      <c r="B40" s="472" t="s">
        <v>869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857</v>
      </c>
      <c r="B41" s="472" t="s">
        <v>870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857</v>
      </c>
      <c r="B42" s="472" t="s">
        <v>871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857</v>
      </c>
      <c r="B43" s="472" t="s">
        <v>872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857</v>
      </c>
      <c r="B44" s="472" t="s">
        <v>873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857</v>
      </c>
      <c r="B45" s="472" t="s">
        <v>874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857</v>
      </c>
      <c r="B46" s="472" t="s">
        <v>875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857</v>
      </c>
      <c r="B47" s="472" t="s">
        <v>876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857</v>
      </c>
      <c r="B48" s="472" t="s">
        <v>877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857</v>
      </c>
      <c r="B49" s="472" t="s">
        <v>878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857</v>
      </c>
      <c r="B50" s="472" t="s">
        <v>879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857</v>
      </c>
      <c r="B51" s="472" t="s">
        <v>880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857</v>
      </c>
      <c r="B52" s="472" t="s">
        <v>881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857</v>
      </c>
      <c r="B53" s="472" t="s">
        <v>882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857</v>
      </c>
      <c r="B54" s="472" t="s">
        <v>883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857</v>
      </c>
      <c r="B55" s="472" t="s">
        <v>884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857</v>
      </c>
      <c r="B56" s="472" t="s">
        <v>885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857</v>
      </c>
      <c r="B57" s="472" t="s">
        <v>886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857</v>
      </c>
      <c r="B58" s="472" t="s">
        <v>887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857</v>
      </c>
      <c r="B59" s="472" t="s">
        <v>888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857</v>
      </c>
      <c r="B60" s="472" t="s">
        <v>889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857</v>
      </c>
      <c r="B61" s="472" t="s">
        <v>890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857</v>
      </c>
      <c r="B62" s="472" t="s">
        <v>891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857</v>
      </c>
      <c r="B63" s="472" t="s">
        <v>892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857</v>
      </c>
      <c r="B64" s="472" t="s">
        <v>893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857</v>
      </c>
      <c r="B65" s="472" t="s">
        <v>894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857</v>
      </c>
      <c r="B66" s="472" t="s">
        <v>895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857</v>
      </c>
      <c r="B67" s="472" t="s">
        <v>896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857</v>
      </c>
      <c r="B68" s="472" t="s">
        <v>897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857</v>
      </c>
      <c r="B69" s="472" t="s">
        <v>898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857</v>
      </c>
      <c r="B70" s="472" t="s">
        <v>899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857</v>
      </c>
      <c r="B71" s="472" t="s">
        <v>900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857</v>
      </c>
      <c r="B72" s="472" t="s">
        <v>901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857</v>
      </c>
      <c r="B73" s="472" t="s">
        <v>902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857</v>
      </c>
      <c r="B74" s="472" t="s">
        <v>903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857</v>
      </c>
      <c r="B75" s="472" t="s">
        <v>904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857</v>
      </c>
      <c r="B76" s="472" t="s">
        <v>905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857</v>
      </c>
      <c r="B77" s="472" t="s">
        <v>906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857</v>
      </c>
      <c r="B78" s="472" t="s">
        <v>907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857</v>
      </c>
      <c r="B79" s="472" t="s">
        <v>908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857</v>
      </c>
      <c r="B80" s="472" t="s">
        <v>909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857</v>
      </c>
      <c r="B81" s="472" t="s">
        <v>910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857</v>
      </c>
      <c r="B82" s="472" t="s">
        <v>911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857</v>
      </c>
      <c r="B83" s="472" t="s">
        <v>912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857</v>
      </c>
      <c r="B84" s="472" t="s">
        <v>913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857</v>
      </c>
      <c r="B85" s="472" t="s">
        <v>914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857</v>
      </c>
      <c r="B86" s="472" t="s">
        <v>915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857</v>
      </c>
      <c r="B87" s="472" t="s">
        <v>916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857</v>
      </c>
      <c r="B88" s="472" t="s">
        <v>917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857</v>
      </c>
      <c r="B89" s="472" t="s">
        <v>918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857</v>
      </c>
      <c r="B90" s="472" t="s">
        <v>919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857</v>
      </c>
      <c r="B91" s="472" t="s">
        <v>920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857</v>
      </c>
      <c r="B92" s="472" t="s">
        <v>921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857</v>
      </c>
      <c r="B93" s="472" t="s">
        <v>922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857</v>
      </c>
      <c r="B94" s="472" t="s">
        <v>923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857</v>
      </c>
      <c r="B95" s="472" t="s">
        <v>924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857</v>
      </c>
      <c r="B96" s="472" t="s">
        <v>925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857</v>
      </c>
      <c r="B97" s="472" t="s">
        <v>926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857</v>
      </c>
      <c r="B98" s="472" t="s">
        <v>927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857</v>
      </c>
      <c r="B99" s="472" t="s">
        <v>928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857</v>
      </c>
      <c r="B100" s="472" t="s">
        <v>929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857</v>
      </c>
      <c r="B101" s="472" t="s">
        <v>930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857</v>
      </c>
      <c r="B102" s="472" t="s">
        <v>931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857</v>
      </c>
      <c r="B103" s="472" t="s">
        <v>932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857</v>
      </c>
      <c r="B104" s="472" t="s">
        <v>933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857</v>
      </c>
      <c r="B105" s="472" t="s">
        <v>934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857</v>
      </c>
      <c r="B106" s="472" t="s">
        <v>935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857</v>
      </c>
      <c r="B107" s="472" t="s">
        <v>936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857</v>
      </c>
      <c r="B108" s="472" t="s">
        <v>937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857</v>
      </c>
      <c r="B109" s="472" t="s">
        <v>938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857</v>
      </c>
      <c r="B110" s="472" t="s">
        <v>939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857</v>
      </c>
      <c r="B111" s="472" t="s">
        <v>940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857</v>
      </c>
      <c r="B112" s="472" t="s">
        <v>941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857</v>
      </c>
      <c r="B113" s="472" t="s">
        <v>942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857</v>
      </c>
      <c r="B114" s="472" t="s">
        <v>943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857</v>
      </c>
      <c r="B115" s="472" t="s">
        <v>944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857</v>
      </c>
      <c r="B116" s="472" t="s">
        <v>945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857</v>
      </c>
      <c r="B117" s="472" t="s">
        <v>946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857</v>
      </c>
      <c r="B118" s="472" t="s">
        <v>947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857</v>
      </c>
      <c r="B119" s="472" t="s">
        <v>948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857</v>
      </c>
      <c r="B120" s="472" t="s">
        <v>949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857</v>
      </c>
      <c r="B121" s="472" t="s">
        <v>950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857</v>
      </c>
      <c r="B122" s="472" t="s">
        <v>951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857</v>
      </c>
      <c r="B123" s="472" t="s">
        <v>952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857</v>
      </c>
      <c r="B124" s="472" t="s">
        <v>953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857</v>
      </c>
      <c r="B125" s="472" t="s">
        <v>954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857</v>
      </c>
      <c r="B126" s="472" t="s">
        <v>955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857</v>
      </c>
      <c r="B127" s="472" t="s">
        <v>956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857</v>
      </c>
      <c r="B128" s="472" t="s">
        <v>957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857</v>
      </c>
      <c r="B129" s="472" t="s">
        <v>958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857</v>
      </c>
      <c r="B130" s="472" t="s">
        <v>959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857</v>
      </c>
      <c r="B131" s="472" t="s">
        <v>960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857</v>
      </c>
      <c r="B132" s="472" t="s">
        <v>961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857</v>
      </c>
      <c r="B133" s="472" t="s">
        <v>962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857</v>
      </c>
      <c r="B134" s="472" t="s">
        <v>963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857</v>
      </c>
      <c r="B135" s="472" t="s">
        <v>964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857</v>
      </c>
      <c r="B136" s="472" t="s">
        <v>965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857</v>
      </c>
      <c r="B137" s="472" t="s">
        <v>966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857</v>
      </c>
      <c r="B138" s="472" t="s">
        <v>967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857</v>
      </c>
      <c r="B139" s="472" t="s">
        <v>968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857</v>
      </c>
      <c r="B140" s="472" t="s">
        <v>969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857</v>
      </c>
      <c r="B141" s="472" t="s">
        <v>970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857</v>
      </c>
      <c r="B142" s="472" t="s">
        <v>971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857</v>
      </c>
      <c r="B143" s="472" t="s">
        <v>972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857</v>
      </c>
      <c r="B144" s="472" t="s">
        <v>973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857</v>
      </c>
      <c r="B145" s="472" t="s">
        <v>974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857</v>
      </c>
      <c r="B146" s="472" t="s">
        <v>975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857</v>
      </c>
      <c r="B147" s="472" t="s">
        <v>976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857</v>
      </c>
      <c r="B148" s="472" t="s">
        <v>977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857</v>
      </c>
      <c r="B149" s="472" t="s">
        <v>978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857</v>
      </c>
      <c r="B150" s="472" t="s">
        <v>979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857</v>
      </c>
      <c r="B151" s="472" t="s">
        <v>980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857</v>
      </c>
      <c r="B152" s="472" t="s">
        <v>981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857</v>
      </c>
      <c r="B153" s="472" t="s">
        <v>982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857</v>
      </c>
      <c r="B154" s="472" t="s">
        <v>983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857</v>
      </c>
      <c r="B155" s="472" t="s">
        <v>984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857</v>
      </c>
      <c r="B156" s="472" t="s">
        <v>985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857</v>
      </c>
      <c r="B157" s="472" t="s">
        <v>986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857</v>
      </c>
      <c r="B158" s="472" t="s">
        <v>987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857</v>
      </c>
      <c r="B159" s="472" t="s">
        <v>988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857</v>
      </c>
      <c r="B160" s="472" t="s">
        <v>989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857</v>
      </c>
      <c r="B161" s="472" t="s">
        <v>990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857</v>
      </c>
      <c r="B162" s="472" t="s">
        <v>991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857</v>
      </c>
      <c r="B163" s="472" t="s">
        <v>992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857</v>
      </c>
      <c r="B164" s="472" t="s">
        <v>993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857</v>
      </c>
      <c r="B165" s="472" t="s">
        <v>994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857</v>
      </c>
      <c r="B166" s="472" t="s">
        <v>995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857</v>
      </c>
      <c r="B167" s="472" t="s">
        <v>996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857</v>
      </c>
      <c r="B168" s="472" t="s">
        <v>997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857</v>
      </c>
      <c r="B169" s="472" t="s">
        <v>998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857</v>
      </c>
      <c r="B170" s="472" t="s">
        <v>999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857</v>
      </c>
      <c r="B171" s="472" t="s">
        <v>1000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857</v>
      </c>
      <c r="B172" s="472" t="s">
        <v>1001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857</v>
      </c>
      <c r="B173" s="472" t="s">
        <v>1002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857</v>
      </c>
      <c r="B174" s="472" t="s">
        <v>1003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857</v>
      </c>
      <c r="B175" s="472" t="s">
        <v>1004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857</v>
      </c>
      <c r="B176" s="472" t="s">
        <v>1005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857</v>
      </c>
      <c r="B177" s="472" t="s">
        <v>1006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857</v>
      </c>
      <c r="B178" s="472" t="s">
        <v>1007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857</v>
      </c>
      <c r="B179" s="472" t="s">
        <v>1008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857</v>
      </c>
      <c r="B180" s="472" t="s">
        <v>1009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857</v>
      </c>
      <c r="B181" s="472" t="s">
        <v>1010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857</v>
      </c>
      <c r="B182" s="472" t="s">
        <v>1011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857</v>
      </c>
      <c r="B183" s="472" t="s">
        <v>1012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857</v>
      </c>
      <c r="B184" s="472" t="s">
        <v>1013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857</v>
      </c>
      <c r="B185" s="472" t="s">
        <v>1014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857</v>
      </c>
      <c r="B186" s="472" t="s">
        <v>1015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857</v>
      </c>
      <c r="B187" s="472" t="s">
        <v>1016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857</v>
      </c>
      <c r="B188" s="472" t="s">
        <v>1017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857</v>
      </c>
      <c r="B189" s="472" t="s">
        <v>1018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857</v>
      </c>
      <c r="B190" s="472" t="s">
        <v>1019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857</v>
      </c>
      <c r="B191" s="472" t="s">
        <v>1020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857</v>
      </c>
      <c r="B192" s="472" t="s">
        <v>1021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857</v>
      </c>
      <c r="B193" s="472" t="s">
        <v>1022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857</v>
      </c>
      <c r="B194" s="472" t="s">
        <v>1023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857</v>
      </c>
      <c r="B195" s="472" t="s">
        <v>1024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857</v>
      </c>
      <c r="B196" s="472" t="s">
        <v>1025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857</v>
      </c>
      <c r="B197" s="472" t="s">
        <v>1026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857</v>
      </c>
      <c r="B198" s="472" t="s">
        <v>1027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857</v>
      </c>
      <c r="B199" s="472" t="s">
        <v>1028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857</v>
      </c>
      <c r="B200" s="472" t="s">
        <v>1029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857</v>
      </c>
      <c r="B201" s="472" t="s">
        <v>1030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857</v>
      </c>
      <c r="B202" s="472" t="s">
        <v>1031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857</v>
      </c>
      <c r="B203" s="472" t="s">
        <v>1032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857</v>
      </c>
      <c r="B204" s="472" t="s">
        <v>1033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857</v>
      </c>
      <c r="B205" s="472" t="s">
        <v>1034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857</v>
      </c>
      <c r="B206" s="472" t="s">
        <v>1035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857</v>
      </c>
      <c r="B207" s="472" t="s">
        <v>1036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857</v>
      </c>
      <c r="B208" s="472" t="s">
        <v>1037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857</v>
      </c>
      <c r="B209" s="472" t="s">
        <v>1038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857</v>
      </c>
      <c r="B210" s="472" t="s">
        <v>1039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857</v>
      </c>
      <c r="B211" s="472" t="s">
        <v>1040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857</v>
      </c>
      <c r="B212" s="472" t="s">
        <v>1041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857</v>
      </c>
      <c r="B213" s="472" t="s">
        <v>1042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857</v>
      </c>
      <c r="B214" s="472" t="s">
        <v>1043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857</v>
      </c>
      <c r="B215" s="472" t="s">
        <v>1044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857</v>
      </c>
      <c r="B216" s="472" t="s">
        <v>1045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857</v>
      </c>
      <c r="B217" s="472" t="s">
        <v>1046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857</v>
      </c>
      <c r="B218" s="472" t="s">
        <v>1047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857</v>
      </c>
      <c r="B219" s="472" t="s">
        <v>1048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857</v>
      </c>
      <c r="B220" s="472" t="s">
        <v>1049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857</v>
      </c>
      <c r="B221" s="472" t="s">
        <v>1050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857</v>
      </c>
      <c r="B222" s="472" t="s">
        <v>1051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857</v>
      </c>
      <c r="B223" s="472" t="s">
        <v>1052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857</v>
      </c>
      <c r="B224" s="472" t="s">
        <v>1053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857</v>
      </c>
      <c r="B225" s="472" t="s">
        <v>1054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857</v>
      </c>
      <c r="B226" s="472" t="s">
        <v>1055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857</v>
      </c>
      <c r="B227" s="472" t="s">
        <v>1056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857</v>
      </c>
      <c r="B228" s="472" t="s">
        <v>1057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857</v>
      </c>
      <c r="B229" s="472" t="s">
        <v>1058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857</v>
      </c>
      <c r="B230" s="472" t="s">
        <v>1059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857</v>
      </c>
      <c r="B231" s="472" t="s">
        <v>1060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857</v>
      </c>
      <c r="B232" s="472" t="s">
        <v>1061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857</v>
      </c>
      <c r="B233" s="472" t="s">
        <v>1062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857</v>
      </c>
      <c r="B234" s="472" t="s">
        <v>1063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857</v>
      </c>
      <c r="B235" s="472" t="s">
        <v>1064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857</v>
      </c>
      <c r="B236" s="472" t="s">
        <v>1065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857</v>
      </c>
      <c r="B237" s="472" t="s">
        <v>1066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857</v>
      </c>
      <c r="B238" s="472" t="s">
        <v>1067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857</v>
      </c>
      <c r="B239" s="472" t="s">
        <v>1068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857</v>
      </c>
      <c r="B240" s="472" t="s">
        <v>1069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857</v>
      </c>
      <c r="B241" s="472" t="s">
        <v>1070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857</v>
      </c>
      <c r="B242" s="472" t="s">
        <v>1071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857</v>
      </c>
      <c r="B243" s="472" t="s">
        <v>1072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857</v>
      </c>
      <c r="B244" s="472" t="s">
        <v>1073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857</v>
      </c>
      <c r="B245" s="472" t="s">
        <v>1074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857</v>
      </c>
      <c r="B246" s="472" t="s">
        <v>1075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857</v>
      </c>
      <c r="B247" s="472" t="s">
        <v>1076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857</v>
      </c>
      <c r="B248" s="472" t="s">
        <v>1077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857</v>
      </c>
      <c r="B249" s="472" t="s">
        <v>1078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857</v>
      </c>
      <c r="B250" s="472" t="s">
        <v>1079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857</v>
      </c>
      <c r="B251" s="472" t="s">
        <v>1080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857</v>
      </c>
      <c r="B252" s="472" t="s">
        <v>1081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857</v>
      </c>
      <c r="B253" s="472" t="s">
        <v>1082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857</v>
      </c>
      <c r="B254" s="472" t="s">
        <v>1083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857</v>
      </c>
      <c r="B255" s="472" t="s">
        <v>1084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857</v>
      </c>
      <c r="B256" s="472" t="s">
        <v>1085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857</v>
      </c>
      <c r="B257" s="472" t="s">
        <v>1086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857</v>
      </c>
      <c r="B258" s="472" t="s">
        <v>1087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857</v>
      </c>
      <c r="B259" s="472" t="s">
        <v>1088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857</v>
      </c>
      <c r="B260" s="472" t="s">
        <v>1089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857</v>
      </c>
      <c r="B261" s="472" t="s">
        <v>1090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857</v>
      </c>
      <c r="B262" s="472" t="s">
        <v>1091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857</v>
      </c>
      <c r="B263" s="472" t="s">
        <v>1092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857</v>
      </c>
      <c r="B264" s="472" t="s">
        <v>1093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857</v>
      </c>
      <c r="B265" s="472" t="s">
        <v>1094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857</v>
      </c>
      <c r="B266" s="472" t="s">
        <v>1095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857</v>
      </c>
      <c r="B267" s="472" t="s">
        <v>1096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857</v>
      </c>
      <c r="B268" s="472" t="s">
        <v>1097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857</v>
      </c>
      <c r="B269" s="472" t="s">
        <v>1098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857</v>
      </c>
      <c r="B270" s="472" t="s">
        <v>1099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857</v>
      </c>
      <c r="B271" s="472" t="s">
        <v>1100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857</v>
      </c>
      <c r="B272" s="472" t="s">
        <v>1101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857</v>
      </c>
      <c r="B273" s="472" t="s">
        <v>1102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857</v>
      </c>
      <c r="B274" s="472" t="s">
        <v>1103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857</v>
      </c>
      <c r="B275" s="472" t="s">
        <v>1104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857</v>
      </c>
      <c r="B276" s="472" t="s">
        <v>1105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857</v>
      </c>
      <c r="B277" s="472" t="s">
        <v>1106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857</v>
      </c>
      <c r="B278" s="472" t="s">
        <v>1107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857</v>
      </c>
      <c r="B279" s="472" t="s">
        <v>1108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857</v>
      </c>
      <c r="B280" s="472" t="s">
        <v>1109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857</v>
      </c>
      <c r="B281" s="472" t="s">
        <v>1110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857</v>
      </c>
      <c r="B282" s="472" t="s">
        <v>1111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857</v>
      </c>
      <c r="B283" s="472" t="s">
        <v>1112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857</v>
      </c>
      <c r="B284" s="472" t="s">
        <v>1113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857</v>
      </c>
      <c r="B285" s="472" t="s">
        <v>1114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857</v>
      </c>
      <c r="B286" s="472" t="s">
        <v>1115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857</v>
      </c>
      <c r="B287" s="472" t="s">
        <v>1116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857</v>
      </c>
      <c r="B288" s="472" t="s">
        <v>1117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857</v>
      </c>
      <c r="B289" s="472" t="s">
        <v>1118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857</v>
      </c>
      <c r="B290" s="472" t="s">
        <v>1119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857</v>
      </c>
      <c r="B291" s="472" t="s">
        <v>1120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857</v>
      </c>
      <c r="B292" s="472" t="s">
        <v>1121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857</v>
      </c>
      <c r="B293" s="472" t="s">
        <v>1122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857</v>
      </c>
      <c r="B294" s="472" t="s">
        <v>1123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857</v>
      </c>
      <c r="B295" s="472" t="s">
        <v>1124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857</v>
      </c>
      <c r="B296" s="472" t="s">
        <v>1125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857</v>
      </c>
      <c r="B297" s="472" t="s">
        <v>1126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857</v>
      </c>
      <c r="B298" s="472" t="s">
        <v>1127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857</v>
      </c>
      <c r="B299" s="472" t="s">
        <v>1128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857</v>
      </c>
      <c r="B300" s="472" t="s">
        <v>1129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857</v>
      </c>
      <c r="B301" s="472" t="s">
        <v>1130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857</v>
      </c>
      <c r="B302" s="472" t="s">
        <v>1131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857</v>
      </c>
      <c r="B303" s="472" t="s">
        <v>1132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857</v>
      </c>
      <c r="B304" s="472" t="s">
        <v>1133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857</v>
      </c>
      <c r="B305" s="472" t="s">
        <v>1134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857</v>
      </c>
      <c r="B306" s="472" t="s">
        <v>1135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857</v>
      </c>
      <c r="B307" s="472" t="s">
        <v>1136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857</v>
      </c>
      <c r="B308" s="472" t="s">
        <v>1137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857</v>
      </c>
      <c r="B309" s="472" t="s">
        <v>1138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857</v>
      </c>
      <c r="B310" s="472" t="s">
        <v>1139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857</v>
      </c>
      <c r="B311" s="472" t="s">
        <v>1140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857</v>
      </c>
      <c r="B312" s="472" t="s">
        <v>1141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857</v>
      </c>
      <c r="B313" s="472" t="s">
        <v>1142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857</v>
      </c>
      <c r="B314" s="472" t="s">
        <v>1143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857</v>
      </c>
      <c r="B315" s="472" t="s">
        <v>1144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857</v>
      </c>
      <c r="B316" s="472" t="s">
        <v>1145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857</v>
      </c>
      <c r="B317" s="472" t="s">
        <v>1146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857</v>
      </c>
      <c r="B318" s="472" t="s">
        <v>1147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857</v>
      </c>
      <c r="B319" s="472" t="s">
        <v>1148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857</v>
      </c>
      <c r="B320" s="472" t="s">
        <v>1149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857</v>
      </c>
      <c r="B321" s="472" t="s">
        <v>1150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857</v>
      </c>
      <c r="B322" s="472" t="s">
        <v>1151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857</v>
      </c>
      <c r="B323" s="472" t="s">
        <v>1152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857</v>
      </c>
      <c r="B324" s="472" t="s">
        <v>1153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857</v>
      </c>
      <c r="B325" s="472" t="s">
        <v>1154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857</v>
      </c>
      <c r="B326" s="472" t="s">
        <v>1155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857</v>
      </c>
      <c r="B327" s="472" t="s">
        <v>1156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857</v>
      </c>
      <c r="B328" s="472" t="s">
        <v>1157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857</v>
      </c>
      <c r="B329" s="472" t="s">
        <v>1158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857</v>
      </c>
      <c r="B330" s="472" t="s">
        <v>1159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857</v>
      </c>
      <c r="B331" s="472" t="s">
        <v>1160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857</v>
      </c>
      <c r="B332" s="472" t="s">
        <v>1161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857</v>
      </c>
      <c r="B333" s="472" t="s">
        <v>1162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857</v>
      </c>
      <c r="B334" s="472" t="s">
        <v>1163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857</v>
      </c>
      <c r="B335" s="472" t="s">
        <v>1164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857</v>
      </c>
      <c r="B336" s="472" t="s">
        <v>1165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857</v>
      </c>
      <c r="B337" s="472" t="s">
        <v>1166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857</v>
      </c>
      <c r="B338" s="472" t="s">
        <v>1167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857</v>
      </c>
      <c r="B339" s="472" t="s">
        <v>1168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857</v>
      </c>
      <c r="B340" s="472" t="s">
        <v>1169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857</v>
      </c>
      <c r="B341" s="472" t="s">
        <v>1170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857</v>
      </c>
      <c r="B342" s="472" t="s">
        <v>1171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857</v>
      </c>
      <c r="B343" s="472" t="s">
        <v>1172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857</v>
      </c>
      <c r="B344" s="472" t="s">
        <v>1173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857</v>
      </c>
      <c r="B345" s="472" t="s">
        <v>1174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857</v>
      </c>
      <c r="B346" s="472" t="s">
        <v>1175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857</v>
      </c>
      <c r="B347" s="472" t="s">
        <v>1176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857</v>
      </c>
      <c r="B348" s="472" t="s">
        <v>1177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857</v>
      </c>
      <c r="B349" s="472" t="s">
        <v>1178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857</v>
      </c>
      <c r="B350" s="472" t="s">
        <v>1179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857</v>
      </c>
      <c r="B351" s="472" t="s">
        <v>1180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857</v>
      </c>
      <c r="B352" s="472" t="s">
        <v>1181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857</v>
      </c>
      <c r="B353" s="472" t="s">
        <v>1182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857</v>
      </c>
      <c r="B354" s="472" t="s">
        <v>1183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857</v>
      </c>
      <c r="B355" s="472" t="s">
        <v>1184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857</v>
      </c>
      <c r="B356" s="472" t="s">
        <v>1185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857</v>
      </c>
      <c r="B357" s="472" t="s">
        <v>1186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857</v>
      </c>
      <c r="B358" s="472" t="s">
        <v>1187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857</v>
      </c>
      <c r="B359" s="472" t="s">
        <v>1188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857</v>
      </c>
      <c r="B360" s="472" t="s">
        <v>1189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857</v>
      </c>
      <c r="B361" s="472" t="s">
        <v>1190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857</v>
      </c>
      <c r="B362" s="472" t="s">
        <v>1191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857</v>
      </c>
      <c r="B363" s="472" t="s">
        <v>1192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857</v>
      </c>
      <c r="B364" s="472" t="s">
        <v>1193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857</v>
      </c>
      <c r="B365" s="472" t="s">
        <v>1194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857</v>
      </c>
      <c r="B366" s="472" t="s">
        <v>1195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857</v>
      </c>
      <c r="B367" s="472" t="s">
        <v>1196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857</v>
      </c>
      <c r="B368" s="472" t="s">
        <v>1197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857</v>
      </c>
      <c r="B369" s="472" t="s">
        <v>1198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857</v>
      </c>
      <c r="B370" s="472" t="s">
        <v>1199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857</v>
      </c>
      <c r="B371" s="472" t="s">
        <v>1200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857</v>
      </c>
      <c r="B372" s="472" t="s">
        <v>1201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857</v>
      </c>
      <c r="B373" s="472" t="s">
        <v>1202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857</v>
      </c>
      <c r="B374" s="472" t="s">
        <v>1203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857</v>
      </c>
      <c r="B375" s="472" t="s">
        <v>1204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857</v>
      </c>
      <c r="B376" s="472" t="s">
        <v>1205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857</v>
      </c>
      <c r="B377" s="472" t="s">
        <v>1206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857</v>
      </c>
      <c r="B378" s="472" t="s">
        <v>1207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857</v>
      </c>
      <c r="B379" s="472" t="s">
        <v>1208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857</v>
      </c>
      <c r="B380" s="472" t="s">
        <v>1209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857</v>
      </c>
      <c r="B381" s="472" t="s">
        <v>1210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857</v>
      </c>
      <c r="B382" s="472" t="s">
        <v>1211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857</v>
      </c>
      <c r="B383" s="472" t="s">
        <v>1212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857</v>
      </c>
      <c r="B384" s="472" t="s">
        <v>1213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857</v>
      </c>
      <c r="B385" s="472" t="s">
        <v>1214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857</v>
      </c>
      <c r="B386" s="472" t="s">
        <v>1215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857</v>
      </c>
      <c r="B387" s="472" t="s">
        <v>1216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857</v>
      </c>
      <c r="B388" s="472" t="s">
        <v>1217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857</v>
      </c>
      <c r="B389" s="472" t="s">
        <v>1218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857</v>
      </c>
      <c r="B390" s="472" t="s">
        <v>1219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857</v>
      </c>
      <c r="B391" s="472" t="s">
        <v>1220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857</v>
      </c>
      <c r="B392" s="472" t="s">
        <v>1221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857</v>
      </c>
      <c r="B393" s="472" t="s">
        <v>1222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857</v>
      </c>
      <c r="B394" s="472" t="s">
        <v>1223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857</v>
      </c>
      <c r="B395" s="472" t="s">
        <v>1224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857</v>
      </c>
      <c r="B396" s="472" t="s">
        <v>1225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857</v>
      </c>
      <c r="B397" s="472" t="s">
        <v>1226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857</v>
      </c>
      <c r="B398" s="472" t="s">
        <v>1227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857</v>
      </c>
      <c r="B399" s="472" t="s">
        <v>1228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857</v>
      </c>
      <c r="B400" s="472" t="s">
        <v>1229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857</v>
      </c>
      <c r="B401" s="472" t="s">
        <v>1230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857</v>
      </c>
      <c r="B402" s="472" t="s">
        <v>1231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857</v>
      </c>
      <c r="B403" s="472" t="s">
        <v>1232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857</v>
      </c>
      <c r="B404" s="472" t="s">
        <v>1233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857</v>
      </c>
      <c r="B405" s="472" t="s">
        <v>1234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857</v>
      </c>
      <c r="B406" s="472" t="s">
        <v>1235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857</v>
      </c>
      <c r="B407" s="472" t="s">
        <v>1236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857</v>
      </c>
      <c r="B408" s="472" t="s">
        <v>1237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857</v>
      </c>
      <c r="B409" s="472" t="s">
        <v>1238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857</v>
      </c>
      <c r="B410" s="472" t="s">
        <v>1239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857</v>
      </c>
      <c r="B411" s="472" t="s">
        <v>1240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857</v>
      </c>
      <c r="B412" s="472" t="s">
        <v>1241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857</v>
      </c>
      <c r="B413" s="472" t="s">
        <v>1242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857</v>
      </c>
      <c r="B414" s="472" t="s">
        <v>1243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857</v>
      </c>
      <c r="B415" s="472" t="s">
        <v>1244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857</v>
      </c>
      <c r="B416" s="472" t="s">
        <v>1245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857</v>
      </c>
      <c r="B417" s="472" t="s">
        <v>1246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857</v>
      </c>
      <c r="B418" s="472" t="s">
        <v>1247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857</v>
      </c>
      <c r="B419" s="472" t="s">
        <v>1248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857</v>
      </c>
      <c r="B420" s="472" t="s">
        <v>1249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857</v>
      </c>
      <c r="B421" s="472" t="s">
        <v>1250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857</v>
      </c>
      <c r="B422" s="472" t="s">
        <v>1251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857</v>
      </c>
      <c r="B423" s="472" t="s">
        <v>1252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857</v>
      </c>
      <c r="B424" s="472" t="s">
        <v>1253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857</v>
      </c>
      <c r="B425" s="472" t="s">
        <v>1254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857</v>
      </c>
      <c r="B426" s="472" t="s">
        <v>1255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857</v>
      </c>
      <c r="B427" s="472" t="s">
        <v>1256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857</v>
      </c>
      <c r="B428" s="472" t="s">
        <v>1257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857</v>
      </c>
      <c r="B429" s="472" t="s">
        <v>1258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857</v>
      </c>
      <c r="B430" s="472" t="s">
        <v>1259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857</v>
      </c>
      <c r="B431" s="472" t="s">
        <v>1260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857</v>
      </c>
      <c r="B432" s="472" t="s">
        <v>1261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857</v>
      </c>
      <c r="B433" s="472" t="s">
        <v>1262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857</v>
      </c>
      <c r="B434" s="472" t="s">
        <v>1263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857</v>
      </c>
      <c r="B435" s="472" t="s">
        <v>1264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857</v>
      </c>
      <c r="B436" s="472" t="s">
        <v>1265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857</v>
      </c>
      <c r="B437" s="472" t="s">
        <v>1266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857</v>
      </c>
      <c r="B438" s="472" t="s">
        <v>1267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857</v>
      </c>
      <c r="B439" s="472" t="s">
        <v>1268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857</v>
      </c>
      <c r="B440" s="472" t="s">
        <v>1269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857</v>
      </c>
      <c r="B441" s="472" t="s">
        <v>1270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857</v>
      </c>
      <c r="B442" s="472" t="s">
        <v>1271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857</v>
      </c>
      <c r="B443" s="472" t="s">
        <v>1272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857</v>
      </c>
      <c r="B444" s="472" t="s">
        <v>1273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857</v>
      </c>
      <c r="B445" s="472" t="s">
        <v>1274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857</v>
      </c>
      <c r="B446" s="472" t="s">
        <v>1275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857</v>
      </c>
      <c r="B447" s="472" t="s">
        <v>1276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857</v>
      </c>
      <c r="B448" s="472" t="s">
        <v>1277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857</v>
      </c>
      <c r="B449" s="472" t="s">
        <v>1278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857</v>
      </c>
      <c r="B450" s="472" t="s">
        <v>1279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857</v>
      </c>
      <c r="B451" s="472" t="s">
        <v>1280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857</v>
      </c>
      <c r="B452" s="472" t="s">
        <v>1281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857</v>
      </c>
      <c r="B453" s="472" t="s">
        <v>1282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857</v>
      </c>
      <c r="B454" s="472" t="s">
        <v>1283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857</v>
      </c>
      <c r="B455" s="472" t="s">
        <v>1284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857</v>
      </c>
      <c r="B456" s="472" t="s">
        <v>1285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857</v>
      </c>
      <c r="B457" s="472" t="s">
        <v>1286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857</v>
      </c>
      <c r="B458" s="472" t="s">
        <v>1287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857</v>
      </c>
      <c r="B459" s="472" t="s">
        <v>1288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857</v>
      </c>
      <c r="B460" s="472" t="s">
        <v>1289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857</v>
      </c>
      <c r="B461" s="472" t="s">
        <v>1290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857</v>
      </c>
      <c r="B462" s="472" t="s">
        <v>1291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857</v>
      </c>
      <c r="B463" s="472" t="s">
        <v>1292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857</v>
      </c>
      <c r="B464" s="472" t="s">
        <v>1293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857</v>
      </c>
      <c r="B465" s="472" t="s">
        <v>1294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857</v>
      </c>
      <c r="B466" s="472" t="s">
        <v>1294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857</v>
      </c>
      <c r="B467" s="472" t="s">
        <v>1295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857</v>
      </c>
      <c r="B468" s="472" t="s">
        <v>1296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857</v>
      </c>
      <c r="B469" s="472" t="s">
        <v>1297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857</v>
      </c>
      <c r="B470" s="472" t="s">
        <v>1298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857</v>
      </c>
      <c r="B471" s="472" t="s">
        <v>1299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857</v>
      </c>
      <c r="B472" s="472" t="s">
        <v>1300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857</v>
      </c>
      <c r="B473" s="472" t="s">
        <v>1301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857</v>
      </c>
      <c r="B474" s="472" t="s">
        <v>1302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857</v>
      </c>
      <c r="B475" s="472" t="s">
        <v>1303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857</v>
      </c>
      <c r="B476" s="472" t="s">
        <v>1304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857</v>
      </c>
      <c r="B477" s="472" t="s">
        <v>1305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857</v>
      </c>
      <c r="B478" s="472" t="s">
        <v>1306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857</v>
      </c>
      <c r="B479" s="472" t="s">
        <v>1307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857</v>
      </c>
      <c r="B480" s="472" t="s">
        <v>1308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857</v>
      </c>
      <c r="B481" s="472" t="s">
        <v>1309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857</v>
      </c>
      <c r="B482" s="472" t="s">
        <v>1310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857</v>
      </c>
      <c r="B483" s="472" t="s">
        <v>1311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857</v>
      </c>
      <c r="B484" s="472" t="s">
        <v>1312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857</v>
      </c>
      <c r="B485" s="472" t="s">
        <v>1313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857</v>
      </c>
      <c r="B486" s="472" t="s">
        <v>1314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857</v>
      </c>
      <c r="B487" s="472" t="s">
        <v>1315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857</v>
      </c>
      <c r="B488" s="472" t="s">
        <v>1316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857</v>
      </c>
      <c r="B489" s="472" t="s">
        <v>1317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857</v>
      </c>
      <c r="B490" s="472" t="s">
        <v>1318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857</v>
      </c>
      <c r="B491" s="472" t="s">
        <v>1319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857</v>
      </c>
      <c r="B492" s="472" t="s">
        <v>1320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857</v>
      </c>
      <c r="B493" s="472" t="s">
        <v>1321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857</v>
      </c>
      <c r="B494" s="472" t="s">
        <v>1322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857</v>
      </c>
      <c r="B495" s="472" t="s">
        <v>1323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857</v>
      </c>
      <c r="B496" s="472" t="s">
        <v>1324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857</v>
      </c>
      <c r="B497" s="472" t="s">
        <v>1325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857</v>
      </c>
      <c r="B498" s="472" t="s">
        <v>1326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857</v>
      </c>
      <c r="B499" s="472" t="s">
        <v>1327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857</v>
      </c>
      <c r="B500" s="472" t="s">
        <v>1328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857</v>
      </c>
      <c r="B501" s="472" t="s">
        <v>1329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857</v>
      </c>
      <c r="B502" s="472" t="s">
        <v>1330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857</v>
      </c>
      <c r="B503" s="472" t="s">
        <v>1331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857</v>
      </c>
      <c r="B504" s="472" t="s">
        <v>1332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857</v>
      </c>
      <c r="B505" s="472" t="s">
        <v>1333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857</v>
      </c>
      <c r="B506" s="472" t="s">
        <v>1334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857</v>
      </c>
      <c r="B507" s="472" t="s">
        <v>1335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857</v>
      </c>
      <c r="B508" s="472" t="s">
        <v>1336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857</v>
      </c>
      <c r="B509" s="472" t="s">
        <v>1337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857</v>
      </c>
      <c r="B510" s="472" t="s">
        <v>1338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857</v>
      </c>
      <c r="B511" s="472" t="s">
        <v>1339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857</v>
      </c>
      <c r="B512" s="472" t="s">
        <v>1340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857</v>
      </c>
      <c r="B513" s="472" t="s">
        <v>1341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857</v>
      </c>
      <c r="B514" s="472" t="s">
        <v>1342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857</v>
      </c>
      <c r="B515" s="472" t="s">
        <v>1343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857</v>
      </c>
      <c r="B516" s="472" t="s">
        <v>1344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857</v>
      </c>
      <c r="B517" s="472" t="s">
        <v>1345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857</v>
      </c>
      <c r="B518" s="472" t="s">
        <v>1346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857</v>
      </c>
      <c r="B519" s="472" t="s">
        <v>1347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857</v>
      </c>
      <c r="B520" s="472" t="s">
        <v>1348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857</v>
      </c>
      <c r="B521" s="472" t="s">
        <v>1349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857</v>
      </c>
      <c r="B522" s="472" t="s">
        <v>1350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857</v>
      </c>
      <c r="B523" s="472" t="s">
        <v>1351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857</v>
      </c>
      <c r="B524" s="472" t="s">
        <v>1352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857</v>
      </c>
      <c r="B525" s="472" t="s">
        <v>1353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857</v>
      </c>
      <c r="B526" s="472" t="s">
        <v>1354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857</v>
      </c>
      <c r="B527" s="472" t="s">
        <v>1355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857</v>
      </c>
      <c r="B528" s="472" t="s">
        <v>1356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857</v>
      </c>
      <c r="B529" s="472" t="s">
        <v>1357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857</v>
      </c>
      <c r="B530" s="472" t="s">
        <v>1358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857</v>
      </c>
      <c r="B531" s="472" t="s">
        <v>1359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857</v>
      </c>
      <c r="B532" s="472" t="s">
        <v>1360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857</v>
      </c>
      <c r="B533" s="472" t="s">
        <v>1361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857</v>
      </c>
      <c r="B534" s="472" t="s">
        <v>1362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857</v>
      </c>
      <c r="B535" s="472" t="s">
        <v>1363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857</v>
      </c>
      <c r="B536" s="472" t="s">
        <v>1364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857</v>
      </c>
      <c r="B537" s="472" t="s">
        <v>1365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857</v>
      </c>
      <c r="B538" s="472" t="s">
        <v>1366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857</v>
      </c>
      <c r="B539" s="472" t="s">
        <v>1367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857</v>
      </c>
      <c r="B540" s="472" t="s">
        <v>1368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857</v>
      </c>
      <c r="B541" s="472" t="s">
        <v>1369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857</v>
      </c>
      <c r="B542" s="472" t="s">
        <v>1370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857</v>
      </c>
      <c r="B543" s="472" t="s">
        <v>1371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857</v>
      </c>
      <c r="B544" s="472" t="s">
        <v>1372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857</v>
      </c>
      <c r="B545" s="472" t="s">
        <v>1373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857</v>
      </c>
      <c r="B546" s="472" t="s">
        <v>1374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857</v>
      </c>
      <c r="B547" s="472" t="s">
        <v>1375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857</v>
      </c>
      <c r="B548" s="472" t="s">
        <v>1376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857</v>
      </c>
      <c r="B549" s="472" t="s">
        <v>1377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857</v>
      </c>
      <c r="B550" s="472" t="s">
        <v>1378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857</v>
      </c>
      <c r="B551" s="472" t="s">
        <v>1379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857</v>
      </c>
      <c r="B552" s="472" t="s">
        <v>1380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857</v>
      </c>
      <c r="B553" s="472" t="s">
        <v>1381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857</v>
      </c>
      <c r="B554" s="472" t="s">
        <v>1382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857</v>
      </c>
      <c r="B555" s="472" t="s">
        <v>1383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857</v>
      </c>
      <c r="B556" s="472" t="s">
        <v>1384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857</v>
      </c>
      <c r="B557" s="472" t="s">
        <v>1385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857</v>
      </c>
      <c r="B558" s="472" t="s">
        <v>1386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857</v>
      </c>
      <c r="B559" s="472" t="s">
        <v>1387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857</v>
      </c>
      <c r="B560" s="472" t="s">
        <v>1388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857</v>
      </c>
      <c r="B561" s="472" t="s">
        <v>1389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857</v>
      </c>
      <c r="B562" s="472" t="s">
        <v>1390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857</v>
      </c>
      <c r="B563" s="472" t="s">
        <v>1391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857</v>
      </c>
      <c r="B564" s="472" t="s">
        <v>1392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857</v>
      </c>
      <c r="B565" s="472" t="s">
        <v>1393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857</v>
      </c>
      <c r="B566" s="472" t="s">
        <v>1394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857</v>
      </c>
      <c r="B567" s="472" t="s">
        <v>1395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857</v>
      </c>
      <c r="B568" s="472" t="s">
        <v>1396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857</v>
      </c>
      <c r="B569" s="472" t="s">
        <v>1397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857</v>
      </c>
      <c r="B570" s="472" t="s">
        <v>1398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857</v>
      </c>
      <c r="B571" s="472" t="s">
        <v>1399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857</v>
      </c>
      <c r="B572" s="472" t="s">
        <v>1400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857</v>
      </c>
      <c r="B573" s="472" t="s">
        <v>1401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857</v>
      </c>
      <c r="B574" s="472" t="s">
        <v>1402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857</v>
      </c>
      <c r="B575" s="472" t="s">
        <v>1403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857</v>
      </c>
      <c r="B576" s="472" t="s">
        <v>1404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857</v>
      </c>
      <c r="B577" s="472" t="s">
        <v>1405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857</v>
      </c>
      <c r="B578" s="472" t="s">
        <v>1406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857</v>
      </c>
      <c r="B579" s="472" t="s">
        <v>1407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857</v>
      </c>
      <c r="B580" s="472" t="s">
        <v>1408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857</v>
      </c>
      <c r="B581" s="472" t="s">
        <v>1409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857</v>
      </c>
      <c r="B582" s="472" t="s">
        <v>1410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857</v>
      </c>
      <c r="B583" s="472" t="s">
        <v>1411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857</v>
      </c>
      <c r="B584" s="472" t="s">
        <v>1412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857</v>
      </c>
      <c r="B585" s="472" t="s">
        <v>1413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857</v>
      </c>
      <c r="B586" s="472" t="s">
        <v>1414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857</v>
      </c>
      <c r="B587" s="472" t="s">
        <v>1415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857</v>
      </c>
      <c r="B588" s="472" t="s">
        <v>1416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857</v>
      </c>
      <c r="B589" s="472" t="s">
        <v>1417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857</v>
      </c>
      <c r="B590" s="472" t="s">
        <v>1418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857</v>
      </c>
      <c r="B591" s="472" t="s">
        <v>1419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857</v>
      </c>
      <c r="B592" s="472" t="s">
        <v>1420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857</v>
      </c>
      <c r="B593" s="472" t="s">
        <v>1421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857</v>
      </c>
      <c r="B594" s="472" t="s">
        <v>1422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857</v>
      </c>
      <c r="B595" s="472" t="s">
        <v>1423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857</v>
      </c>
      <c r="B596" s="472" t="s">
        <v>1424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857</v>
      </c>
      <c r="B597" s="472" t="s">
        <v>1425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857</v>
      </c>
      <c r="B598" s="472" t="s">
        <v>1426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857</v>
      </c>
      <c r="B599" s="472" t="s">
        <v>1427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857</v>
      </c>
      <c r="B600" s="472" t="s">
        <v>1428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857</v>
      </c>
      <c r="B601" s="472" t="s">
        <v>1429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857</v>
      </c>
      <c r="B602" s="472" t="s">
        <v>1430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857</v>
      </c>
      <c r="B603" s="472" t="s">
        <v>1431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857</v>
      </c>
      <c r="B604" s="472" t="s">
        <v>1432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857</v>
      </c>
      <c r="B605" s="472" t="s">
        <v>1433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857</v>
      </c>
      <c r="B606" s="472" t="s">
        <v>1434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857</v>
      </c>
      <c r="B607" s="472" t="s">
        <v>1435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857</v>
      </c>
      <c r="B608" s="472" t="s">
        <v>1436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857</v>
      </c>
      <c r="B609" s="472" t="s">
        <v>1437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857</v>
      </c>
      <c r="B610" s="472" t="s">
        <v>1438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857</v>
      </c>
      <c r="B611" s="472" t="s">
        <v>1439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857</v>
      </c>
      <c r="B612" s="472" t="s">
        <v>1440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857</v>
      </c>
      <c r="B613" s="472" t="s">
        <v>1441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857</v>
      </c>
      <c r="B614" s="472" t="s">
        <v>1442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857</v>
      </c>
      <c r="B615" s="472" t="s">
        <v>1443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857</v>
      </c>
      <c r="B616" s="472" t="s">
        <v>1444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857</v>
      </c>
      <c r="B617" s="472" t="s">
        <v>1445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857</v>
      </c>
      <c r="B618" s="472" t="s">
        <v>1446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857</v>
      </c>
      <c r="B619" s="472" t="s">
        <v>1447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857</v>
      </c>
      <c r="B620" s="472" t="s">
        <v>1448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857</v>
      </c>
      <c r="B621" s="472" t="s">
        <v>1449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857</v>
      </c>
      <c r="B622" s="472" t="s">
        <v>1450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857</v>
      </c>
      <c r="B623" s="472" t="s">
        <v>1451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857</v>
      </c>
      <c r="B624" s="472" t="s">
        <v>1452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857</v>
      </c>
      <c r="B625" s="472" t="s">
        <v>1453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857</v>
      </c>
      <c r="B626" s="472" t="s">
        <v>1454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857</v>
      </c>
      <c r="B627" s="472" t="s">
        <v>1455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857</v>
      </c>
      <c r="B628" s="472" t="s">
        <v>1456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857</v>
      </c>
      <c r="B629" s="472" t="s">
        <v>1457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857</v>
      </c>
      <c r="B630" s="472" t="s">
        <v>1458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857</v>
      </c>
      <c r="B631" s="472" t="s">
        <v>1459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857</v>
      </c>
      <c r="B632" s="472" t="s">
        <v>1460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857</v>
      </c>
      <c r="B633" s="472" t="s">
        <v>1461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857</v>
      </c>
      <c r="B634" s="472" t="s">
        <v>1462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857</v>
      </c>
      <c r="B635" s="472" t="s">
        <v>1463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857</v>
      </c>
      <c r="B636" s="472" t="s">
        <v>1464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857</v>
      </c>
      <c r="B637" s="472" t="s">
        <v>1465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857</v>
      </c>
      <c r="B638" s="472" t="s">
        <v>1466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857</v>
      </c>
      <c r="B639" s="472" t="s">
        <v>1467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857</v>
      </c>
      <c r="B640" s="472" t="s">
        <v>1468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857</v>
      </c>
      <c r="B641" s="472" t="s">
        <v>1469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857</v>
      </c>
      <c r="B642" s="472" t="s">
        <v>1470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857</v>
      </c>
      <c r="B643" s="472" t="s">
        <v>1471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857</v>
      </c>
      <c r="B644" s="472" t="s">
        <v>1472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857</v>
      </c>
      <c r="B645" s="472" t="s">
        <v>1473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857</v>
      </c>
      <c r="B646" s="472" t="s">
        <v>1474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857</v>
      </c>
      <c r="B647" s="472" t="s">
        <v>1475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857</v>
      </c>
      <c r="B648" s="472" t="s">
        <v>1476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857</v>
      </c>
      <c r="B649" s="472" t="s">
        <v>1477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857</v>
      </c>
      <c r="B650" s="472" t="s">
        <v>1478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857</v>
      </c>
      <c r="B651" s="472" t="s">
        <v>1479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857</v>
      </c>
      <c r="B652" s="472" t="s">
        <v>1480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857</v>
      </c>
      <c r="B653" s="472" t="s">
        <v>1481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857</v>
      </c>
      <c r="B654" s="472" t="s">
        <v>1482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857</v>
      </c>
      <c r="B655" s="472" t="s">
        <v>1483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857</v>
      </c>
      <c r="B656" s="472" t="s">
        <v>1484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857</v>
      </c>
      <c r="B657" s="472" t="s">
        <v>1485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857</v>
      </c>
      <c r="B658" s="472" t="s">
        <v>1486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857</v>
      </c>
      <c r="B659" s="472" t="s">
        <v>1487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857</v>
      </c>
      <c r="B660" s="472" t="s">
        <v>1488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857</v>
      </c>
      <c r="B661" s="472" t="s">
        <v>1489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857</v>
      </c>
      <c r="B662" s="472" t="s">
        <v>1490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857</v>
      </c>
      <c r="B663" s="472" t="s">
        <v>1491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857</v>
      </c>
      <c r="B664" s="472" t="s">
        <v>1492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857</v>
      </c>
      <c r="B665" s="472" t="s">
        <v>1493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857</v>
      </c>
      <c r="B666" s="472" t="s">
        <v>1494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857</v>
      </c>
      <c r="B667" s="472" t="s">
        <v>1495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857</v>
      </c>
      <c r="B668" s="472" t="s">
        <v>1496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857</v>
      </c>
      <c r="B669" s="472" t="s">
        <v>1497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857</v>
      </c>
      <c r="B670" s="472" t="s">
        <v>1498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857</v>
      </c>
      <c r="B671" s="472" t="s">
        <v>1499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857</v>
      </c>
      <c r="B672" s="472" t="s">
        <v>1500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857</v>
      </c>
      <c r="B673" s="472" t="s">
        <v>1501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857</v>
      </c>
      <c r="B674" s="472" t="s">
        <v>1502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857</v>
      </c>
      <c r="B675" s="472" t="s">
        <v>1503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857</v>
      </c>
      <c r="B676" s="472" t="s">
        <v>1504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857</v>
      </c>
      <c r="B677" s="472" t="s">
        <v>1505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857</v>
      </c>
      <c r="B678" s="472" t="s">
        <v>1506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857</v>
      </c>
      <c r="B679" s="472" t="s">
        <v>1507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857</v>
      </c>
      <c r="B680" s="472" t="s">
        <v>1508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857</v>
      </c>
      <c r="B681" s="472" t="s">
        <v>1509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857</v>
      </c>
      <c r="B682" s="472" t="s">
        <v>1510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857</v>
      </c>
      <c r="B683" s="472" t="s">
        <v>1511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857</v>
      </c>
      <c r="B684" s="472" t="s">
        <v>1512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857</v>
      </c>
      <c r="B685" s="472" t="s">
        <v>1513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857</v>
      </c>
      <c r="B686" s="472" t="s">
        <v>1514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857</v>
      </c>
      <c r="B687" s="472" t="s">
        <v>1515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857</v>
      </c>
      <c r="B688" s="472" t="s">
        <v>1516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857</v>
      </c>
      <c r="B689" s="472" t="s">
        <v>1517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857</v>
      </c>
      <c r="B690" s="472" t="s">
        <v>1518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857</v>
      </c>
      <c r="B691" s="472" t="s">
        <v>1519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857</v>
      </c>
      <c r="B692" s="472" t="s">
        <v>1520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857</v>
      </c>
      <c r="B693" s="472" t="s">
        <v>1521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857</v>
      </c>
      <c r="B694" s="472" t="s">
        <v>1522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857</v>
      </c>
      <c r="B695" s="472" t="s">
        <v>1523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857</v>
      </c>
      <c r="B696" s="472" t="s">
        <v>1524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857</v>
      </c>
      <c r="B697" s="472" t="s">
        <v>1525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857</v>
      </c>
      <c r="B698" s="472" t="s">
        <v>1526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857</v>
      </c>
      <c r="B699" s="472" t="s">
        <v>1527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857</v>
      </c>
      <c r="B700" s="472" t="s">
        <v>1528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857</v>
      </c>
      <c r="B701" s="472" t="s">
        <v>1529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857</v>
      </c>
      <c r="B702" s="472" t="s">
        <v>1530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857</v>
      </c>
      <c r="B703" s="472" t="s">
        <v>1531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857</v>
      </c>
      <c r="B704" s="472" t="s">
        <v>1532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857</v>
      </c>
      <c r="B705" s="472" t="s">
        <v>1533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857</v>
      </c>
      <c r="B706" s="472" t="s">
        <v>1534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857</v>
      </c>
      <c r="B707" s="472" t="s">
        <v>1535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857</v>
      </c>
      <c r="B708" s="472" t="s">
        <v>1536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857</v>
      </c>
      <c r="B709" s="472" t="s">
        <v>1537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857</v>
      </c>
      <c r="B710" s="472" t="s">
        <v>1538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857</v>
      </c>
      <c r="B711" s="472" t="s">
        <v>1539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857</v>
      </c>
      <c r="B712" s="472" t="s">
        <v>1540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857</v>
      </c>
      <c r="B713" s="472" t="s">
        <v>1541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857</v>
      </c>
      <c r="B714" s="472" t="s">
        <v>1542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857</v>
      </c>
      <c r="B715" s="472" t="s">
        <v>1543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857</v>
      </c>
      <c r="B716" s="472" t="s">
        <v>1544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857</v>
      </c>
      <c r="B717" s="472" t="s">
        <v>1545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857</v>
      </c>
      <c r="B718" s="472" t="s">
        <v>1546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857</v>
      </c>
      <c r="B719" s="472" t="s">
        <v>1547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857</v>
      </c>
      <c r="B720" s="472" t="s">
        <v>1548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857</v>
      </c>
      <c r="B721" s="472" t="s">
        <v>1549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857</v>
      </c>
      <c r="B722" s="472" t="s">
        <v>1550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857</v>
      </c>
      <c r="B723" s="472" t="s">
        <v>1551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857</v>
      </c>
      <c r="B724" s="472" t="s">
        <v>1552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857</v>
      </c>
      <c r="B725" s="472" t="s">
        <v>1553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857</v>
      </c>
      <c r="B726" s="472" t="s">
        <v>1554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857</v>
      </c>
      <c r="B727" s="472" t="s">
        <v>1555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857</v>
      </c>
      <c r="B728" s="472" t="s">
        <v>1556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857</v>
      </c>
      <c r="B729" s="472" t="s">
        <v>1557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857</v>
      </c>
      <c r="B730" s="472" t="s">
        <v>1558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857</v>
      </c>
      <c r="B731" s="472" t="s">
        <v>1559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857</v>
      </c>
      <c r="B732" s="472" t="s">
        <v>1560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857</v>
      </c>
      <c r="B733" s="472" t="s">
        <v>1561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857</v>
      </c>
      <c r="B734" s="472" t="s">
        <v>1562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857</v>
      </c>
      <c r="B735" s="472" t="s">
        <v>1563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857</v>
      </c>
      <c r="B736" s="472" t="s">
        <v>1564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857</v>
      </c>
      <c r="B737" s="472" t="s">
        <v>1565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857</v>
      </c>
      <c r="B738" s="472" t="s">
        <v>1566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857</v>
      </c>
      <c r="B739" s="472" t="s">
        <v>1567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857</v>
      </c>
      <c r="B740" s="472" t="s">
        <v>1568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857</v>
      </c>
      <c r="B741" s="472" t="s">
        <v>1569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857</v>
      </c>
      <c r="B742" s="472" t="s">
        <v>1570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857</v>
      </c>
      <c r="B743" s="472" t="s">
        <v>1571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857</v>
      </c>
      <c r="B744" s="472" t="s">
        <v>1572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857</v>
      </c>
      <c r="B745" s="472" t="s">
        <v>1573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857</v>
      </c>
      <c r="B746" s="472" t="s">
        <v>1574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857</v>
      </c>
      <c r="B747" s="472" t="s">
        <v>1575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857</v>
      </c>
      <c r="B748" s="472" t="s">
        <v>1576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857</v>
      </c>
      <c r="B749" s="472" t="s">
        <v>1577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857</v>
      </c>
      <c r="B750" s="472" t="s">
        <v>1578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857</v>
      </c>
      <c r="B751" s="472" t="s">
        <v>1579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857</v>
      </c>
      <c r="B752" s="472" t="s">
        <v>1580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857</v>
      </c>
      <c r="B753" s="472" t="s">
        <v>1581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857</v>
      </c>
      <c r="B754" s="472" t="s">
        <v>1582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857</v>
      </c>
      <c r="B755" s="472" t="s">
        <v>1583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857</v>
      </c>
      <c r="B756" s="472" t="s">
        <v>1584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857</v>
      </c>
      <c r="B757" s="472" t="s">
        <v>1585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857</v>
      </c>
      <c r="B758" s="472" t="s">
        <v>1586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857</v>
      </c>
      <c r="B759" s="472" t="s">
        <v>1587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857</v>
      </c>
      <c r="B760" s="472" t="s">
        <v>1588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857</v>
      </c>
      <c r="B761" s="472" t="s">
        <v>1589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857</v>
      </c>
      <c r="B762" s="472" t="s">
        <v>1590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857</v>
      </c>
      <c r="B763" s="472" t="s">
        <v>1591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857</v>
      </c>
      <c r="B764" s="472" t="s">
        <v>1592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857</v>
      </c>
      <c r="B765" s="472" t="s">
        <v>1593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857</v>
      </c>
      <c r="B766" s="472" t="s">
        <v>1594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857</v>
      </c>
      <c r="B767" s="472" t="s">
        <v>1595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857</v>
      </c>
      <c r="B768" s="472" t="s">
        <v>1596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857</v>
      </c>
      <c r="B769" s="472" t="s">
        <v>1597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857</v>
      </c>
      <c r="B770" s="472" t="s">
        <v>1598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857</v>
      </c>
      <c r="B771" s="472" t="s">
        <v>1599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857</v>
      </c>
      <c r="B772" s="472" t="s">
        <v>1600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857</v>
      </c>
      <c r="B773" s="472" t="s">
        <v>1601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857</v>
      </c>
      <c r="B774" s="472" t="s">
        <v>1602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857</v>
      </c>
      <c r="B775" s="472" t="s">
        <v>1603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857</v>
      </c>
      <c r="B776" s="472" t="s">
        <v>1604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857</v>
      </c>
      <c r="B777" s="472" t="s">
        <v>1605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857</v>
      </c>
      <c r="B778" s="472" t="s">
        <v>1606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857</v>
      </c>
      <c r="B779" s="472" t="s">
        <v>1607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857</v>
      </c>
      <c r="B780" s="472" t="s">
        <v>1608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857</v>
      </c>
      <c r="B781" s="472" t="s">
        <v>1609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857</v>
      </c>
      <c r="B782" s="472" t="s">
        <v>1610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857</v>
      </c>
      <c r="B783" s="472" t="s">
        <v>1611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857</v>
      </c>
      <c r="B784" s="472" t="s">
        <v>1612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857</v>
      </c>
      <c r="B785" s="472" t="s">
        <v>1613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857</v>
      </c>
      <c r="B786" s="472" t="s">
        <v>1614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857</v>
      </c>
      <c r="B787" s="472" t="s">
        <v>1615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857</v>
      </c>
      <c r="B788" s="472" t="s">
        <v>1616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857</v>
      </c>
      <c r="B789" s="472" t="s">
        <v>1617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857</v>
      </c>
      <c r="B790" s="472" t="s">
        <v>1618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857</v>
      </c>
      <c r="B791" s="472" t="s">
        <v>1619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857</v>
      </c>
      <c r="B792" s="472" t="s">
        <v>1620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857</v>
      </c>
      <c r="B793" s="472" t="s">
        <v>1621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857</v>
      </c>
      <c r="B794" s="472" t="s">
        <v>1622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857</v>
      </c>
      <c r="B795" s="472" t="s">
        <v>1623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857</v>
      </c>
      <c r="B796" s="472" t="s">
        <v>1624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857</v>
      </c>
      <c r="B797" s="472" t="s">
        <v>1625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857</v>
      </c>
      <c r="B798" s="472" t="s">
        <v>1626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857</v>
      </c>
      <c r="B799" s="472" t="s">
        <v>1627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857</v>
      </c>
      <c r="B800" s="472" t="s">
        <v>1628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857</v>
      </c>
      <c r="B801" s="472" t="s">
        <v>1629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857</v>
      </c>
      <c r="B802" s="472" t="s">
        <v>1630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857</v>
      </c>
      <c r="B803" s="472" t="s">
        <v>1631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857</v>
      </c>
      <c r="B804" s="472" t="s">
        <v>1632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857</v>
      </c>
      <c r="B805" s="472" t="s">
        <v>1633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857</v>
      </c>
      <c r="B806" s="472" t="s">
        <v>1634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857</v>
      </c>
      <c r="B807" s="472" t="s">
        <v>1635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857</v>
      </c>
      <c r="B808" s="472" t="s">
        <v>1636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857</v>
      </c>
      <c r="B809" s="472" t="s">
        <v>1637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857</v>
      </c>
      <c r="B810" s="472" t="s">
        <v>1638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857</v>
      </c>
      <c r="B811" s="472" t="s">
        <v>1639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857</v>
      </c>
      <c r="B812" s="472" t="s">
        <v>1640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857</v>
      </c>
      <c r="B813" s="472" t="s">
        <v>1641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857</v>
      </c>
      <c r="B814" s="472" t="s">
        <v>1642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857</v>
      </c>
      <c r="B815" s="472" t="s">
        <v>1643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857</v>
      </c>
      <c r="B816" s="472" t="s">
        <v>1644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857</v>
      </c>
      <c r="B817" s="472" t="s">
        <v>1645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857</v>
      </c>
      <c r="B818" s="472" t="s">
        <v>1646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857</v>
      </c>
      <c r="B819" s="472" t="s">
        <v>1647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857</v>
      </c>
      <c r="B820" s="472" t="s">
        <v>1648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857</v>
      </c>
      <c r="B821" s="472" t="s">
        <v>1649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857</v>
      </c>
      <c r="B822" s="472" t="s">
        <v>1650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857</v>
      </c>
      <c r="B823" s="472" t="s">
        <v>1651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857</v>
      </c>
      <c r="B824" s="472" t="s">
        <v>1652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857</v>
      </c>
      <c r="B825" s="472" t="s">
        <v>1653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857</v>
      </c>
      <c r="B826" s="472" t="s">
        <v>1654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857</v>
      </c>
      <c r="B827" s="472" t="s">
        <v>1655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857</v>
      </c>
      <c r="B828" s="472" t="s">
        <v>1656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857</v>
      </c>
      <c r="B829" s="472" t="s">
        <v>1657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857</v>
      </c>
      <c r="B830" s="472" t="s">
        <v>1658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857</v>
      </c>
      <c r="B831" s="472" t="s">
        <v>1659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857</v>
      </c>
      <c r="B832" s="472" t="s">
        <v>1660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857</v>
      </c>
      <c r="B833" s="472" t="s">
        <v>1661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857</v>
      </c>
      <c r="B834" s="472" t="s">
        <v>1662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857</v>
      </c>
      <c r="B835" s="472" t="s">
        <v>1663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857</v>
      </c>
      <c r="B836" s="472" t="s">
        <v>1664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857</v>
      </c>
      <c r="B837" s="472" t="s">
        <v>1665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857</v>
      </c>
      <c r="B838" s="472" t="s">
        <v>1666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857</v>
      </c>
      <c r="B839" s="472" t="s">
        <v>1667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857</v>
      </c>
      <c r="B840" s="472" t="s">
        <v>1668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857</v>
      </c>
      <c r="B841" s="472" t="s">
        <v>1669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857</v>
      </c>
      <c r="B842" s="472" t="s">
        <v>1670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857</v>
      </c>
      <c r="B843" s="472" t="s">
        <v>1671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857</v>
      </c>
      <c r="B844" s="472" t="s">
        <v>1672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857</v>
      </c>
      <c r="B845" s="472" t="s">
        <v>1673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857</v>
      </c>
      <c r="B846" s="472" t="s">
        <v>1674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857</v>
      </c>
      <c r="B847" s="472" t="s">
        <v>1675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857</v>
      </c>
      <c r="B848" s="472" t="s">
        <v>1676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857</v>
      </c>
      <c r="B849" s="472" t="s">
        <v>1677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857</v>
      </c>
      <c r="B850" s="472" t="s">
        <v>1678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857</v>
      </c>
      <c r="B851" s="472" t="s">
        <v>1679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857</v>
      </c>
      <c r="B852" s="472" t="s">
        <v>1680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857</v>
      </c>
      <c r="B853" s="472" t="s">
        <v>1681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857</v>
      </c>
      <c r="B854" s="472" t="s">
        <v>1682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857</v>
      </c>
      <c r="B855" s="472" t="s">
        <v>1683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857</v>
      </c>
      <c r="B856" s="472" t="s">
        <v>1684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857</v>
      </c>
      <c r="B857" s="472" t="s">
        <v>1685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857</v>
      </c>
      <c r="B858" s="472" t="s">
        <v>1686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857</v>
      </c>
      <c r="B859" s="472" t="s">
        <v>1687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857</v>
      </c>
      <c r="B860" s="472" t="s">
        <v>1688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857</v>
      </c>
      <c r="B861" s="472" t="s">
        <v>1689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857</v>
      </c>
      <c r="B862" s="472" t="s">
        <v>1690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857</v>
      </c>
      <c r="B863" s="472" t="s">
        <v>1691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857</v>
      </c>
      <c r="B864" s="472" t="s">
        <v>1692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857</v>
      </c>
      <c r="B865" s="472" t="s">
        <v>1693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857</v>
      </c>
      <c r="B866" s="472" t="s">
        <v>1694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857</v>
      </c>
      <c r="B867" s="472" t="s">
        <v>1695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857</v>
      </c>
      <c r="B868" s="472" t="s">
        <v>1696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857</v>
      </c>
      <c r="B869" s="472" t="s">
        <v>1697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857</v>
      </c>
      <c r="B870" s="472" t="s">
        <v>1698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857</v>
      </c>
      <c r="B871" s="472" t="s">
        <v>1699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857</v>
      </c>
      <c r="B872" s="472" t="s">
        <v>1700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857</v>
      </c>
      <c r="B873" s="472" t="s">
        <v>1701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857</v>
      </c>
      <c r="B874" s="472" t="s">
        <v>1702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857</v>
      </c>
      <c r="B875" s="472" t="s">
        <v>1703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857</v>
      </c>
      <c r="B876" s="472" t="s">
        <v>1704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857</v>
      </c>
      <c r="B877" s="472" t="s">
        <v>1705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857</v>
      </c>
      <c r="B878" s="472" t="s">
        <v>1706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857</v>
      </c>
      <c r="B879" s="472" t="s">
        <v>1707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857</v>
      </c>
      <c r="B880" s="472" t="s">
        <v>1708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857</v>
      </c>
      <c r="B881" s="472" t="s">
        <v>1709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857</v>
      </c>
      <c r="B882" s="472" t="s">
        <v>1710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857</v>
      </c>
      <c r="B883" s="472" t="s">
        <v>1711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857</v>
      </c>
      <c r="B884" s="472" t="s">
        <v>1712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857</v>
      </c>
      <c r="B885" s="472" t="s">
        <v>1713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857</v>
      </c>
      <c r="B886" s="472" t="s">
        <v>1714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857</v>
      </c>
      <c r="B887" s="472" t="s">
        <v>1715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857</v>
      </c>
      <c r="B888" s="472" t="s">
        <v>1716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857</v>
      </c>
      <c r="B889" s="472" t="s">
        <v>1717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857</v>
      </c>
      <c r="B890" s="472" t="s">
        <v>1718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857</v>
      </c>
      <c r="B891" s="472" t="s">
        <v>1719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857</v>
      </c>
      <c r="B892" s="472" t="s">
        <v>1720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857</v>
      </c>
      <c r="B893" s="472" t="s">
        <v>1721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857</v>
      </c>
      <c r="B894" s="472" t="s">
        <v>1722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857</v>
      </c>
      <c r="B895" s="472" t="s">
        <v>1723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857</v>
      </c>
      <c r="B896" s="472" t="s">
        <v>1724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857</v>
      </c>
      <c r="B897" s="472" t="s">
        <v>1725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857</v>
      </c>
      <c r="B898" s="472" t="s">
        <v>1726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857</v>
      </c>
      <c r="B899" s="472" t="s">
        <v>1727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857</v>
      </c>
      <c r="B900" s="472" t="s">
        <v>1728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857</v>
      </c>
      <c r="B901" s="472" t="s">
        <v>1729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857</v>
      </c>
      <c r="B902" s="472" t="s">
        <v>1730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857</v>
      </c>
      <c r="B903" s="472" t="s">
        <v>1731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857</v>
      </c>
      <c r="B904" s="472" t="s">
        <v>1732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857</v>
      </c>
      <c r="B905" s="472" t="s">
        <v>1733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857</v>
      </c>
      <c r="B906" s="472" t="s">
        <v>1734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857</v>
      </c>
      <c r="B907" s="472" t="s">
        <v>1735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857</v>
      </c>
      <c r="B908" s="472" t="s">
        <v>1736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857</v>
      </c>
      <c r="B909" s="472" t="s">
        <v>1737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857</v>
      </c>
      <c r="B910" s="472" t="s">
        <v>1738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857</v>
      </c>
      <c r="B911" s="472" t="s">
        <v>1739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857</v>
      </c>
      <c r="B912" s="472" t="s">
        <v>1740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857</v>
      </c>
      <c r="B913" s="472" t="s">
        <v>1741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857</v>
      </c>
      <c r="B914" s="472" t="s">
        <v>1742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857</v>
      </c>
      <c r="B915" s="472" t="s">
        <v>1743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857</v>
      </c>
      <c r="B916" s="472" t="s">
        <v>1744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857</v>
      </c>
      <c r="B917" s="472" t="s">
        <v>1745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857</v>
      </c>
      <c r="B918" s="472" t="s">
        <v>1746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857</v>
      </c>
      <c r="B919" s="472" t="s">
        <v>1747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857</v>
      </c>
      <c r="B920" s="472" t="s">
        <v>1748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857</v>
      </c>
      <c r="B921" s="472" t="s">
        <v>1749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857</v>
      </c>
      <c r="B922" s="472" t="s">
        <v>1750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857</v>
      </c>
      <c r="B923" s="472" t="s">
        <v>1751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857</v>
      </c>
      <c r="B924" s="472" t="s">
        <v>1752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857</v>
      </c>
      <c r="B925" s="472" t="s">
        <v>1753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857</v>
      </c>
      <c r="B926" s="472" t="s">
        <v>1754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857</v>
      </c>
      <c r="B927" s="472" t="s">
        <v>1755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857</v>
      </c>
      <c r="B928" s="472" t="s">
        <v>1756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857</v>
      </c>
      <c r="B929" s="472" t="s">
        <v>1757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857</v>
      </c>
      <c r="B930" s="472" t="s">
        <v>1758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857</v>
      </c>
      <c r="B931" s="472" t="s">
        <v>1759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857</v>
      </c>
      <c r="B932" s="472" t="s">
        <v>1760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857</v>
      </c>
      <c r="B933" s="472" t="s">
        <v>1761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857</v>
      </c>
      <c r="B934" s="472" t="s">
        <v>1762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857</v>
      </c>
      <c r="B935" s="472" t="s">
        <v>1763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857</v>
      </c>
      <c r="B936" s="472" t="s">
        <v>1764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857</v>
      </c>
      <c r="B937" s="472" t="s">
        <v>1765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857</v>
      </c>
      <c r="B938" s="472" t="s">
        <v>1766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857</v>
      </c>
      <c r="B939" s="472" t="s">
        <v>1767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857</v>
      </c>
      <c r="B940" s="472" t="s">
        <v>1768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857</v>
      </c>
      <c r="B941" s="472" t="s">
        <v>1769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857</v>
      </c>
      <c r="B942" s="472" t="s">
        <v>1770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857</v>
      </c>
      <c r="B943" s="472" t="s">
        <v>1771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857</v>
      </c>
      <c r="B944" s="472" t="s">
        <v>1772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857</v>
      </c>
      <c r="B945" s="472" t="s">
        <v>1773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857</v>
      </c>
      <c r="B946" s="472" t="s">
        <v>1774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857</v>
      </c>
      <c r="B947" s="472" t="s">
        <v>1775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857</v>
      </c>
      <c r="B948" s="472" t="s">
        <v>1776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857</v>
      </c>
      <c r="B949" s="472" t="s">
        <v>1777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857</v>
      </c>
      <c r="B950" s="472" t="s">
        <v>1778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857</v>
      </c>
      <c r="B951" s="472" t="s">
        <v>1779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857</v>
      </c>
      <c r="B952" s="472" t="s">
        <v>1780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857</v>
      </c>
      <c r="B953" s="472" t="s">
        <v>1781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857</v>
      </c>
      <c r="B954" s="472" t="s">
        <v>1782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857</v>
      </c>
      <c r="B955" s="472" t="s">
        <v>1783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857</v>
      </c>
      <c r="B956" s="472" t="s">
        <v>1784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857</v>
      </c>
      <c r="B957" s="472" t="s">
        <v>1785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857</v>
      </c>
      <c r="B958" s="472" t="s">
        <v>1786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857</v>
      </c>
      <c r="B959" s="472" t="s">
        <v>1787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857</v>
      </c>
      <c r="B960" s="472" t="s">
        <v>1788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857</v>
      </c>
      <c r="B961" s="472" t="s">
        <v>1789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857</v>
      </c>
      <c r="B962" s="472" t="s">
        <v>1790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857</v>
      </c>
      <c r="B963" s="472" t="s">
        <v>1791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857</v>
      </c>
      <c r="B964" s="472" t="s">
        <v>1792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857</v>
      </c>
      <c r="B965" s="472" t="s">
        <v>1793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857</v>
      </c>
      <c r="B966" s="472" t="s">
        <v>1794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857</v>
      </c>
      <c r="B967" s="472" t="s">
        <v>1795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857</v>
      </c>
      <c r="B968" s="472" t="s">
        <v>1796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857</v>
      </c>
      <c r="B969" s="472" t="s">
        <v>1797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857</v>
      </c>
      <c r="B970" s="472" t="s">
        <v>1798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857</v>
      </c>
      <c r="B971" s="472" t="s">
        <v>1799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857</v>
      </c>
      <c r="B972" s="472" t="s">
        <v>1800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857</v>
      </c>
      <c r="B973" s="472" t="s">
        <v>1801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857</v>
      </c>
      <c r="B974" s="472" t="s">
        <v>1802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857</v>
      </c>
      <c r="B975" s="472" t="s">
        <v>1803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857</v>
      </c>
      <c r="B976" s="472" t="s">
        <v>1804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857</v>
      </c>
      <c r="B977" s="472" t="s">
        <v>1805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857</v>
      </c>
      <c r="B978" s="472" t="s">
        <v>1806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857</v>
      </c>
      <c r="B979" s="472" t="s">
        <v>1807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857</v>
      </c>
      <c r="B980" s="472" t="s">
        <v>1808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857</v>
      </c>
      <c r="B981" s="472" t="s">
        <v>1809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857</v>
      </c>
      <c r="B982" s="472" t="s">
        <v>1810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857</v>
      </c>
      <c r="B983" s="472" t="s">
        <v>1811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857</v>
      </c>
      <c r="B984" s="472" t="s">
        <v>1812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857</v>
      </c>
      <c r="B985" s="472" t="s">
        <v>1813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857</v>
      </c>
      <c r="B986" s="472" t="s">
        <v>1814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857</v>
      </c>
      <c r="B987" s="472" t="s">
        <v>1815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857</v>
      </c>
      <c r="B988" s="472" t="s">
        <v>1816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857</v>
      </c>
      <c r="B989" s="472" t="s">
        <v>1817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857</v>
      </c>
      <c r="B990" s="472" t="s">
        <v>1818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857</v>
      </c>
      <c r="B991" s="472" t="s">
        <v>1819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857</v>
      </c>
      <c r="B992" s="472" t="s">
        <v>1820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857</v>
      </c>
      <c r="B993" s="472" t="s">
        <v>1821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857</v>
      </c>
      <c r="B994" s="472" t="s">
        <v>1822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857</v>
      </c>
      <c r="B995" s="472" t="s">
        <v>1823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857</v>
      </c>
      <c r="B996" s="472" t="s">
        <v>1824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857</v>
      </c>
      <c r="B997" s="472" t="s">
        <v>1825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857</v>
      </c>
      <c r="B998" s="472" t="s">
        <v>1826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857</v>
      </c>
      <c r="B999" s="472" t="s">
        <v>1827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857</v>
      </c>
      <c r="B1000" s="472" t="s">
        <v>1828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857</v>
      </c>
      <c r="B1001" s="472" t="s">
        <v>1829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857</v>
      </c>
      <c r="B1002" s="472" t="s">
        <v>1830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857</v>
      </c>
      <c r="B1003" s="472" t="s">
        <v>1831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857</v>
      </c>
      <c r="B1004" s="472" t="s">
        <v>1832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857</v>
      </c>
      <c r="B1005" s="472" t="s">
        <v>1833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857</v>
      </c>
      <c r="B1006" s="472" t="s">
        <v>1834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857</v>
      </c>
      <c r="B1007" s="472" t="s">
        <v>1835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857</v>
      </c>
      <c r="B1008" s="472" t="s">
        <v>1836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857</v>
      </c>
      <c r="B1009" s="472" t="s">
        <v>1837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857</v>
      </c>
      <c r="B1010" s="472" t="s">
        <v>1838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857</v>
      </c>
      <c r="B1011" s="472" t="s">
        <v>1839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857</v>
      </c>
      <c r="B1012" s="472" t="s">
        <v>1840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857</v>
      </c>
      <c r="B1013" s="472" t="s">
        <v>1841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857</v>
      </c>
      <c r="B1014" s="472" t="s">
        <v>1842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857</v>
      </c>
      <c r="B1015" s="472" t="s">
        <v>1843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857</v>
      </c>
      <c r="B1016" s="472" t="s">
        <v>1844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857</v>
      </c>
      <c r="B1017" s="472" t="s">
        <v>1845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857</v>
      </c>
      <c r="B1018" s="472" t="s">
        <v>1846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857</v>
      </c>
      <c r="B1019" s="472" t="s">
        <v>1847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857</v>
      </c>
      <c r="B1020" s="472" t="s">
        <v>1848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857</v>
      </c>
      <c r="B1021" s="472" t="s">
        <v>1849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857</v>
      </c>
      <c r="B1022" s="472" t="s">
        <v>1850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857</v>
      </c>
      <c r="B1023" s="472" t="s">
        <v>1851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857</v>
      </c>
      <c r="B1024" s="472" t="s">
        <v>1852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857</v>
      </c>
      <c r="B1025" s="472" t="s">
        <v>1853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857</v>
      </c>
      <c r="B1026" s="472" t="s">
        <v>1854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857</v>
      </c>
      <c r="B1027" s="472" t="s">
        <v>1855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857</v>
      </c>
      <c r="B1028" s="472" t="s">
        <v>1856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857</v>
      </c>
      <c r="B1029" s="472" t="s">
        <v>1857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857</v>
      </c>
      <c r="B1030" s="472" t="s">
        <v>1858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857</v>
      </c>
      <c r="B1031" s="472" t="s">
        <v>1859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857</v>
      </c>
      <c r="B1032" s="472" t="s">
        <v>1860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857</v>
      </c>
      <c r="B1033" s="472" t="s">
        <v>1861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857</v>
      </c>
      <c r="B1034" s="472" t="s">
        <v>1862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857</v>
      </c>
      <c r="B1035" s="472" t="s">
        <v>1863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857</v>
      </c>
      <c r="B1036" s="472" t="s">
        <v>1864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857</v>
      </c>
      <c r="B1037" s="472" t="s">
        <v>1865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857</v>
      </c>
      <c r="B1038" s="472" t="s">
        <v>1866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857</v>
      </c>
      <c r="B1039" s="472" t="s">
        <v>1867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857</v>
      </c>
      <c r="B1040" s="472" t="s">
        <v>1868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857</v>
      </c>
      <c r="B1041" s="472" t="s">
        <v>1869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857</v>
      </c>
      <c r="B1042" s="472" t="s">
        <v>1870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857</v>
      </c>
      <c r="B1043" s="472" t="s">
        <v>1871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857</v>
      </c>
      <c r="B1044" s="472" t="s">
        <v>1872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857</v>
      </c>
      <c r="B1045" s="472" t="s">
        <v>1873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857</v>
      </c>
      <c r="B1046" s="472" t="s">
        <v>1874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857</v>
      </c>
      <c r="B1047" s="472" t="s">
        <v>1875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857</v>
      </c>
      <c r="B1048" s="472" t="s">
        <v>1876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857</v>
      </c>
      <c r="B1049" s="472" t="s">
        <v>1877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857</v>
      </c>
      <c r="B1050" s="472" t="s">
        <v>1878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857</v>
      </c>
      <c r="B1051" s="472" t="s">
        <v>1879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857</v>
      </c>
      <c r="B1052" s="472" t="s">
        <v>1880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857</v>
      </c>
      <c r="B1053" s="472" t="s">
        <v>1881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857</v>
      </c>
      <c r="B1054" s="472" t="s">
        <v>1882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857</v>
      </c>
      <c r="B1055" s="472" t="s">
        <v>1883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857</v>
      </c>
      <c r="B1056" s="472" t="s">
        <v>1884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857</v>
      </c>
      <c r="B1057" s="472" t="s">
        <v>1885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857</v>
      </c>
      <c r="B1058" s="472" t="s">
        <v>1886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857</v>
      </c>
      <c r="B1059" s="472" t="s">
        <v>1887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857</v>
      </c>
      <c r="B1060" s="472" t="s">
        <v>1888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857</v>
      </c>
      <c r="B1061" s="472" t="s">
        <v>1889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857</v>
      </c>
      <c r="B1062" s="472" t="s">
        <v>1890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857</v>
      </c>
      <c r="B1063" s="472" t="s">
        <v>1891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857</v>
      </c>
      <c r="B1064" s="472" t="s">
        <v>1892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857</v>
      </c>
      <c r="B1065" s="472" t="s">
        <v>1893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857</v>
      </c>
      <c r="B1066" s="472" t="s">
        <v>1894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857</v>
      </c>
      <c r="B1067" s="472" t="s">
        <v>1895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857</v>
      </c>
      <c r="B1068" s="472" t="s">
        <v>1896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857</v>
      </c>
      <c r="B1069" s="472" t="s">
        <v>1897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857</v>
      </c>
      <c r="B1070" s="472" t="s">
        <v>1898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857</v>
      </c>
      <c r="B1071" s="472" t="s">
        <v>1899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857</v>
      </c>
      <c r="B1072" s="472" t="s">
        <v>1900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857</v>
      </c>
      <c r="B1073" s="472" t="s">
        <v>1901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857</v>
      </c>
      <c r="B1074" s="472" t="s">
        <v>1902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857</v>
      </c>
      <c r="B1075" s="472" t="s">
        <v>1903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857</v>
      </c>
      <c r="B1076" s="472" t="s">
        <v>1904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857</v>
      </c>
      <c r="B1077" s="472" t="s">
        <v>1905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857</v>
      </c>
      <c r="B1078" s="472" t="s">
        <v>1906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857</v>
      </c>
      <c r="B1079" s="472" t="s">
        <v>1907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857</v>
      </c>
      <c r="B1080" s="472" t="s">
        <v>1908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857</v>
      </c>
      <c r="B1081" s="472" t="s">
        <v>1909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857</v>
      </c>
      <c r="B1082" s="472" t="s">
        <v>1910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857</v>
      </c>
      <c r="B1083" s="472" t="s">
        <v>1911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857</v>
      </c>
      <c r="B1084" s="472" t="s">
        <v>1912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857</v>
      </c>
      <c r="B1085" s="472" t="s">
        <v>1913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857</v>
      </c>
      <c r="B1086" s="472" t="s">
        <v>1914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857</v>
      </c>
      <c r="B1087" s="472" t="s">
        <v>1915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857</v>
      </c>
      <c r="B1088" s="472" t="s">
        <v>1916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857</v>
      </c>
      <c r="B1089" s="472" t="s">
        <v>1917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857</v>
      </c>
      <c r="B1090" s="472" t="s">
        <v>1918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857</v>
      </c>
      <c r="B1091" s="472" t="s">
        <v>1919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857</v>
      </c>
      <c r="B1092" s="472" t="s">
        <v>1920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857</v>
      </c>
      <c r="B1093" s="472" t="s">
        <v>1921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857</v>
      </c>
      <c r="B1094" s="472" t="s">
        <v>1922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857</v>
      </c>
      <c r="B1095" s="472" t="s">
        <v>1923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857</v>
      </c>
      <c r="B1096" s="472" t="s">
        <v>1924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857</v>
      </c>
      <c r="B1097" s="472" t="s">
        <v>1925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857</v>
      </c>
      <c r="B1098" s="472" t="s">
        <v>1926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857</v>
      </c>
      <c r="B1099" s="472" t="s">
        <v>1927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857</v>
      </c>
      <c r="B1100" s="472" t="s">
        <v>1928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857</v>
      </c>
      <c r="B1101" s="472" t="s">
        <v>1929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857</v>
      </c>
      <c r="B1102" s="472" t="s">
        <v>1930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857</v>
      </c>
      <c r="B1103" s="472" t="s">
        <v>1931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857</v>
      </c>
      <c r="B1104" s="472" t="s">
        <v>1932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857</v>
      </c>
      <c r="B1105" s="472" t="s">
        <v>1933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857</v>
      </c>
      <c r="B1106" s="472" t="s">
        <v>1934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857</v>
      </c>
      <c r="B1107" s="472" t="s">
        <v>1935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857</v>
      </c>
      <c r="B1108" s="472" t="s">
        <v>1936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857</v>
      </c>
      <c r="B1109" s="472" t="s">
        <v>1937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857</v>
      </c>
      <c r="B1110" s="472" t="s">
        <v>1938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857</v>
      </c>
      <c r="B1111" s="472" t="s">
        <v>1939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857</v>
      </c>
      <c r="B1112" s="472" t="s">
        <v>1940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857</v>
      </c>
      <c r="B1113" s="472" t="s">
        <v>1941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857</v>
      </c>
      <c r="B1114" s="472" t="s">
        <v>1942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857</v>
      </c>
      <c r="B1115" s="472" t="s">
        <v>1943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857</v>
      </c>
      <c r="B1116" s="472" t="s">
        <v>1944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857</v>
      </c>
      <c r="B1117" s="472" t="s">
        <v>1945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857</v>
      </c>
      <c r="B1118" s="472" t="s">
        <v>1946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857</v>
      </c>
      <c r="B1119" s="472" t="s">
        <v>1947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857</v>
      </c>
      <c r="B1120" s="472" t="s">
        <v>1948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857</v>
      </c>
      <c r="B1121" s="472" t="s">
        <v>1949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857</v>
      </c>
      <c r="B1122" s="472" t="s">
        <v>1950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857</v>
      </c>
      <c r="B1123" s="472" t="s">
        <v>1951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857</v>
      </c>
      <c r="B1124" s="472" t="s">
        <v>1952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857</v>
      </c>
      <c r="B1125" s="472" t="s">
        <v>1953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857</v>
      </c>
      <c r="B1126" s="472" t="s">
        <v>1954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857</v>
      </c>
      <c r="B1127" s="472" t="s">
        <v>1955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857</v>
      </c>
      <c r="B1128" s="472" t="s">
        <v>1956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857</v>
      </c>
      <c r="B1129" s="472" t="s">
        <v>1957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857</v>
      </c>
      <c r="B1130" s="472" t="s">
        <v>1958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857</v>
      </c>
      <c r="B1131" s="472" t="s">
        <v>1959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857</v>
      </c>
      <c r="B1132" s="472" t="s">
        <v>1960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857</v>
      </c>
      <c r="B1133" s="472" t="s">
        <v>1961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857</v>
      </c>
      <c r="B1134" s="472" t="s">
        <v>1962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857</v>
      </c>
      <c r="B1135" s="472" t="s">
        <v>1963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857</v>
      </c>
      <c r="B1136" s="472" t="s">
        <v>1964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857</v>
      </c>
      <c r="B1137" s="472" t="s">
        <v>1965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857</v>
      </c>
      <c r="B1138" s="472" t="s">
        <v>1966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857</v>
      </c>
      <c r="B1139" s="472" t="s">
        <v>1967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857</v>
      </c>
      <c r="B1140" s="472" t="s">
        <v>1968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857</v>
      </c>
      <c r="B1141" s="472" t="s">
        <v>1969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857</v>
      </c>
      <c r="B1142" s="472" t="s">
        <v>1970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857</v>
      </c>
      <c r="B1143" s="472" t="s">
        <v>1971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857</v>
      </c>
      <c r="B1144" s="472" t="s">
        <v>1972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857</v>
      </c>
      <c r="B1145" s="472" t="s">
        <v>1973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857</v>
      </c>
      <c r="B1146" s="472" t="s">
        <v>1974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857</v>
      </c>
      <c r="B1147" s="472" t="s">
        <v>1975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857</v>
      </c>
      <c r="B1148" s="472" t="s">
        <v>1976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857</v>
      </c>
      <c r="B1149" s="472" t="s">
        <v>1977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857</v>
      </c>
      <c r="B1150" s="472" t="s">
        <v>1978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857</v>
      </c>
      <c r="B1151" s="472" t="s">
        <v>1979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857</v>
      </c>
      <c r="B1152" s="472" t="s">
        <v>1980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857</v>
      </c>
      <c r="B1153" s="472" t="s">
        <v>1981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857</v>
      </c>
      <c r="B1154" s="472" t="s">
        <v>1982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857</v>
      </c>
      <c r="B1155" s="472" t="s">
        <v>1983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857</v>
      </c>
      <c r="B1156" s="472" t="s">
        <v>1984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857</v>
      </c>
      <c r="B1157" s="472" t="s">
        <v>1985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857</v>
      </c>
      <c r="B1158" s="472" t="s">
        <v>1986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857</v>
      </c>
      <c r="B1159" s="472" t="s">
        <v>1987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857</v>
      </c>
      <c r="B1160" s="472" t="s">
        <v>1988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857</v>
      </c>
      <c r="B1161" s="472" t="s">
        <v>1989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857</v>
      </c>
      <c r="B1162" s="472" t="s">
        <v>1990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857</v>
      </c>
      <c r="B1163" s="472" t="s">
        <v>1991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857</v>
      </c>
      <c r="B1164" s="472" t="s">
        <v>1992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857</v>
      </c>
      <c r="B1165" s="472" t="s">
        <v>1993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857</v>
      </c>
      <c r="B1166" s="472" t="s">
        <v>1994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857</v>
      </c>
      <c r="B1167" s="472" t="s">
        <v>1995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857</v>
      </c>
      <c r="B1168" s="472" t="s">
        <v>1996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857</v>
      </c>
      <c r="B1169" s="472" t="s">
        <v>1997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857</v>
      </c>
      <c r="B1170" s="472" t="s">
        <v>1998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857</v>
      </c>
      <c r="B1171" s="472" t="s">
        <v>1999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857</v>
      </c>
      <c r="B1172" s="472" t="s">
        <v>2000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857</v>
      </c>
      <c r="B1173" s="472" t="s">
        <v>2001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857</v>
      </c>
      <c r="B1174" s="472" t="s">
        <v>2002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857</v>
      </c>
      <c r="B1175" s="472" t="s">
        <v>2003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857</v>
      </c>
      <c r="B1176" s="472" t="s">
        <v>2004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857</v>
      </c>
      <c r="B1177" s="472" t="s">
        <v>2005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857</v>
      </c>
      <c r="B1178" s="472" t="s">
        <v>2006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857</v>
      </c>
      <c r="B1179" s="472" t="s">
        <v>2007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857</v>
      </c>
      <c r="B1180" s="472" t="s">
        <v>2008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857</v>
      </c>
      <c r="B1181" s="472" t="s">
        <v>2009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857</v>
      </c>
      <c r="B1182" s="472" t="s">
        <v>2010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857</v>
      </c>
      <c r="B1183" s="472" t="s">
        <v>2011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857</v>
      </c>
      <c r="B1184" s="472" t="s">
        <v>2012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857</v>
      </c>
      <c r="B1185" s="472" t="s">
        <v>2013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857</v>
      </c>
      <c r="B1186" s="472" t="s">
        <v>2014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857</v>
      </c>
      <c r="B1187" s="472" t="s">
        <v>2015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857</v>
      </c>
      <c r="B1188" s="472" t="s">
        <v>2016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857</v>
      </c>
      <c r="B1189" s="472" t="s">
        <v>2017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857</v>
      </c>
      <c r="B1190" s="472" t="s">
        <v>2018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857</v>
      </c>
      <c r="B1191" s="472" t="s">
        <v>2019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857</v>
      </c>
      <c r="B1192" s="472" t="s">
        <v>2020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857</v>
      </c>
      <c r="B1193" s="472" t="s">
        <v>2021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857</v>
      </c>
      <c r="B1194" s="472" t="s">
        <v>2022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857</v>
      </c>
      <c r="B1195" s="472" t="s">
        <v>2023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857</v>
      </c>
      <c r="B1196" s="472" t="s">
        <v>2024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857</v>
      </c>
      <c r="B1197" s="472" t="s">
        <v>2025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857</v>
      </c>
      <c r="B1198" s="472" t="s">
        <v>2026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857</v>
      </c>
      <c r="B1199" s="472" t="s">
        <v>2027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857</v>
      </c>
      <c r="B1200" s="472" t="s">
        <v>2028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857</v>
      </c>
      <c r="B1201" s="472" t="s">
        <v>2029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857</v>
      </c>
      <c r="B1202" s="472" t="s">
        <v>2030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857</v>
      </c>
      <c r="B1203" s="472" t="s">
        <v>2031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857</v>
      </c>
      <c r="B1204" s="472" t="s">
        <v>2032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857</v>
      </c>
      <c r="B1205" s="472" t="s">
        <v>2033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857</v>
      </c>
      <c r="B1206" s="472" t="s">
        <v>2034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857</v>
      </c>
      <c r="B1207" s="472" t="s">
        <v>2035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857</v>
      </c>
      <c r="B1208" s="472" t="s">
        <v>2036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857</v>
      </c>
      <c r="B1209" s="472" t="s">
        <v>2037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857</v>
      </c>
      <c r="B1210" s="472" t="s">
        <v>2038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857</v>
      </c>
      <c r="B1211" s="472" t="s">
        <v>2039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857</v>
      </c>
      <c r="B1212" s="472" t="s">
        <v>2040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857</v>
      </c>
      <c r="B1213" s="472" t="s">
        <v>2041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857</v>
      </c>
      <c r="B1214" s="472" t="s">
        <v>2042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857</v>
      </c>
      <c r="B1215" s="472" t="s">
        <v>2043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857</v>
      </c>
      <c r="B1216" s="472" t="s">
        <v>2044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857</v>
      </c>
      <c r="B1217" s="472" t="s">
        <v>2045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857</v>
      </c>
      <c r="B1218" s="472" t="s">
        <v>2046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857</v>
      </c>
      <c r="B1219" s="472" t="s">
        <v>2047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857</v>
      </c>
      <c r="B1220" s="472" t="s">
        <v>2048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857</v>
      </c>
      <c r="B1221" s="472" t="s">
        <v>2049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857</v>
      </c>
      <c r="B1222" s="472" t="s">
        <v>2050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857</v>
      </c>
      <c r="B1223" s="472" t="s">
        <v>2051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857</v>
      </c>
      <c r="B1224" s="472" t="s">
        <v>2052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857</v>
      </c>
      <c r="B1225" s="472" t="s">
        <v>2053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857</v>
      </c>
      <c r="B1226" s="472" t="s">
        <v>2054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857</v>
      </c>
      <c r="B1227" s="472" t="s">
        <v>2055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857</v>
      </c>
      <c r="B1228" s="472" t="s">
        <v>2056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857</v>
      </c>
      <c r="B1229" s="472" t="s">
        <v>2057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857</v>
      </c>
      <c r="B1230" s="472" t="s">
        <v>2058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857</v>
      </c>
      <c r="B1231" s="472" t="s">
        <v>2059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857</v>
      </c>
      <c r="B1232" s="472" t="s">
        <v>2060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857</v>
      </c>
      <c r="B1233" s="472" t="s">
        <v>2061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857</v>
      </c>
      <c r="B1234" s="472" t="s">
        <v>2062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857</v>
      </c>
      <c r="B1235" s="472" t="s">
        <v>2063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857</v>
      </c>
      <c r="B1236" s="472" t="s">
        <v>2064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857</v>
      </c>
      <c r="B1237" s="472" t="s">
        <v>2065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857</v>
      </c>
      <c r="B1238" s="472" t="s">
        <v>2066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857</v>
      </c>
      <c r="B1239" s="472" t="s">
        <v>2067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857</v>
      </c>
      <c r="B1240" s="472" t="s">
        <v>2068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857</v>
      </c>
      <c r="B1241" s="472" t="s">
        <v>2069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857</v>
      </c>
      <c r="B1242" s="472" t="s">
        <v>2070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857</v>
      </c>
      <c r="B1243" s="472" t="s">
        <v>2071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857</v>
      </c>
      <c r="B1244" s="472" t="s">
        <v>2072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857</v>
      </c>
      <c r="B1245" s="472" t="s">
        <v>2073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857</v>
      </c>
      <c r="B1246" s="472" t="s">
        <v>2074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857</v>
      </c>
      <c r="B1247" s="472" t="s">
        <v>2075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857</v>
      </c>
      <c r="B1248" s="472" t="s">
        <v>2076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857</v>
      </c>
      <c r="B1249" s="472" t="s">
        <v>2077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857</v>
      </c>
      <c r="B1250" s="472" t="s">
        <v>2078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857</v>
      </c>
      <c r="B1251" s="472" t="s">
        <v>2079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857</v>
      </c>
      <c r="B1252" s="472" t="s">
        <v>2080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857</v>
      </c>
      <c r="B1253" s="472" t="s">
        <v>2081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857</v>
      </c>
      <c r="B1254" s="472" t="s">
        <v>2082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857</v>
      </c>
      <c r="B1255" s="472" t="s">
        <v>2083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857</v>
      </c>
      <c r="B1256" s="472" t="s">
        <v>2084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857</v>
      </c>
      <c r="B1257" s="472" t="s">
        <v>2085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857</v>
      </c>
      <c r="B1258" s="472" t="s">
        <v>2086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857</v>
      </c>
      <c r="B1259" s="472" t="s">
        <v>2087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857</v>
      </c>
      <c r="B1260" s="472" t="s">
        <v>2088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857</v>
      </c>
      <c r="B1261" s="472" t="s">
        <v>2089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857</v>
      </c>
      <c r="B1262" s="472" t="s">
        <v>2090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857</v>
      </c>
      <c r="B1263" s="472" t="s">
        <v>2091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857</v>
      </c>
      <c r="B1264" s="472" t="s">
        <v>2092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857</v>
      </c>
      <c r="B1265" s="472" t="s">
        <v>2093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857</v>
      </c>
      <c r="B1266" s="472" t="s">
        <v>2094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857</v>
      </c>
      <c r="B1267" s="472" t="s">
        <v>2095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857</v>
      </c>
      <c r="B1268" s="472" t="s">
        <v>2096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857</v>
      </c>
      <c r="B1269" s="472" t="s">
        <v>2097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857</v>
      </c>
      <c r="B1270" s="472" t="s">
        <v>2098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857</v>
      </c>
      <c r="B1271" s="472" t="s">
        <v>2099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857</v>
      </c>
      <c r="B1272" s="472" t="s">
        <v>2100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857</v>
      </c>
      <c r="B1273" s="472" t="s">
        <v>2101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857</v>
      </c>
      <c r="B1274" s="472" t="s">
        <v>2102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857</v>
      </c>
      <c r="B1275" s="472" t="s">
        <v>2103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857</v>
      </c>
      <c r="B1276" s="472" t="s">
        <v>2104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857</v>
      </c>
      <c r="B1277" s="472" t="s">
        <v>2105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857</v>
      </c>
      <c r="B1278" s="472" t="s">
        <v>2106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857</v>
      </c>
      <c r="B1279" s="472" t="s">
        <v>2107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857</v>
      </c>
      <c r="B1280" s="472" t="s">
        <v>2108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857</v>
      </c>
      <c r="B1281" s="472" t="s">
        <v>2109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857</v>
      </c>
      <c r="B1282" s="472" t="s">
        <v>2110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857</v>
      </c>
      <c r="B1283" s="472" t="s">
        <v>2111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857</v>
      </c>
      <c r="B1284" s="472" t="s">
        <v>2112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857</v>
      </c>
      <c r="B1285" s="472" t="s">
        <v>2113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857</v>
      </c>
      <c r="B1286" s="472" t="s">
        <v>2114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857</v>
      </c>
      <c r="B1287" s="472" t="s">
        <v>2115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857</v>
      </c>
      <c r="B1288" s="472" t="s">
        <v>2116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857</v>
      </c>
      <c r="B1289" s="472" t="s">
        <v>2117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857</v>
      </c>
      <c r="B1290" s="472" t="s">
        <v>2118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857</v>
      </c>
      <c r="B1291" s="472" t="s">
        <v>2119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857</v>
      </c>
      <c r="B1292" s="472" t="s">
        <v>2120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857</v>
      </c>
      <c r="B1293" s="472" t="s">
        <v>2121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857</v>
      </c>
      <c r="B1294" s="472" t="s">
        <v>2122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857</v>
      </c>
      <c r="B1295" s="472" t="s">
        <v>2123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857</v>
      </c>
      <c r="B1296" s="472" t="s">
        <v>2124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857</v>
      </c>
      <c r="B1297" s="472" t="s">
        <v>2125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857</v>
      </c>
      <c r="B1298" s="472" t="s">
        <v>2126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857</v>
      </c>
      <c r="B1299" s="472" t="s">
        <v>2127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857</v>
      </c>
      <c r="B1300" s="472" t="s">
        <v>2128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857</v>
      </c>
      <c r="B1301" s="472" t="s">
        <v>2129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857</v>
      </c>
      <c r="B1302" s="472" t="s">
        <v>2130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857</v>
      </c>
      <c r="B1303" s="472" t="s">
        <v>2131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857</v>
      </c>
      <c r="B1304" s="472" t="s">
        <v>2132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857</v>
      </c>
      <c r="B1305" s="472" t="s">
        <v>2133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857</v>
      </c>
      <c r="B1306" s="472" t="s">
        <v>2134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857</v>
      </c>
      <c r="B1307" s="472" t="s">
        <v>2135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857</v>
      </c>
      <c r="B1308" s="472" t="s">
        <v>2136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857</v>
      </c>
      <c r="B1309" s="472" t="s">
        <v>2137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857</v>
      </c>
      <c r="B1310" s="472" t="s">
        <v>2138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857</v>
      </c>
      <c r="B1311" s="472" t="s">
        <v>2139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857</v>
      </c>
      <c r="B1312" s="472" t="s">
        <v>2140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857</v>
      </c>
      <c r="B1313" s="472" t="s">
        <v>2141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73"/>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74"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75"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75"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75"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75"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75"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76"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77"/>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74" t="s">
        <v>74</v>
      </c>
      <c r="C1323" s="68" t="str">
        <f>CONCATENATE(A1323," - ",B1323)</f>
        <v>NI – Health and Social Care Trusts - Belfast Health and Social Care Trust</v>
      </c>
      <c r="D1323" s="788">
        <f t="shared" ref="D1323:E1327" si="243">I1323</f>
        <v>139590</v>
      </c>
      <c r="E1323" s="788">
        <f t="shared" si="243"/>
        <v>150331</v>
      </c>
      <c r="F1323" s="789">
        <f>G1323+H1323</f>
        <v>365871</v>
      </c>
      <c r="G1323" s="789">
        <f>SUM(M1323:CY1323)</f>
        <v>178525</v>
      </c>
      <c r="H1323" s="790">
        <f>SUM(CZ1323:GL1323)</f>
        <v>187346</v>
      </c>
      <c r="I1323" s="790">
        <f>SUM(AE1323:CY1323)</f>
        <v>139590</v>
      </c>
      <c r="J1323" s="790">
        <f>SUM(DR1323:GL1323)</f>
        <v>150331</v>
      </c>
      <c r="K1323" s="791">
        <f>SUM(M1323:AD1323)</f>
        <v>38935</v>
      </c>
      <c r="L1323" s="788">
        <f>SUM(CZ1323:DQ1323)</f>
        <v>37015</v>
      </c>
      <c r="M1323" s="791">
        <v>1910</v>
      </c>
      <c r="N1323" s="791">
        <v>2017</v>
      </c>
      <c r="O1323" s="791">
        <v>2002</v>
      </c>
      <c r="P1323" s="791">
        <v>2005</v>
      </c>
      <c r="Q1323" s="791">
        <v>2183</v>
      </c>
      <c r="R1323" s="791">
        <v>2080</v>
      </c>
      <c r="S1323" s="791">
        <v>2207</v>
      </c>
      <c r="T1323" s="791">
        <v>2246</v>
      </c>
      <c r="U1323" s="791">
        <v>2236</v>
      </c>
      <c r="V1323" s="791">
        <v>2309</v>
      </c>
      <c r="W1323" s="791">
        <v>2249</v>
      </c>
      <c r="X1323" s="791">
        <v>2330</v>
      </c>
      <c r="Y1323" s="791">
        <v>2296</v>
      </c>
      <c r="Z1323" s="791">
        <v>2211</v>
      </c>
      <c r="AA1323" s="791">
        <v>2228</v>
      </c>
      <c r="AB1323" s="791">
        <v>2249</v>
      </c>
      <c r="AC1323" s="791">
        <v>2115</v>
      </c>
      <c r="AD1323" s="791">
        <v>2062</v>
      </c>
      <c r="AE1323" s="791">
        <v>2289</v>
      </c>
      <c r="AF1323" s="791">
        <v>2993</v>
      </c>
      <c r="AG1323" s="791">
        <v>3026</v>
      </c>
      <c r="AH1323" s="791">
        <v>2617</v>
      </c>
      <c r="AI1323" s="791">
        <v>2730</v>
      </c>
      <c r="AJ1323" s="791">
        <v>2611</v>
      </c>
      <c r="AK1323" s="791">
        <v>2692</v>
      </c>
      <c r="AL1323" s="791">
        <v>2792</v>
      </c>
      <c r="AM1323" s="791">
        <v>2823</v>
      </c>
      <c r="AN1323" s="791">
        <v>2749</v>
      </c>
      <c r="AO1323" s="791">
        <v>2764</v>
      </c>
      <c r="AP1323" s="791">
        <v>2745</v>
      </c>
      <c r="AQ1323" s="791">
        <v>2713</v>
      </c>
      <c r="AR1323" s="791">
        <v>2728</v>
      </c>
      <c r="AS1323" s="791">
        <v>2756</v>
      </c>
      <c r="AT1323" s="791">
        <v>2713</v>
      </c>
      <c r="AU1323" s="791">
        <v>2616</v>
      </c>
      <c r="AV1323" s="791">
        <v>2610</v>
      </c>
      <c r="AW1323" s="791">
        <v>2545</v>
      </c>
      <c r="AX1323" s="791">
        <v>2558</v>
      </c>
      <c r="AY1323" s="791">
        <v>2519</v>
      </c>
      <c r="AZ1323" s="791">
        <v>2414</v>
      </c>
      <c r="BA1323" s="791">
        <v>2334</v>
      </c>
      <c r="BB1323" s="791">
        <v>2362</v>
      </c>
      <c r="BC1323" s="791">
        <v>2307</v>
      </c>
      <c r="BD1323" s="791">
        <v>2369</v>
      </c>
      <c r="BE1323" s="791">
        <v>2178</v>
      </c>
      <c r="BF1323" s="791">
        <v>2103</v>
      </c>
      <c r="BG1323" s="791">
        <v>1943</v>
      </c>
      <c r="BH1323" s="791">
        <v>1958</v>
      </c>
      <c r="BI1323" s="791">
        <v>1910</v>
      </c>
      <c r="BJ1323" s="791">
        <v>1998</v>
      </c>
      <c r="BK1323" s="791">
        <v>2100</v>
      </c>
      <c r="BL1323" s="791">
        <v>2116</v>
      </c>
      <c r="BM1323" s="791">
        <v>2074</v>
      </c>
      <c r="BN1323" s="791">
        <v>2267</v>
      </c>
      <c r="BO1323" s="791">
        <v>2279</v>
      </c>
      <c r="BP1323" s="791">
        <v>2334</v>
      </c>
      <c r="BQ1323" s="791">
        <v>2279</v>
      </c>
      <c r="BR1323" s="791">
        <v>2358</v>
      </c>
      <c r="BS1323" s="791">
        <v>2277</v>
      </c>
      <c r="BT1323" s="791">
        <v>2272</v>
      </c>
      <c r="BU1323" s="791">
        <v>2362</v>
      </c>
      <c r="BV1323" s="791">
        <v>2199</v>
      </c>
      <c r="BW1323" s="791">
        <v>2115</v>
      </c>
      <c r="BX1323" s="791">
        <v>2081</v>
      </c>
      <c r="BY1323" s="791">
        <v>1886</v>
      </c>
      <c r="BZ1323" s="791">
        <v>1877</v>
      </c>
      <c r="CA1323" s="791">
        <v>1703</v>
      </c>
      <c r="CB1323" s="791">
        <v>1677</v>
      </c>
      <c r="CC1323" s="791">
        <v>1554</v>
      </c>
      <c r="CD1323" s="791">
        <v>1565</v>
      </c>
      <c r="CE1323" s="791">
        <v>1335</v>
      </c>
      <c r="CF1323" s="791">
        <v>1255</v>
      </c>
      <c r="CG1323" s="791">
        <v>1316</v>
      </c>
      <c r="CH1323" s="791">
        <v>1194</v>
      </c>
      <c r="CI1323" s="791">
        <v>1141</v>
      </c>
      <c r="CJ1323" s="791">
        <v>1159</v>
      </c>
      <c r="CK1323" s="791">
        <v>1116</v>
      </c>
      <c r="CL1323" s="791">
        <v>990</v>
      </c>
      <c r="CM1323" s="791">
        <v>982</v>
      </c>
      <c r="CN1323" s="791">
        <v>979</v>
      </c>
      <c r="CO1323" s="791">
        <v>894</v>
      </c>
      <c r="CP1323" s="791">
        <v>764</v>
      </c>
      <c r="CQ1323" s="791">
        <v>635</v>
      </c>
      <c r="CR1323" s="791">
        <v>595</v>
      </c>
      <c r="CS1323" s="791">
        <v>580</v>
      </c>
      <c r="CT1323" s="791">
        <v>546</v>
      </c>
      <c r="CU1323" s="791">
        <v>469</v>
      </c>
      <c r="CV1323" s="791">
        <v>396</v>
      </c>
      <c r="CW1323" s="791">
        <v>323</v>
      </c>
      <c r="CX1323" s="791">
        <v>265</v>
      </c>
      <c r="CY1323" s="788">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75"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75"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75"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76"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77"/>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78" t="s">
        <v>79</v>
      </c>
      <c r="C1329" s="68" t="str">
        <f>CONCATENATE(A1329," - ",B1329)</f>
        <v>NHSE regions - East of England</v>
      </c>
      <c r="D1329" s="788">
        <f t="shared" ref="D1329:E1335" si="245">I1329</f>
        <v>2472845</v>
      </c>
      <c r="E1329" s="788">
        <f t="shared" si="245"/>
        <v>2628742</v>
      </c>
      <c r="F1329" s="789">
        <f t="shared" ref="F1329:F1335" si="246">G1329+H1329</f>
        <v>6468665</v>
      </c>
      <c r="G1329" s="789">
        <f t="shared" ref="G1329:G1335" si="247">SUM(M1329:CY1329)</f>
        <v>3173297</v>
      </c>
      <c r="H1329" s="790">
        <f t="shared" ref="H1329:H1335" si="248">SUM(CZ1329:GL1329)</f>
        <v>3295368</v>
      </c>
      <c r="I1329" s="790">
        <f t="shared" ref="I1329:I1335" si="249">SUM(AE1329:CY1329)</f>
        <v>2472845</v>
      </c>
      <c r="J1329" s="790">
        <f t="shared" ref="J1329:J1335" si="250">SUM(DR1329:GL1329)</f>
        <v>2628742</v>
      </c>
      <c r="K1329" s="791">
        <f t="shared" ref="K1329:K1335" si="251">SUM(M1329:AD1329)</f>
        <v>700452</v>
      </c>
      <c r="L1329" s="788">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78"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78"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78"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78"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78"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78"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79"/>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87"/>
      <c r="O1336" s="787"/>
      <c r="P1336" s="787"/>
      <c r="Q1336" s="787"/>
      <c r="R1336" s="787"/>
      <c r="S1336" s="787"/>
      <c r="T1336" s="787"/>
      <c r="U1336" s="787"/>
      <c r="V1336" s="787"/>
      <c r="W1336" s="787"/>
      <c r="X1336" s="787"/>
      <c r="Y1336" s="787"/>
      <c r="Z1336" s="787"/>
      <c r="AA1336" s="787"/>
      <c r="AB1336" s="787"/>
      <c r="AC1336" s="787"/>
      <c r="AD1336" s="787"/>
      <c r="AE1336" s="787"/>
      <c r="AF1336" s="787"/>
      <c r="AG1336" s="787"/>
      <c r="AH1336" s="787"/>
      <c r="AI1336" s="787"/>
      <c r="AJ1336" s="787"/>
      <c r="AK1336" s="787"/>
      <c r="AL1336" s="787"/>
      <c r="AM1336" s="787"/>
      <c r="AN1336" s="787"/>
      <c r="AO1336" s="787"/>
      <c r="AP1336" s="787"/>
      <c r="AQ1336" s="787"/>
      <c r="AR1336" s="787"/>
      <c r="AS1336" s="787"/>
      <c r="AT1336" s="787"/>
      <c r="AU1336" s="787"/>
      <c r="AV1336" s="787"/>
      <c r="AW1336" s="787"/>
      <c r="AX1336" s="787"/>
      <c r="AY1336" s="787"/>
      <c r="AZ1336" s="787"/>
      <c r="BA1336" s="787"/>
      <c r="BB1336" s="787"/>
      <c r="BC1336" s="787"/>
      <c r="BD1336" s="787"/>
      <c r="BE1336" s="787"/>
      <c r="BF1336" s="787"/>
      <c r="BG1336" s="787"/>
      <c r="BH1336" s="787"/>
      <c r="BI1336" s="787"/>
      <c r="BJ1336" s="787"/>
      <c r="BK1336" s="787"/>
      <c r="BL1336" s="787"/>
      <c r="BM1336" s="787"/>
      <c r="BN1336" s="787"/>
      <c r="BO1336" s="787"/>
      <c r="BP1336" s="787"/>
      <c r="BQ1336" s="787"/>
      <c r="BR1336" s="787"/>
      <c r="BS1336" s="787"/>
      <c r="BT1336" s="787"/>
      <c r="BU1336" s="787"/>
      <c r="BV1336" s="787"/>
      <c r="BW1336" s="787"/>
      <c r="BX1336" s="787"/>
      <c r="BY1336" s="787"/>
      <c r="BZ1336" s="787"/>
      <c r="CA1336" s="787"/>
      <c r="CB1336" s="787"/>
      <c r="CC1336" s="787"/>
      <c r="CD1336" s="787"/>
      <c r="CE1336" s="787"/>
      <c r="CF1336" s="787"/>
      <c r="CG1336" s="787"/>
      <c r="CH1336" s="787"/>
      <c r="CI1336" s="787"/>
      <c r="CJ1336" s="787"/>
      <c r="CK1336" s="787"/>
      <c r="CL1336" s="787"/>
      <c r="CM1336" s="787"/>
      <c r="CN1336" s="787"/>
      <c r="CO1336" s="787"/>
      <c r="CP1336" s="787"/>
      <c r="CQ1336" s="787"/>
      <c r="CR1336" s="787"/>
      <c r="CS1336" s="787"/>
      <c r="CT1336" s="787"/>
      <c r="CU1336" s="787"/>
      <c r="CV1336" s="787"/>
      <c r="CW1336" s="787"/>
      <c r="CX1336" s="787"/>
      <c r="CY1336" s="784"/>
      <c r="CZ1336" s="109"/>
      <c r="DA1336" s="787"/>
      <c r="DB1336" s="787"/>
      <c r="DC1336" s="787"/>
      <c r="DD1336" s="787"/>
      <c r="DE1336" s="787"/>
      <c r="DF1336" s="787"/>
      <c r="DG1336" s="787"/>
      <c r="DH1336" s="787"/>
      <c r="DI1336" s="787"/>
      <c r="DJ1336" s="787"/>
      <c r="DK1336" s="787"/>
      <c r="DL1336" s="787"/>
      <c r="DM1336" s="787"/>
      <c r="DN1336" s="787"/>
      <c r="DO1336" s="787"/>
      <c r="DP1336" s="787"/>
      <c r="DQ1336" s="787"/>
      <c r="DR1336" s="787"/>
      <c r="DS1336" s="787"/>
      <c r="DT1336" s="787"/>
      <c r="DU1336" s="787"/>
      <c r="DV1336" s="787"/>
      <c r="DW1336" s="787"/>
      <c r="DX1336" s="787"/>
      <c r="DY1336" s="787"/>
      <c r="DZ1336" s="787"/>
      <c r="EA1336" s="787"/>
      <c r="EB1336" s="787"/>
      <c r="EC1336" s="787"/>
      <c r="ED1336" s="787"/>
      <c r="EE1336" s="787"/>
      <c r="EF1336" s="787"/>
      <c r="EG1336" s="787"/>
      <c r="EH1336" s="787"/>
      <c r="EI1336" s="787"/>
      <c r="EJ1336" s="787"/>
      <c r="EK1336" s="787"/>
      <c r="EL1336" s="787"/>
      <c r="EM1336" s="787"/>
      <c r="EN1336" s="787"/>
      <c r="EO1336" s="787"/>
      <c r="EP1336" s="787"/>
      <c r="EQ1336" s="787"/>
      <c r="ER1336" s="787"/>
      <c r="ES1336" s="787"/>
      <c r="ET1336" s="787"/>
      <c r="EU1336" s="787"/>
      <c r="EV1336" s="787"/>
      <c r="EW1336" s="787"/>
      <c r="EX1336" s="787"/>
      <c r="EY1336" s="787"/>
      <c r="EZ1336" s="787"/>
      <c r="FA1336" s="787"/>
      <c r="FB1336" s="787"/>
      <c r="FC1336" s="787"/>
      <c r="FD1336" s="787"/>
      <c r="FE1336" s="787"/>
      <c r="FF1336" s="787"/>
      <c r="FG1336" s="787"/>
      <c r="FH1336" s="787"/>
      <c r="FI1336" s="787"/>
      <c r="FJ1336" s="787"/>
      <c r="FK1336" s="787"/>
      <c r="FL1336" s="787"/>
      <c r="FM1336" s="787"/>
      <c r="FN1336" s="787"/>
      <c r="FO1336" s="787"/>
      <c r="FP1336" s="787"/>
      <c r="FQ1336" s="787"/>
      <c r="FR1336" s="787"/>
      <c r="FS1336" s="787"/>
      <c r="FT1336" s="787"/>
      <c r="FU1336" s="787"/>
      <c r="FV1336" s="787"/>
      <c r="FW1336" s="787"/>
      <c r="FX1336" s="787"/>
      <c r="FY1336" s="787"/>
      <c r="FZ1336" s="787"/>
      <c r="GA1336" s="787"/>
      <c r="GB1336" s="787"/>
      <c r="GC1336" s="787"/>
      <c r="GD1336" s="787"/>
      <c r="GE1336" s="787"/>
      <c r="GF1336" s="787"/>
      <c r="GG1336" s="787"/>
      <c r="GH1336" s="787"/>
      <c r="GI1336" s="787"/>
      <c r="GJ1336" s="787"/>
      <c r="GK1336" s="787"/>
      <c r="GL1336" s="784"/>
    </row>
    <row r="1337" spans="1:194" s="1" customFormat="1" x14ac:dyDescent="0.25">
      <c r="A1337" s="98" t="s">
        <v>17</v>
      </c>
      <c r="B1337" s="480" t="s">
        <v>86</v>
      </c>
      <c r="C1337" s="792"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89">
        <f t="shared" ref="G1337:G1342" si="257">SUM(M1337:CY1337)</f>
        <v>476033</v>
      </c>
      <c r="H1337" s="790">
        <f t="shared" ref="H1337:H1342" si="258">SUM(CZ1337:GL1337)</f>
        <v>487591</v>
      </c>
      <c r="I1337" s="789">
        <f t="shared" ref="I1337:I1342" si="259">SUM(AE1337:CY1337)</f>
        <v>376293</v>
      </c>
      <c r="J1337" s="94">
        <f t="shared" ref="J1337:J1342" si="260">SUM(DR1337:GL1337)</f>
        <v>392407</v>
      </c>
      <c r="K1337" s="96">
        <f t="shared" ref="K1337:K1342" si="261">SUM(M1337:AD1337)</f>
        <v>99740</v>
      </c>
      <c r="L1337" s="788">
        <f t="shared" ref="L1337:L1342" si="262">SUM(CZ1337:DQ1337)</f>
        <v>95184</v>
      </c>
      <c r="M1337" s="96">
        <v>4477</v>
      </c>
      <c r="N1337" s="791">
        <v>4861</v>
      </c>
      <c r="O1337" s="791">
        <v>4857</v>
      </c>
      <c r="P1337" s="791">
        <v>5120</v>
      </c>
      <c r="Q1337" s="791">
        <v>5340</v>
      </c>
      <c r="R1337" s="791">
        <v>5267</v>
      </c>
      <c r="S1337" s="791">
        <v>5565</v>
      </c>
      <c r="T1337" s="791">
        <v>5775</v>
      </c>
      <c r="U1337" s="791">
        <v>5677</v>
      </c>
      <c r="V1337" s="791">
        <v>5730</v>
      </c>
      <c r="W1337" s="791">
        <v>6094</v>
      </c>
      <c r="X1337" s="791">
        <v>6096</v>
      </c>
      <c r="Y1337" s="791">
        <v>6110</v>
      </c>
      <c r="Z1337" s="791">
        <v>5915</v>
      </c>
      <c r="AA1337" s="791">
        <v>5725</v>
      </c>
      <c r="AB1337" s="791">
        <v>5890</v>
      </c>
      <c r="AC1337" s="791">
        <v>5713</v>
      </c>
      <c r="AD1337" s="791">
        <v>5528</v>
      </c>
      <c r="AE1337" s="791">
        <v>6099</v>
      </c>
      <c r="AF1337" s="791">
        <v>6876</v>
      </c>
      <c r="AG1337" s="791">
        <v>6388</v>
      </c>
      <c r="AH1337" s="791">
        <v>5685</v>
      </c>
      <c r="AI1337" s="791">
        <v>5937</v>
      </c>
      <c r="AJ1337" s="791">
        <v>5922</v>
      </c>
      <c r="AK1337" s="791">
        <v>5776</v>
      </c>
      <c r="AL1337" s="791">
        <v>5647</v>
      </c>
      <c r="AM1337" s="791">
        <v>5858</v>
      </c>
      <c r="AN1337" s="791">
        <v>5531</v>
      </c>
      <c r="AO1337" s="791">
        <v>5733</v>
      </c>
      <c r="AP1337" s="791">
        <v>5627</v>
      </c>
      <c r="AQ1337" s="791">
        <v>5850</v>
      </c>
      <c r="AR1337" s="791">
        <v>5943</v>
      </c>
      <c r="AS1337" s="791">
        <v>6114</v>
      </c>
      <c r="AT1337" s="791">
        <v>6094</v>
      </c>
      <c r="AU1337" s="791">
        <v>6151</v>
      </c>
      <c r="AV1337" s="791">
        <v>6309</v>
      </c>
      <c r="AW1337" s="791">
        <v>6114</v>
      </c>
      <c r="AX1337" s="791">
        <v>6027</v>
      </c>
      <c r="AY1337" s="791">
        <v>6282</v>
      </c>
      <c r="AZ1337" s="791">
        <v>5922</v>
      </c>
      <c r="BA1337" s="791">
        <v>5871</v>
      </c>
      <c r="BB1337" s="791">
        <v>5951</v>
      </c>
      <c r="BC1337" s="791">
        <v>6020</v>
      </c>
      <c r="BD1337" s="791">
        <v>6187</v>
      </c>
      <c r="BE1337" s="791">
        <v>5775</v>
      </c>
      <c r="BF1337" s="791">
        <v>5379</v>
      </c>
      <c r="BG1337" s="791">
        <v>5331</v>
      </c>
      <c r="BH1337" s="791">
        <v>5709</v>
      </c>
      <c r="BI1337" s="791">
        <v>5799</v>
      </c>
      <c r="BJ1337" s="791">
        <v>6184</v>
      </c>
      <c r="BK1337" s="791">
        <v>6388</v>
      </c>
      <c r="BL1337" s="791">
        <v>6475</v>
      </c>
      <c r="BM1337" s="791">
        <v>6677</v>
      </c>
      <c r="BN1337" s="791">
        <v>6361</v>
      </c>
      <c r="BO1337" s="791">
        <v>6577</v>
      </c>
      <c r="BP1337" s="791">
        <v>6657</v>
      </c>
      <c r="BQ1337" s="791">
        <v>6748</v>
      </c>
      <c r="BR1337" s="791">
        <v>6835</v>
      </c>
      <c r="BS1337" s="791">
        <v>6717</v>
      </c>
      <c r="BT1337" s="791">
        <v>6662</v>
      </c>
      <c r="BU1337" s="791">
        <v>6554</v>
      </c>
      <c r="BV1337" s="791">
        <v>6364</v>
      </c>
      <c r="BW1337" s="791">
        <v>6190</v>
      </c>
      <c r="BX1337" s="791">
        <v>5814</v>
      </c>
      <c r="BY1337" s="791">
        <v>5478</v>
      </c>
      <c r="BZ1337" s="791">
        <v>5333</v>
      </c>
      <c r="CA1337" s="791">
        <v>5004</v>
      </c>
      <c r="CB1337" s="791">
        <v>4899</v>
      </c>
      <c r="CC1337" s="791">
        <v>4757</v>
      </c>
      <c r="CD1337" s="791">
        <v>4569</v>
      </c>
      <c r="CE1337" s="791">
        <v>4595</v>
      </c>
      <c r="CF1337" s="791">
        <v>4335</v>
      </c>
      <c r="CG1337" s="791">
        <v>4322</v>
      </c>
      <c r="CH1337" s="791">
        <v>4349</v>
      </c>
      <c r="CI1337" s="791">
        <v>4541</v>
      </c>
      <c r="CJ1337" s="791">
        <v>4699</v>
      </c>
      <c r="CK1337" s="791">
        <v>5003</v>
      </c>
      <c r="CL1337" s="791">
        <v>3836</v>
      </c>
      <c r="CM1337" s="791">
        <v>3450</v>
      </c>
      <c r="CN1337" s="791">
        <v>3356</v>
      </c>
      <c r="CO1337" s="791">
        <v>3094</v>
      </c>
      <c r="CP1337" s="791">
        <v>2626</v>
      </c>
      <c r="CQ1337" s="791">
        <v>2189</v>
      </c>
      <c r="CR1337" s="791">
        <v>2168</v>
      </c>
      <c r="CS1337" s="791">
        <v>2017</v>
      </c>
      <c r="CT1337" s="791">
        <v>1851</v>
      </c>
      <c r="CU1337" s="791">
        <v>1674</v>
      </c>
      <c r="CV1337" s="791">
        <v>1396</v>
      </c>
      <c r="CW1337" s="791">
        <v>1198</v>
      </c>
      <c r="CX1337" s="791">
        <v>1036</v>
      </c>
      <c r="CY1337" s="788">
        <v>3408</v>
      </c>
      <c r="CZ1337" s="96">
        <v>4214</v>
      </c>
      <c r="DA1337" s="791">
        <v>4718</v>
      </c>
      <c r="DB1337" s="791">
        <v>4671</v>
      </c>
      <c r="DC1337" s="791">
        <v>4862</v>
      </c>
      <c r="DD1337" s="791">
        <v>5065</v>
      </c>
      <c r="DE1337" s="791">
        <v>5169</v>
      </c>
      <c r="DF1337" s="791">
        <v>5321</v>
      </c>
      <c r="DG1337" s="791">
        <v>5425</v>
      </c>
      <c r="DH1337" s="791">
        <v>5397</v>
      </c>
      <c r="DI1337" s="791">
        <v>5522</v>
      </c>
      <c r="DJ1337" s="791">
        <v>5473</v>
      </c>
      <c r="DK1337" s="791">
        <v>5801</v>
      </c>
      <c r="DL1337" s="791">
        <v>5680</v>
      </c>
      <c r="DM1337" s="791">
        <v>5657</v>
      </c>
      <c r="DN1337" s="791">
        <v>5637</v>
      </c>
      <c r="DO1337" s="791">
        <v>5871</v>
      </c>
      <c r="DP1337" s="791">
        <v>5372</v>
      </c>
      <c r="DQ1337" s="791">
        <v>5329</v>
      </c>
      <c r="DR1337" s="791">
        <v>5521</v>
      </c>
      <c r="DS1337" s="791">
        <v>5756</v>
      </c>
      <c r="DT1337" s="791">
        <v>5196</v>
      </c>
      <c r="DU1337" s="791">
        <v>4940</v>
      </c>
      <c r="DV1337" s="791">
        <v>5387</v>
      </c>
      <c r="DW1337" s="791">
        <v>5054</v>
      </c>
      <c r="DX1337" s="791">
        <v>5175</v>
      </c>
      <c r="DY1337" s="791">
        <v>5324</v>
      </c>
      <c r="DZ1337" s="791">
        <v>5222</v>
      </c>
      <c r="EA1337" s="791">
        <v>5316</v>
      </c>
      <c r="EB1337" s="791">
        <v>5654</v>
      </c>
      <c r="EC1337" s="791">
        <v>5910</v>
      </c>
      <c r="ED1337" s="791">
        <v>5863</v>
      </c>
      <c r="EE1337" s="791">
        <v>6294</v>
      </c>
      <c r="EF1337" s="791">
        <v>6329</v>
      </c>
      <c r="EG1337" s="791">
        <v>6430</v>
      </c>
      <c r="EH1337" s="791">
        <v>6305</v>
      </c>
      <c r="EI1337" s="791">
        <v>6754</v>
      </c>
      <c r="EJ1337" s="791">
        <v>6280</v>
      </c>
      <c r="EK1337" s="791">
        <v>6342</v>
      </c>
      <c r="EL1337" s="791">
        <v>6424</v>
      </c>
      <c r="EM1337" s="791">
        <v>5995</v>
      </c>
      <c r="EN1337" s="791">
        <v>6316</v>
      </c>
      <c r="EO1337" s="791">
        <v>6191</v>
      </c>
      <c r="EP1337" s="791">
        <v>6133</v>
      </c>
      <c r="EQ1337" s="791">
        <v>6099</v>
      </c>
      <c r="ER1337" s="791">
        <v>6038</v>
      </c>
      <c r="ES1337" s="791">
        <v>5723</v>
      </c>
      <c r="ET1337" s="791">
        <v>5676</v>
      </c>
      <c r="EU1337" s="791">
        <v>5725</v>
      </c>
      <c r="EV1337" s="791">
        <v>6188</v>
      </c>
      <c r="EW1337" s="791">
        <v>6328</v>
      </c>
      <c r="EX1337" s="791">
        <v>6666</v>
      </c>
      <c r="EY1337" s="791">
        <v>6467</v>
      </c>
      <c r="EZ1337" s="791">
        <v>6831</v>
      </c>
      <c r="FA1337" s="791">
        <v>6705</v>
      </c>
      <c r="FB1337" s="791">
        <v>6802</v>
      </c>
      <c r="FC1337" s="791">
        <v>7051</v>
      </c>
      <c r="FD1337" s="791">
        <v>7034</v>
      </c>
      <c r="FE1337" s="791">
        <v>6862</v>
      </c>
      <c r="FF1337" s="791">
        <v>7004</v>
      </c>
      <c r="FG1337" s="791">
        <v>6690</v>
      </c>
      <c r="FH1337" s="791">
        <v>6647</v>
      </c>
      <c r="FI1337" s="791">
        <v>6662</v>
      </c>
      <c r="FJ1337" s="791">
        <v>6120</v>
      </c>
      <c r="FK1337" s="791">
        <v>5959</v>
      </c>
      <c r="FL1337" s="791">
        <v>5778</v>
      </c>
      <c r="FM1337" s="791">
        <v>5562</v>
      </c>
      <c r="FN1337" s="791">
        <v>5369</v>
      </c>
      <c r="FO1337" s="791">
        <v>5178</v>
      </c>
      <c r="FP1337" s="791">
        <v>5029</v>
      </c>
      <c r="FQ1337" s="791">
        <v>5175</v>
      </c>
      <c r="FR1337" s="791">
        <v>4921</v>
      </c>
      <c r="FS1337" s="791">
        <v>4769</v>
      </c>
      <c r="FT1337" s="791">
        <v>4774</v>
      </c>
      <c r="FU1337" s="791">
        <v>4911</v>
      </c>
      <c r="FV1337" s="791">
        <v>5048</v>
      </c>
      <c r="FW1337" s="791">
        <v>5069</v>
      </c>
      <c r="FX1337" s="791">
        <v>5634</v>
      </c>
      <c r="FY1337" s="791">
        <v>4367</v>
      </c>
      <c r="FZ1337" s="791">
        <v>4146</v>
      </c>
      <c r="GA1337" s="791">
        <v>3937</v>
      </c>
      <c r="GB1337" s="791">
        <v>3626</v>
      </c>
      <c r="GC1337" s="791">
        <v>3111</v>
      </c>
      <c r="GD1337" s="791">
        <v>2748</v>
      </c>
      <c r="GE1337" s="791">
        <v>2778</v>
      </c>
      <c r="GF1337" s="791">
        <v>2638</v>
      </c>
      <c r="GG1337" s="791">
        <v>2379</v>
      </c>
      <c r="GH1337" s="791">
        <v>2175</v>
      </c>
      <c r="GI1337" s="791">
        <v>2016</v>
      </c>
      <c r="GJ1337" s="791">
        <v>1754</v>
      </c>
      <c r="GK1337" s="791">
        <v>1482</v>
      </c>
      <c r="GL1337" s="788">
        <v>6645</v>
      </c>
    </row>
    <row r="1338" spans="1:194" s="1" customFormat="1" x14ac:dyDescent="0.25">
      <c r="A1338" s="100" t="s">
        <v>17</v>
      </c>
      <c r="B1338" s="481"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81"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81"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481"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481"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481"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481"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481"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481"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481"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481"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481"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481"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481"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481"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481"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481"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481"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481"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481"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481"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481"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481"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481"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481"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481"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481"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481"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481"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481"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481"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481"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481"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481"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481"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481"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481"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81"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81"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81"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81"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82"/>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128</v>
      </c>
      <c r="C1380" s="68" t="str">
        <f>CONCATENATE(A1380," - ",B1380)</f>
        <v>LA England - Adur</v>
      </c>
      <c r="D1380" s="788">
        <f t="shared" ref="D1380:D1444" si="283">I1380</f>
        <v>24508</v>
      </c>
      <c r="E1380" s="788">
        <f t="shared" ref="E1380:E1444" si="284">J1380</f>
        <v>27095</v>
      </c>
      <c r="F1380" s="789">
        <f t="shared" ref="F1380:F1444" si="285">G1380+H1380</f>
        <v>64687</v>
      </c>
      <c r="G1380" s="789">
        <f t="shared" ref="G1380:G1444" si="286">SUM(M1380:CY1380)</f>
        <v>31332</v>
      </c>
      <c r="H1380" s="790">
        <f t="shared" ref="H1380:H1444" si="287">SUM(CZ1380:GL1380)</f>
        <v>33355</v>
      </c>
      <c r="I1380" s="790">
        <f t="shared" ref="I1380:I1444" si="288">SUM(AE1380:CY1380)</f>
        <v>24508</v>
      </c>
      <c r="J1380" s="790">
        <f t="shared" ref="J1380:J1444" si="289">SUM(DR1380:GL1380)</f>
        <v>27095</v>
      </c>
      <c r="K1380" s="49">
        <f t="shared" ref="K1380:K1444" si="290">SUM(M1380:AD1380)</f>
        <v>6824</v>
      </c>
      <c r="L1380" s="788">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7">
        <v>336</v>
      </c>
      <c r="N1677" s="467">
        <v>399</v>
      </c>
      <c r="O1677" s="467">
        <v>349</v>
      </c>
      <c r="P1677" s="467">
        <v>382</v>
      </c>
      <c r="Q1677" s="467">
        <v>397</v>
      </c>
      <c r="R1677" s="467">
        <v>382</v>
      </c>
      <c r="S1677" s="467">
        <v>334</v>
      </c>
      <c r="T1677" s="467">
        <v>370</v>
      </c>
      <c r="U1677" s="467">
        <v>382</v>
      </c>
      <c r="V1677" s="467">
        <v>393</v>
      </c>
      <c r="W1677" s="467">
        <v>402</v>
      </c>
      <c r="X1677" s="467">
        <v>376</v>
      </c>
      <c r="Y1677" s="467">
        <v>426</v>
      </c>
      <c r="Z1677" s="467">
        <v>413</v>
      </c>
      <c r="AA1677" s="467">
        <v>438</v>
      </c>
      <c r="AB1677" s="467">
        <v>396</v>
      </c>
      <c r="AC1677" s="467">
        <v>329</v>
      </c>
      <c r="AD1677" s="467">
        <v>345</v>
      </c>
      <c r="AE1677" s="467">
        <v>361</v>
      </c>
      <c r="AF1677" s="467">
        <v>348</v>
      </c>
      <c r="AG1677" s="467">
        <v>313</v>
      </c>
      <c r="AH1677" s="467">
        <v>306</v>
      </c>
      <c r="AI1677" s="467">
        <v>367</v>
      </c>
      <c r="AJ1677" s="467">
        <v>383</v>
      </c>
      <c r="AK1677" s="467">
        <v>374</v>
      </c>
      <c r="AL1677" s="467">
        <v>407</v>
      </c>
      <c r="AM1677" s="467">
        <v>421</v>
      </c>
      <c r="AN1677" s="467">
        <v>360</v>
      </c>
      <c r="AO1677" s="467">
        <v>366</v>
      </c>
      <c r="AP1677" s="467">
        <v>456</v>
      </c>
      <c r="AQ1677" s="467">
        <v>450</v>
      </c>
      <c r="AR1677" s="467">
        <v>476</v>
      </c>
      <c r="AS1677" s="467">
        <v>463</v>
      </c>
      <c r="AT1677" s="467">
        <v>434</v>
      </c>
      <c r="AU1677" s="467">
        <v>482</v>
      </c>
      <c r="AV1677" s="467">
        <v>412</v>
      </c>
      <c r="AW1677" s="467">
        <v>433</v>
      </c>
      <c r="AX1677" s="467">
        <v>442</v>
      </c>
      <c r="AY1677" s="467">
        <v>438</v>
      </c>
      <c r="AZ1677" s="467">
        <v>396</v>
      </c>
      <c r="BA1677" s="467">
        <v>427</v>
      </c>
      <c r="BB1677" s="467">
        <v>360</v>
      </c>
      <c r="BC1677" s="467">
        <v>384</v>
      </c>
      <c r="BD1677" s="467">
        <v>378</v>
      </c>
      <c r="BE1677" s="467">
        <v>366</v>
      </c>
      <c r="BF1677" s="467">
        <v>352</v>
      </c>
      <c r="BG1677" s="467">
        <v>300</v>
      </c>
      <c r="BH1677" s="467">
        <v>338</v>
      </c>
      <c r="BI1677" s="467">
        <v>409</v>
      </c>
      <c r="BJ1677" s="467">
        <v>382</v>
      </c>
      <c r="BK1677" s="467">
        <v>432</v>
      </c>
      <c r="BL1677" s="467">
        <v>488</v>
      </c>
      <c r="BM1677" s="467">
        <v>474</v>
      </c>
      <c r="BN1677" s="467">
        <v>478</v>
      </c>
      <c r="BO1677" s="467">
        <v>516</v>
      </c>
      <c r="BP1677" s="467">
        <v>504</v>
      </c>
      <c r="BQ1677" s="467">
        <v>497</v>
      </c>
      <c r="BR1677" s="467">
        <v>519</v>
      </c>
      <c r="BS1677" s="467">
        <v>526</v>
      </c>
      <c r="BT1677" s="467">
        <v>509</v>
      </c>
      <c r="BU1677" s="467">
        <v>487</v>
      </c>
      <c r="BV1677" s="467">
        <v>492</v>
      </c>
      <c r="BW1677" s="467">
        <v>426</v>
      </c>
      <c r="BX1677" s="467">
        <v>434</v>
      </c>
      <c r="BY1677" s="467">
        <v>423</v>
      </c>
      <c r="BZ1677" s="467">
        <v>361</v>
      </c>
      <c r="CA1677" s="467">
        <v>439</v>
      </c>
      <c r="CB1677" s="467">
        <v>391</v>
      </c>
      <c r="CC1677" s="467">
        <v>372</v>
      </c>
      <c r="CD1677" s="467">
        <v>348</v>
      </c>
      <c r="CE1677" s="467">
        <v>371</v>
      </c>
      <c r="CF1677" s="467">
        <v>333</v>
      </c>
      <c r="CG1677" s="467">
        <v>348</v>
      </c>
      <c r="CH1677" s="467">
        <v>344</v>
      </c>
      <c r="CI1677" s="467">
        <v>346</v>
      </c>
      <c r="CJ1677" s="467">
        <v>334</v>
      </c>
      <c r="CK1677" s="467">
        <v>378</v>
      </c>
      <c r="CL1677" s="467">
        <v>278</v>
      </c>
      <c r="CM1677" s="467">
        <v>249</v>
      </c>
      <c r="CN1677" s="467">
        <v>228</v>
      </c>
      <c r="CO1677" s="467">
        <v>248</v>
      </c>
      <c r="CP1677" s="467">
        <v>192</v>
      </c>
      <c r="CQ1677" s="467">
        <v>169</v>
      </c>
      <c r="CR1677" s="467">
        <v>139</v>
      </c>
      <c r="CS1677" s="467">
        <v>153</v>
      </c>
      <c r="CT1677" s="467">
        <v>108</v>
      </c>
      <c r="CU1677" s="467">
        <v>90</v>
      </c>
      <c r="CV1677" s="467">
        <v>95</v>
      </c>
      <c r="CW1677" s="467">
        <v>75</v>
      </c>
      <c r="CX1677" s="467">
        <v>40</v>
      </c>
      <c r="CY1677" s="467">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7">
        <v>678</v>
      </c>
      <c r="N1678" s="467">
        <v>735</v>
      </c>
      <c r="O1678" s="467">
        <v>694</v>
      </c>
      <c r="P1678" s="467">
        <v>730</v>
      </c>
      <c r="Q1678" s="467">
        <v>759</v>
      </c>
      <c r="R1678" s="467">
        <v>792</v>
      </c>
      <c r="S1678" s="467">
        <v>821</v>
      </c>
      <c r="T1678" s="467">
        <v>821</v>
      </c>
      <c r="U1678" s="467">
        <v>863</v>
      </c>
      <c r="V1678" s="467">
        <v>873</v>
      </c>
      <c r="W1678" s="467">
        <v>876</v>
      </c>
      <c r="X1678" s="467">
        <v>873</v>
      </c>
      <c r="Y1678" s="467">
        <v>977</v>
      </c>
      <c r="Z1678" s="467">
        <v>892</v>
      </c>
      <c r="AA1678" s="467">
        <v>927</v>
      </c>
      <c r="AB1678" s="467">
        <v>890</v>
      </c>
      <c r="AC1678" s="467">
        <v>873</v>
      </c>
      <c r="AD1678" s="467">
        <v>842</v>
      </c>
      <c r="AE1678" s="467">
        <v>884</v>
      </c>
      <c r="AF1678" s="467">
        <v>708</v>
      </c>
      <c r="AG1678" s="467">
        <v>645</v>
      </c>
      <c r="AH1678" s="467">
        <v>652</v>
      </c>
      <c r="AI1678" s="467">
        <v>698</v>
      </c>
      <c r="AJ1678" s="467">
        <v>769</v>
      </c>
      <c r="AK1678" s="467">
        <v>835</v>
      </c>
      <c r="AL1678" s="467">
        <v>874</v>
      </c>
      <c r="AM1678" s="467">
        <v>965</v>
      </c>
      <c r="AN1678" s="467">
        <v>892</v>
      </c>
      <c r="AO1678" s="467">
        <v>834</v>
      </c>
      <c r="AP1678" s="467">
        <v>965</v>
      </c>
      <c r="AQ1678" s="467">
        <v>852</v>
      </c>
      <c r="AR1678" s="467">
        <v>987</v>
      </c>
      <c r="AS1678" s="467">
        <v>930</v>
      </c>
      <c r="AT1678" s="467">
        <v>976</v>
      </c>
      <c r="AU1678" s="467">
        <v>1027</v>
      </c>
      <c r="AV1678" s="467">
        <v>1005</v>
      </c>
      <c r="AW1678" s="467">
        <v>992</v>
      </c>
      <c r="AX1678" s="467">
        <v>957</v>
      </c>
      <c r="AY1678" s="467">
        <v>959</v>
      </c>
      <c r="AZ1678" s="467">
        <v>877</v>
      </c>
      <c r="BA1678" s="467">
        <v>888</v>
      </c>
      <c r="BB1678" s="467">
        <v>884</v>
      </c>
      <c r="BC1678" s="467">
        <v>931</v>
      </c>
      <c r="BD1678" s="467">
        <v>952</v>
      </c>
      <c r="BE1678" s="467">
        <v>878</v>
      </c>
      <c r="BF1678" s="467">
        <v>811</v>
      </c>
      <c r="BG1678" s="467">
        <v>774</v>
      </c>
      <c r="BH1678" s="467">
        <v>826</v>
      </c>
      <c r="BI1678" s="467">
        <v>824</v>
      </c>
      <c r="BJ1678" s="467">
        <v>896</v>
      </c>
      <c r="BK1678" s="467">
        <v>894</v>
      </c>
      <c r="BL1678" s="467">
        <v>1000</v>
      </c>
      <c r="BM1678" s="467">
        <v>1085</v>
      </c>
      <c r="BN1678" s="467">
        <v>960</v>
      </c>
      <c r="BO1678" s="467">
        <v>1020</v>
      </c>
      <c r="BP1678" s="467">
        <v>1073</v>
      </c>
      <c r="BQ1678" s="467">
        <v>1054</v>
      </c>
      <c r="BR1678" s="467">
        <v>1090</v>
      </c>
      <c r="BS1678" s="467">
        <v>1053</v>
      </c>
      <c r="BT1678" s="467">
        <v>1076</v>
      </c>
      <c r="BU1678" s="467">
        <v>996</v>
      </c>
      <c r="BV1678" s="467">
        <v>1035</v>
      </c>
      <c r="BW1678" s="467">
        <v>973</v>
      </c>
      <c r="BX1678" s="467">
        <v>921</v>
      </c>
      <c r="BY1678" s="467">
        <v>918</v>
      </c>
      <c r="BZ1678" s="467">
        <v>897</v>
      </c>
      <c r="CA1678" s="467">
        <v>829</v>
      </c>
      <c r="CB1678" s="467">
        <v>815</v>
      </c>
      <c r="CC1678" s="467">
        <v>750</v>
      </c>
      <c r="CD1678" s="467">
        <v>727</v>
      </c>
      <c r="CE1678" s="467">
        <v>766</v>
      </c>
      <c r="CF1678" s="467">
        <v>718</v>
      </c>
      <c r="CG1678" s="467">
        <v>762</v>
      </c>
      <c r="CH1678" s="467">
        <v>709</v>
      </c>
      <c r="CI1678" s="467">
        <v>749</v>
      </c>
      <c r="CJ1678" s="467">
        <v>735</v>
      </c>
      <c r="CK1678" s="467">
        <v>786</v>
      </c>
      <c r="CL1678" s="467">
        <v>615</v>
      </c>
      <c r="CM1678" s="467">
        <v>590</v>
      </c>
      <c r="CN1678" s="467">
        <v>566</v>
      </c>
      <c r="CO1678" s="467">
        <v>476</v>
      </c>
      <c r="CP1678" s="467">
        <v>419</v>
      </c>
      <c r="CQ1678" s="467">
        <v>422</v>
      </c>
      <c r="CR1678" s="467">
        <v>337</v>
      </c>
      <c r="CS1678" s="467">
        <v>305</v>
      </c>
      <c r="CT1678" s="467">
        <v>281</v>
      </c>
      <c r="CU1678" s="467">
        <v>231</v>
      </c>
      <c r="CV1678" s="467">
        <v>208</v>
      </c>
      <c r="CW1678" s="467">
        <v>200</v>
      </c>
      <c r="CX1678" s="467">
        <v>138</v>
      </c>
      <c r="CY1678" s="467">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7">
        <v>868</v>
      </c>
      <c r="N1679" s="467">
        <v>851</v>
      </c>
      <c r="O1679" s="467">
        <v>826</v>
      </c>
      <c r="P1679" s="467">
        <v>910</v>
      </c>
      <c r="Q1679" s="467">
        <v>954</v>
      </c>
      <c r="R1679" s="467">
        <v>1019</v>
      </c>
      <c r="S1679" s="467">
        <v>993</v>
      </c>
      <c r="T1679" s="467">
        <v>1030</v>
      </c>
      <c r="U1679" s="467">
        <v>1081</v>
      </c>
      <c r="V1679" s="467">
        <v>1074</v>
      </c>
      <c r="W1679" s="467">
        <v>1059</v>
      </c>
      <c r="X1679" s="467">
        <v>1089</v>
      </c>
      <c r="Y1679" s="467">
        <v>1091</v>
      </c>
      <c r="Z1679" s="467">
        <v>1150</v>
      </c>
      <c r="AA1679" s="467">
        <v>1135</v>
      </c>
      <c r="AB1679" s="467">
        <v>1140</v>
      </c>
      <c r="AC1679" s="467">
        <v>1045</v>
      </c>
      <c r="AD1679" s="467">
        <v>1023</v>
      </c>
      <c r="AE1679" s="467">
        <v>1015</v>
      </c>
      <c r="AF1679" s="467">
        <v>998</v>
      </c>
      <c r="AG1679" s="467">
        <v>832</v>
      </c>
      <c r="AH1679" s="467">
        <v>814</v>
      </c>
      <c r="AI1679" s="467">
        <v>945</v>
      </c>
      <c r="AJ1679" s="467">
        <v>990</v>
      </c>
      <c r="AK1679" s="467">
        <v>934</v>
      </c>
      <c r="AL1679" s="467">
        <v>911</v>
      </c>
      <c r="AM1679" s="467">
        <v>1132</v>
      </c>
      <c r="AN1679" s="467">
        <v>1016</v>
      </c>
      <c r="AO1679" s="467">
        <v>1027</v>
      </c>
      <c r="AP1679" s="467">
        <v>1031</v>
      </c>
      <c r="AQ1679" s="467">
        <v>1036</v>
      </c>
      <c r="AR1679" s="467">
        <v>1101</v>
      </c>
      <c r="AS1679" s="467">
        <v>1195</v>
      </c>
      <c r="AT1679" s="467">
        <v>1142</v>
      </c>
      <c r="AU1679" s="467">
        <v>1164</v>
      </c>
      <c r="AV1679" s="467">
        <v>1156</v>
      </c>
      <c r="AW1679" s="467">
        <v>1077</v>
      </c>
      <c r="AX1679" s="467">
        <v>1169</v>
      </c>
      <c r="AY1679" s="467">
        <v>1084</v>
      </c>
      <c r="AZ1679" s="467">
        <v>1094</v>
      </c>
      <c r="BA1679" s="467">
        <v>1056</v>
      </c>
      <c r="BB1679" s="467">
        <v>1014</v>
      </c>
      <c r="BC1679" s="467">
        <v>1068</v>
      </c>
      <c r="BD1679" s="467">
        <v>1083</v>
      </c>
      <c r="BE1679" s="467">
        <v>1005</v>
      </c>
      <c r="BF1679" s="467">
        <v>959</v>
      </c>
      <c r="BG1679" s="467">
        <v>992</v>
      </c>
      <c r="BH1679" s="467">
        <v>980</v>
      </c>
      <c r="BI1679" s="467">
        <v>981</v>
      </c>
      <c r="BJ1679" s="467">
        <v>1080</v>
      </c>
      <c r="BK1679" s="467">
        <v>1114</v>
      </c>
      <c r="BL1679" s="467">
        <v>1156</v>
      </c>
      <c r="BM1679" s="467">
        <v>1242</v>
      </c>
      <c r="BN1679" s="467">
        <v>1119</v>
      </c>
      <c r="BO1679" s="467">
        <v>1281</v>
      </c>
      <c r="BP1679" s="467">
        <v>1265</v>
      </c>
      <c r="BQ1679" s="467">
        <v>1199</v>
      </c>
      <c r="BR1679" s="467">
        <v>1256</v>
      </c>
      <c r="BS1679" s="467">
        <v>1267</v>
      </c>
      <c r="BT1679" s="467">
        <v>1254</v>
      </c>
      <c r="BU1679" s="467">
        <v>1261</v>
      </c>
      <c r="BV1679" s="467">
        <v>1173</v>
      </c>
      <c r="BW1679" s="467">
        <v>1128</v>
      </c>
      <c r="BX1679" s="467">
        <v>1099</v>
      </c>
      <c r="BY1679" s="467">
        <v>1047</v>
      </c>
      <c r="BZ1679" s="467">
        <v>1036</v>
      </c>
      <c r="CA1679" s="467">
        <v>1023</v>
      </c>
      <c r="CB1679" s="467">
        <v>907</v>
      </c>
      <c r="CC1679" s="467">
        <v>853</v>
      </c>
      <c r="CD1679" s="467">
        <v>981</v>
      </c>
      <c r="CE1679" s="467">
        <v>926</v>
      </c>
      <c r="CF1679" s="467">
        <v>837</v>
      </c>
      <c r="CG1679" s="467">
        <v>891</v>
      </c>
      <c r="CH1679" s="467">
        <v>914</v>
      </c>
      <c r="CI1679" s="467">
        <v>798</v>
      </c>
      <c r="CJ1679" s="467">
        <v>935</v>
      </c>
      <c r="CK1679" s="467">
        <v>955</v>
      </c>
      <c r="CL1679" s="467">
        <v>710</v>
      </c>
      <c r="CM1679" s="467">
        <v>643</v>
      </c>
      <c r="CN1679" s="467">
        <v>613</v>
      </c>
      <c r="CO1679" s="467">
        <v>541</v>
      </c>
      <c r="CP1679" s="467">
        <v>548</v>
      </c>
      <c r="CQ1679" s="467">
        <v>393</v>
      </c>
      <c r="CR1679" s="467">
        <v>410</v>
      </c>
      <c r="CS1679" s="467">
        <v>361</v>
      </c>
      <c r="CT1679" s="467">
        <v>311</v>
      </c>
      <c r="CU1679" s="467">
        <v>265</v>
      </c>
      <c r="CV1679" s="467">
        <v>230</v>
      </c>
      <c r="CW1679" s="467">
        <v>175</v>
      </c>
      <c r="CX1679" s="467">
        <v>149</v>
      </c>
      <c r="CY1679" s="467">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7">
        <v>1856</v>
      </c>
      <c r="N1680" s="467">
        <v>1981</v>
      </c>
      <c r="O1680" s="467">
        <v>1941</v>
      </c>
      <c r="P1680" s="467">
        <v>1924</v>
      </c>
      <c r="Q1680" s="467">
        <v>2013</v>
      </c>
      <c r="R1680" s="467">
        <v>2084</v>
      </c>
      <c r="S1680" s="467">
        <v>2131</v>
      </c>
      <c r="T1680" s="467">
        <v>2257</v>
      </c>
      <c r="U1680" s="467">
        <v>2209</v>
      </c>
      <c r="V1680" s="467">
        <v>2249</v>
      </c>
      <c r="W1680" s="467">
        <v>2197</v>
      </c>
      <c r="X1680" s="467">
        <v>2330</v>
      </c>
      <c r="Y1680" s="467">
        <v>2393</v>
      </c>
      <c r="Z1680" s="467">
        <v>2289</v>
      </c>
      <c r="AA1680" s="467">
        <v>2194</v>
      </c>
      <c r="AB1680" s="467">
        <v>2219</v>
      </c>
      <c r="AC1680" s="467">
        <v>2176</v>
      </c>
      <c r="AD1680" s="467">
        <v>2235</v>
      </c>
      <c r="AE1680" s="467">
        <v>2618</v>
      </c>
      <c r="AF1680" s="467">
        <v>4372</v>
      </c>
      <c r="AG1680" s="467">
        <v>4993</v>
      </c>
      <c r="AH1680" s="467">
        <v>5046</v>
      </c>
      <c r="AI1680" s="467">
        <v>4466</v>
      </c>
      <c r="AJ1680" s="467">
        <v>3868</v>
      </c>
      <c r="AK1680" s="467">
        <v>3679</v>
      </c>
      <c r="AL1680" s="467">
        <v>3544</v>
      </c>
      <c r="AM1680" s="467">
        <v>3562</v>
      </c>
      <c r="AN1680" s="467">
        <v>3432</v>
      </c>
      <c r="AO1680" s="467">
        <v>3283</v>
      </c>
      <c r="AP1680" s="467">
        <v>3098</v>
      </c>
      <c r="AQ1680" s="467">
        <v>3028</v>
      </c>
      <c r="AR1680" s="467">
        <v>2908</v>
      </c>
      <c r="AS1680" s="467">
        <v>2962</v>
      </c>
      <c r="AT1680" s="467">
        <v>2878</v>
      </c>
      <c r="AU1680" s="467">
        <v>2611</v>
      </c>
      <c r="AV1680" s="467">
        <v>2747</v>
      </c>
      <c r="AW1680" s="467">
        <v>2688</v>
      </c>
      <c r="AX1680" s="467">
        <v>2713</v>
      </c>
      <c r="AY1680" s="467">
        <v>2504</v>
      </c>
      <c r="AZ1680" s="467">
        <v>2555</v>
      </c>
      <c r="BA1680" s="467">
        <v>2597</v>
      </c>
      <c r="BB1680" s="467">
        <v>2352</v>
      </c>
      <c r="BC1680" s="467">
        <v>2384</v>
      </c>
      <c r="BD1680" s="467">
        <v>2348</v>
      </c>
      <c r="BE1680" s="467">
        <v>2293</v>
      </c>
      <c r="BF1680" s="467">
        <v>2065</v>
      </c>
      <c r="BG1680" s="467">
        <v>2157</v>
      </c>
      <c r="BH1680" s="467">
        <v>2018</v>
      </c>
      <c r="BI1680" s="467">
        <v>2024</v>
      </c>
      <c r="BJ1680" s="467">
        <v>2075</v>
      </c>
      <c r="BK1680" s="467">
        <v>1911</v>
      </c>
      <c r="BL1680" s="467">
        <v>1963</v>
      </c>
      <c r="BM1680" s="467">
        <v>2087</v>
      </c>
      <c r="BN1680" s="467">
        <v>2050</v>
      </c>
      <c r="BO1680" s="467">
        <v>2082</v>
      </c>
      <c r="BP1680" s="467">
        <v>1988</v>
      </c>
      <c r="BQ1680" s="467">
        <v>2060</v>
      </c>
      <c r="BR1680" s="467">
        <v>1882</v>
      </c>
      <c r="BS1680" s="467">
        <v>1987</v>
      </c>
      <c r="BT1680" s="467">
        <v>1923</v>
      </c>
      <c r="BU1680" s="467">
        <v>1878</v>
      </c>
      <c r="BV1680" s="467">
        <v>1984</v>
      </c>
      <c r="BW1680" s="467">
        <v>1780</v>
      </c>
      <c r="BX1680" s="467">
        <v>1797</v>
      </c>
      <c r="BY1680" s="467">
        <v>1770</v>
      </c>
      <c r="BZ1680" s="467">
        <v>1628</v>
      </c>
      <c r="CA1680" s="467">
        <v>1634</v>
      </c>
      <c r="CB1680" s="467">
        <v>1479</v>
      </c>
      <c r="CC1680" s="467">
        <v>1405</v>
      </c>
      <c r="CD1680" s="467">
        <v>1424</v>
      </c>
      <c r="CE1680" s="467">
        <v>1332</v>
      </c>
      <c r="CF1680" s="467">
        <v>1261</v>
      </c>
      <c r="CG1680" s="467">
        <v>1299</v>
      </c>
      <c r="CH1680" s="467">
        <v>1316</v>
      </c>
      <c r="CI1680" s="467">
        <v>1261</v>
      </c>
      <c r="CJ1680" s="467">
        <v>1222</v>
      </c>
      <c r="CK1680" s="467">
        <v>1315</v>
      </c>
      <c r="CL1680" s="467">
        <v>948</v>
      </c>
      <c r="CM1680" s="467">
        <v>898</v>
      </c>
      <c r="CN1680" s="467">
        <v>876</v>
      </c>
      <c r="CO1680" s="467">
        <v>706</v>
      </c>
      <c r="CP1680" s="467">
        <v>637</v>
      </c>
      <c r="CQ1680" s="467">
        <v>577</v>
      </c>
      <c r="CR1680" s="467">
        <v>553</v>
      </c>
      <c r="CS1680" s="467">
        <v>492</v>
      </c>
      <c r="CT1680" s="467">
        <v>451</v>
      </c>
      <c r="CU1680" s="467">
        <v>405</v>
      </c>
      <c r="CV1680" s="467">
        <v>355</v>
      </c>
      <c r="CW1680" s="467">
        <v>306</v>
      </c>
      <c r="CX1680" s="467">
        <v>234</v>
      </c>
      <c r="CY1680" s="467">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7">
        <v>813</v>
      </c>
      <c r="N1681" s="467">
        <v>875</v>
      </c>
      <c r="O1681" s="467">
        <v>870</v>
      </c>
      <c r="P1681" s="467">
        <v>874</v>
      </c>
      <c r="Q1681" s="467">
        <v>965</v>
      </c>
      <c r="R1681" s="467">
        <v>984</v>
      </c>
      <c r="S1681" s="467">
        <v>1020</v>
      </c>
      <c r="T1681" s="467">
        <v>1090</v>
      </c>
      <c r="U1681" s="467">
        <v>1073</v>
      </c>
      <c r="V1681" s="467">
        <v>1049</v>
      </c>
      <c r="W1681" s="467">
        <v>1095</v>
      </c>
      <c r="X1681" s="467">
        <v>1193</v>
      </c>
      <c r="Y1681" s="467">
        <v>1195</v>
      </c>
      <c r="Z1681" s="467">
        <v>1160</v>
      </c>
      <c r="AA1681" s="467">
        <v>1127</v>
      </c>
      <c r="AB1681" s="467">
        <v>1143</v>
      </c>
      <c r="AC1681" s="467">
        <v>1159</v>
      </c>
      <c r="AD1681" s="467">
        <v>1162</v>
      </c>
      <c r="AE1681" s="467">
        <v>1080</v>
      </c>
      <c r="AF1681" s="467">
        <v>871</v>
      </c>
      <c r="AG1681" s="467">
        <v>868</v>
      </c>
      <c r="AH1681" s="467">
        <v>842</v>
      </c>
      <c r="AI1681" s="467">
        <v>881</v>
      </c>
      <c r="AJ1681" s="467">
        <v>890</v>
      </c>
      <c r="AK1681" s="467">
        <v>925</v>
      </c>
      <c r="AL1681" s="467">
        <v>951</v>
      </c>
      <c r="AM1681" s="467">
        <v>1027</v>
      </c>
      <c r="AN1681" s="467">
        <v>1012</v>
      </c>
      <c r="AO1681" s="467">
        <v>940</v>
      </c>
      <c r="AP1681" s="467">
        <v>998</v>
      </c>
      <c r="AQ1681" s="467">
        <v>980</v>
      </c>
      <c r="AR1681" s="467">
        <v>1008</v>
      </c>
      <c r="AS1681" s="467">
        <v>1055</v>
      </c>
      <c r="AT1681" s="467">
        <v>1088</v>
      </c>
      <c r="AU1681" s="467">
        <v>1044</v>
      </c>
      <c r="AV1681" s="467">
        <v>1134</v>
      </c>
      <c r="AW1681" s="467">
        <v>1071</v>
      </c>
      <c r="AX1681" s="467">
        <v>1049</v>
      </c>
      <c r="AY1681" s="467">
        <v>1012</v>
      </c>
      <c r="AZ1681" s="467">
        <v>1042</v>
      </c>
      <c r="BA1681" s="467">
        <v>1020</v>
      </c>
      <c r="BB1681" s="467">
        <v>1028</v>
      </c>
      <c r="BC1681" s="467">
        <v>1069</v>
      </c>
      <c r="BD1681" s="467">
        <v>1059</v>
      </c>
      <c r="BE1681" s="467">
        <v>1009</v>
      </c>
      <c r="BF1681" s="467">
        <v>928</v>
      </c>
      <c r="BG1681" s="467">
        <v>925</v>
      </c>
      <c r="BH1681" s="467">
        <v>1017</v>
      </c>
      <c r="BI1681" s="467">
        <v>1045</v>
      </c>
      <c r="BJ1681" s="467">
        <v>1084</v>
      </c>
      <c r="BK1681" s="467">
        <v>1138</v>
      </c>
      <c r="BL1681" s="467">
        <v>1215</v>
      </c>
      <c r="BM1681" s="467">
        <v>1302</v>
      </c>
      <c r="BN1681" s="467">
        <v>1248</v>
      </c>
      <c r="BO1681" s="467">
        <v>1240</v>
      </c>
      <c r="BP1681" s="467">
        <v>1273</v>
      </c>
      <c r="BQ1681" s="467">
        <v>1377</v>
      </c>
      <c r="BR1681" s="467">
        <v>1389</v>
      </c>
      <c r="BS1681" s="467">
        <v>1431</v>
      </c>
      <c r="BT1681" s="467">
        <v>1476</v>
      </c>
      <c r="BU1681" s="467">
        <v>1334</v>
      </c>
      <c r="BV1681" s="467">
        <v>1428</v>
      </c>
      <c r="BW1681" s="467">
        <v>1363</v>
      </c>
      <c r="BX1681" s="467">
        <v>1341</v>
      </c>
      <c r="BY1681" s="467">
        <v>1270</v>
      </c>
      <c r="BZ1681" s="467">
        <v>1293</v>
      </c>
      <c r="CA1681" s="467">
        <v>1258</v>
      </c>
      <c r="CB1681" s="467">
        <v>1171</v>
      </c>
      <c r="CC1681" s="467">
        <v>1265</v>
      </c>
      <c r="CD1681" s="467">
        <v>1215</v>
      </c>
      <c r="CE1681" s="467">
        <v>1179</v>
      </c>
      <c r="CF1681" s="467">
        <v>1140</v>
      </c>
      <c r="CG1681" s="467">
        <v>1091</v>
      </c>
      <c r="CH1681" s="467">
        <v>1125</v>
      </c>
      <c r="CI1681" s="467">
        <v>1143</v>
      </c>
      <c r="CJ1681" s="467">
        <v>1158</v>
      </c>
      <c r="CK1681" s="467">
        <v>1139</v>
      </c>
      <c r="CL1681" s="467">
        <v>969</v>
      </c>
      <c r="CM1681" s="467">
        <v>884</v>
      </c>
      <c r="CN1681" s="467">
        <v>813</v>
      </c>
      <c r="CO1681" s="467">
        <v>736</v>
      </c>
      <c r="CP1681" s="467">
        <v>695</v>
      </c>
      <c r="CQ1681" s="467">
        <v>569</v>
      </c>
      <c r="CR1681" s="467">
        <v>515</v>
      </c>
      <c r="CS1681" s="467">
        <v>476</v>
      </c>
      <c r="CT1681" s="467">
        <v>405</v>
      </c>
      <c r="CU1681" s="467">
        <v>407</v>
      </c>
      <c r="CV1681" s="467">
        <v>308</v>
      </c>
      <c r="CW1681" s="467">
        <v>277</v>
      </c>
      <c r="CX1681" s="467">
        <v>234</v>
      </c>
      <c r="CY1681" s="467">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7">
        <v>259</v>
      </c>
      <c r="N1682" s="467">
        <v>275</v>
      </c>
      <c r="O1682" s="467">
        <v>247</v>
      </c>
      <c r="P1682" s="467">
        <v>281</v>
      </c>
      <c r="Q1682" s="467">
        <v>292</v>
      </c>
      <c r="R1682" s="467">
        <v>288</v>
      </c>
      <c r="S1682" s="467">
        <v>308</v>
      </c>
      <c r="T1682" s="467">
        <v>347</v>
      </c>
      <c r="U1682" s="467">
        <v>314</v>
      </c>
      <c r="V1682" s="467">
        <v>312</v>
      </c>
      <c r="W1682" s="467">
        <v>369</v>
      </c>
      <c r="X1682" s="467">
        <v>366</v>
      </c>
      <c r="Y1682" s="467">
        <v>382</v>
      </c>
      <c r="Z1682" s="467">
        <v>357</v>
      </c>
      <c r="AA1682" s="467">
        <v>331</v>
      </c>
      <c r="AB1682" s="467">
        <v>335</v>
      </c>
      <c r="AC1682" s="467">
        <v>346</v>
      </c>
      <c r="AD1682" s="467">
        <v>372</v>
      </c>
      <c r="AE1682" s="467">
        <v>487</v>
      </c>
      <c r="AF1682" s="467">
        <v>987</v>
      </c>
      <c r="AG1682" s="467">
        <v>1016</v>
      </c>
      <c r="AH1682" s="467">
        <v>855</v>
      </c>
      <c r="AI1682" s="467">
        <v>757</v>
      </c>
      <c r="AJ1682" s="467">
        <v>576</v>
      </c>
      <c r="AK1682" s="467">
        <v>509</v>
      </c>
      <c r="AL1682" s="467">
        <v>407</v>
      </c>
      <c r="AM1682" s="467">
        <v>332</v>
      </c>
      <c r="AN1682" s="467">
        <v>338</v>
      </c>
      <c r="AO1682" s="467">
        <v>349</v>
      </c>
      <c r="AP1682" s="467">
        <v>360</v>
      </c>
      <c r="AQ1682" s="467">
        <v>311</v>
      </c>
      <c r="AR1682" s="467">
        <v>358</v>
      </c>
      <c r="AS1682" s="467">
        <v>364</v>
      </c>
      <c r="AT1682" s="467">
        <v>347</v>
      </c>
      <c r="AU1682" s="467">
        <v>351</v>
      </c>
      <c r="AV1682" s="467">
        <v>367</v>
      </c>
      <c r="AW1682" s="467">
        <v>326</v>
      </c>
      <c r="AX1682" s="467">
        <v>306</v>
      </c>
      <c r="AY1682" s="467">
        <v>324</v>
      </c>
      <c r="AZ1682" s="467">
        <v>304</v>
      </c>
      <c r="BA1682" s="467">
        <v>337</v>
      </c>
      <c r="BB1682" s="467">
        <v>365</v>
      </c>
      <c r="BC1682" s="467">
        <v>344</v>
      </c>
      <c r="BD1682" s="467">
        <v>319</v>
      </c>
      <c r="BE1682" s="467">
        <v>319</v>
      </c>
      <c r="BF1682" s="467">
        <v>275</v>
      </c>
      <c r="BG1682" s="467">
        <v>308</v>
      </c>
      <c r="BH1682" s="467">
        <v>348</v>
      </c>
      <c r="BI1682" s="467">
        <v>359</v>
      </c>
      <c r="BJ1682" s="467">
        <v>358</v>
      </c>
      <c r="BK1682" s="467">
        <v>350</v>
      </c>
      <c r="BL1682" s="467">
        <v>407</v>
      </c>
      <c r="BM1682" s="467">
        <v>444</v>
      </c>
      <c r="BN1682" s="467">
        <v>443</v>
      </c>
      <c r="BO1682" s="467">
        <v>507</v>
      </c>
      <c r="BP1682" s="467">
        <v>487</v>
      </c>
      <c r="BQ1682" s="467">
        <v>523</v>
      </c>
      <c r="BR1682" s="467">
        <v>523</v>
      </c>
      <c r="BS1682" s="467">
        <v>497</v>
      </c>
      <c r="BT1682" s="467">
        <v>551</v>
      </c>
      <c r="BU1682" s="467">
        <v>557</v>
      </c>
      <c r="BV1682" s="467">
        <v>547</v>
      </c>
      <c r="BW1682" s="467">
        <v>531</v>
      </c>
      <c r="BX1682" s="467">
        <v>504</v>
      </c>
      <c r="BY1682" s="467">
        <v>519</v>
      </c>
      <c r="BZ1682" s="467">
        <v>519</v>
      </c>
      <c r="CA1682" s="467">
        <v>491</v>
      </c>
      <c r="CB1682" s="467">
        <v>513</v>
      </c>
      <c r="CC1682" s="467">
        <v>480</v>
      </c>
      <c r="CD1682" s="467">
        <v>477</v>
      </c>
      <c r="CE1682" s="467">
        <v>452</v>
      </c>
      <c r="CF1682" s="467">
        <v>473</v>
      </c>
      <c r="CG1682" s="467">
        <v>434</v>
      </c>
      <c r="CH1682" s="467">
        <v>460</v>
      </c>
      <c r="CI1682" s="467">
        <v>492</v>
      </c>
      <c r="CJ1682" s="467">
        <v>510</v>
      </c>
      <c r="CK1682" s="467">
        <v>479</v>
      </c>
      <c r="CL1682" s="467">
        <v>356</v>
      </c>
      <c r="CM1682" s="467">
        <v>364</v>
      </c>
      <c r="CN1682" s="467">
        <v>341</v>
      </c>
      <c r="CO1682" s="467">
        <v>332</v>
      </c>
      <c r="CP1682" s="467">
        <v>269</v>
      </c>
      <c r="CQ1682" s="467">
        <v>203</v>
      </c>
      <c r="CR1682" s="467">
        <v>233</v>
      </c>
      <c r="CS1682" s="467">
        <v>180</v>
      </c>
      <c r="CT1682" s="467">
        <v>172</v>
      </c>
      <c r="CU1682" s="467">
        <v>148</v>
      </c>
      <c r="CV1682" s="467">
        <v>118</v>
      </c>
      <c r="CW1682" s="467">
        <v>108</v>
      </c>
      <c r="CX1682" s="467">
        <v>91</v>
      </c>
      <c r="CY1682" s="467">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7">
        <v>461</v>
      </c>
      <c r="N1683" s="467">
        <v>495</v>
      </c>
      <c r="O1683" s="467">
        <v>470</v>
      </c>
      <c r="P1683" s="467">
        <v>532</v>
      </c>
      <c r="Q1683" s="467">
        <v>535</v>
      </c>
      <c r="R1683" s="467">
        <v>561</v>
      </c>
      <c r="S1683" s="467">
        <v>542</v>
      </c>
      <c r="T1683" s="467">
        <v>575</v>
      </c>
      <c r="U1683" s="467">
        <v>612</v>
      </c>
      <c r="V1683" s="467">
        <v>596</v>
      </c>
      <c r="W1683" s="467">
        <v>620</v>
      </c>
      <c r="X1683" s="467">
        <v>614</v>
      </c>
      <c r="Y1683" s="467">
        <v>704</v>
      </c>
      <c r="Z1683" s="467">
        <v>632</v>
      </c>
      <c r="AA1683" s="467">
        <v>632</v>
      </c>
      <c r="AB1683" s="467">
        <v>607</v>
      </c>
      <c r="AC1683" s="467">
        <v>643</v>
      </c>
      <c r="AD1683" s="467">
        <v>622</v>
      </c>
      <c r="AE1683" s="467">
        <v>611</v>
      </c>
      <c r="AF1683" s="467">
        <v>476</v>
      </c>
      <c r="AG1683" s="467">
        <v>402</v>
      </c>
      <c r="AH1683" s="467">
        <v>411</v>
      </c>
      <c r="AI1683" s="467">
        <v>460</v>
      </c>
      <c r="AJ1683" s="467">
        <v>540</v>
      </c>
      <c r="AK1683" s="467">
        <v>534</v>
      </c>
      <c r="AL1683" s="467">
        <v>614</v>
      </c>
      <c r="AM1683" s="467">
        <v>583</v>
      </c>
      <c r="AN1683" s="467">
        <v>477</v>
      </c>
      <c r="AO1683" s="467">
        <v>568</v>
      </c>
      <c r="AP1683" s="467">
        <v>536</v>
      </c>
      <c r="AQ1683" s="467">
        <v>539</v>
      </c>
      <c r="AR1683" s="467">
        <v>585</v>
      </c>
      <c r="AS1683" s="467">
        <v>621</v>
      </c>
      <c r="AT1683" s="467">
        <v>565</v>
      </c>
      <c r="AU1683" s="467">
        <v>617</v>
      </c>
      <c r="AV1683" s="467">
        <v>578</v>
      </c>
      <c r="AW1683" s="467">
        <v>604</v>
      </c>
      <c r="AX1683" s="467">
        <v>542</v>
      </c>
      <c r="AY1683" s="467">
        <v>582</v>
      </c>
      <c r="AZ1683" s="467">
        <v>560</v>
      </c>
      <c r="BA1683" s="467">
        <v>536</v>
      </c>
      <c r="BB1683" s="467">
        <v>554</v>
      </c>
      <c r="BC1683" s="467">
        <v>611</v>
      </c>
      <c r="BD1683" s="467">
        <v>635</v>
      </c>
      <c r="BE1683" s="467">
        <v>572</v>
      </c>
      <c r="BF1683" s="467">
        <v>480</v>
      </c>
      <c r="BG1683" s="467">
        <v>557</v>
      </c>
      <c r="BH1683" s="467">
        <v>553</v>
      </c>
      <c r="BI1683" s="467">
        <v>568</v>
      </c>
      <c r="BJ1683" s="467">
        <v>609</v>
      </c>
      <c r="BK1683" s="467">
        <v>686</v>
      </c>
      <c r="BL1683" s="467">
        <v>796</v>
      </c>
      <c r="BM1683" s="467">
        <v>785</v>
      </c>
      <c r="BN1683" s="467">
        <v>751</v>
      </c>
      <c r="BO1683" s="467">
        <v>815</v>
      </c>
      <c r="BP1683" s="467">
        <v>781</v>
      </c>
      <c r="BQ1683" s="467">
        <v>835</v>
      </c>
      <c r="BR1683" s="467">
        <v>891</v>
      </c>
      <c r="BS1683" s="467">
        <v>894</v>
      </c>
      <c r="BT1683" s="467">
        <v>874</v>
      </c>
      <c r="BU1683" s="467">
        <v>890</v>
      </c>
      <c r="BV1683" s="467">
        <v>891</v>
      </c>
      <c r="BW1683" s="467">
        <v>898</v>
      </c>
      <c r="BX1683" s="467">
        <v>890</v>
      </c>
      <c r="BY1683" s="467">
        <v>826</v>
      </c>
      <c r="BZ1683" s="467">
        <v>798</v>
      </c>
      <c r="CA1683" s="467">
        <v>792</v>
      </c>
      <c r="CB1683" s="467">
        <v>749</v>
      </c>
      <c r="CC1683" s="467">
        <v>712</v>
      </c>
      <c r="CD1683" s="467">
        <v>775</v>
      </c>
      <c r="CE1683" s="467">
        <v>742</v>
      </c>
      <c r="CF1683" s="467">
        <v>726</v>
      </c>
      <c r="CG1683" s="467">
        <v>759</v>
      </c>
      <c r="CH1683" s="467">
        <v>718</v>
      </c>
      <c r="CI1683" s="467">
        <v>807</v>
      </c>
      <c r="CJ1683" s="467">
        <v>844</v>
      </c>
      <c r="CK1683" s="467">
        <v>825</v>
      </c>
      <c r="CL1683" s="467">
        <v>658</v>
      </c>
      <c r="CM1683" s="467">
        <v>602</v>
      </c>
      <c r="CN1683" s="467">
        <v>563</v>
      </c>
      <c r="CO1683" s="467">
        <v>509</v>
      </c>
      <c r="CP1683" s="467">
        <v>456</v>
      </c>
      <c r="CQ1683" s="467">
        <v>381</v>
      </c>
      <c r="CR1683" s="467">
        <v>343</v>
      </c>
      <c r="CS1683" s="467">
        <v>344</v>
      </c>
      <c r="CT1683" s="467">
        <v>264</v>
      </c>
      <c r="CU1683" s="467">
        <v>245</v>
      </c>
      <c r="CV1683" s="467">
        <v>228</v>
      </c>
      <c r="CW1683" s="467">
        <v>226</v>
      </c>
      <c r="CX1683" s="467">
        <v>166</v>
      </c>
      <c r="CY1683" s="467">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7">
        <v>401</v>
      </c>
      <c r="N1684" s="467">
        <v>464</v>
      </c>
      <c r="O1684" s="467">
        <v>512</v>
      </c>
      <c r="P1684" s="467">
        <v>526</v>
      </c>
      <c r="Q1684" s="467">
        <v>494</v>
      </c>
      <c r="R1684" s="467">
        <v>503</v>
      </c>
      <c r="S1684" s="467">
        <v>548</v>
      </c>
      <c r="T1684" s="467">
        <v>535</v>
      </c>
      <c r="U1684" s="467">
        <v>564</v>
      </c>
      <c r="V1684" s="467">
        <v>534</v>
      </c>
      <c r="W1684" s="467">
        <v>578</v>
      </c>
      <c r="X1684" s="467">
        <v>560</v>
      </c>
      <c r="Y1684" s="467">
        <v>600</v>
      </c>
      <c r="Z1684" s="467">
        <v>625</v>
      </c>
      <c r="AA1684" s="467">
        <v>616</v>
      </c>
      <c r="AB1684" s="467">
        <v>624</v>
      </c>
      <c r="AC1684" s="467">
        <v>599</v>
      </c>
      <c r="AD1684" s="467">
        <v>600</v>
      </c>
      <c r="AE1684" s="467">
        <v>622</v>
      </c>
      <c r="AF1684" s="467">
        <v>448</v>
      </c>
      <c r="AG1684" s="467">
        <v>447</v>
      </c>
      <c r="AH1684" s="467">
        <v>401</v>
      </c>
      <c r="AI1684" s="467">
        <v>463</v>
      </c>
      <c r="AJ1684" s="467">
        <v>442</v>
      </c>
      <c r="AK1684" s="467">
        <v>460</v>
      </c>
      <c r="AL1684" s="467">
        <v>490</v>
      </c>
      <c r="AM1684" s="467">
        <v>505</v>
      </c>
      <c r="AN1684" s="467">
        <v>514</v>
      </c>
      <c r="AO1684" s="467">
        <v>484</v>
      </c>
      <c r="AP1684" s="467">
        <v>524</v>
      </c>
      <c r="AQ1684" s="467">
        <v>480</v>
      </c>
      <c r="AR1684" s="467">
        <v>514</v>
      </c>
      <c r="AS1684" s="467">
        <v>537</v>
      </c>
      <c r="AT1684" s="467">
        <v>539</v>
      </c>
      <c r="AU1684" s="467">
        <v>492</v>
      </c>
      <c r="AV1684" s="467">
        <v>534</v>
      </c>
      <c r="AW1684" s="467">
        <v>529</v>
      </c>
      <c r="AX1684" s="467">
        <v>505</v>
      </c>
      <c r="AY1684" s="467">
        <v>491</v>
      </c>
      <c r="AZ1684" s="467">
        <v>520</v>
      </c>
      <c r="BA1684" s="467">
        <v>453</v>
      </c>
      <c r="BB1684" s="467">
        <v>497</v>
      </c>
      <c r="BC1684" s="467">
        <v>492</v>
      </c>
      <c r="BD1684" s="467">
        <v>506</v>
      </c>
      <c r="BE1684" s="467">
        <v>470</v>
      </c>
      <c r="BF1684" s="467">
        <v>424</v>
      </c>
      <c r="BG1684" s="467">
        <v>467</v>
      </c>
      <c r="BH1684" s="467">
        <v>512</v>
      </c>
      <c r="BI1684" s="467">
        <v>538</v>
      </c>
      <c r="BJ1684" s="467">
        <v>533</v>
      </c>
      <c r="BK1684" s="467">
        <v>551</v>
      </c>
      <c r="BL1684" s="467">
        <v>641</v>
      </c>
      <c r="BM1684" s="467">
        <v>668</v>
      </c>
      <c r="BN1684" s="467">
        <v>666</v>
      </c>
      <c r="BO1684" s="467">
        <v>668</v>
      </c>
      <c r="BP1684" s="467">
        <v>655</v>
      </c>
      <c r="BQ1684" s="467">
        <v>730</v>
      </c>
      <c r="BR1684" s="467">
        <v>672</v>
      </c>
      <c r="BS1684" s="467">
        <v>765</v>
      </c>
      <c r="BT1684" s="467">
        <v>757</v>
      </c>
      <c r="BU1684" s="467">
        <v>717</v>
      </c>
      <c r="BV1684" s="467">
        <v>753</v>
      </c>
      <c r="BW1684" s="467">
        <v>656</v>
      </c>
      <c r="BX1684" s="467">
        <v>699</v>
      </c>
      <c r="BY1684" s="467">
        <v>663</v>
      </c>
      <c r="BZ1684" s="467">
        <v>644</v>
      </c>
      <c r="CA1684" s="467">
        <v>637</v>
      </c>
      <c r="CB1684" s="467">
        <v>610</v>
      </c>
      <c r="CC1684" s="467">
        <v>595</v>
      </c>
      <c r="CD1684" s="467">
        <v>599</v>
      </c>
      <c r="CE1684" s="467">
        <v>582</v>
      </c>
      <c r="CF1684" s="467">
        <v>534</v>
      </c>
      <c r="CG1684" s="467">
        <v>543</v>
      </c>
      <c r="CH1684" s="467">
        <v>590</v>
      </c>
      <c r="CI1684" s="467">
        <v>638</v>
      </c>
      <c r="CJ1684" s="467">
        <v>658</v>
      </c>
      <c r="CK1684" s="467">
        <v>651</v>
      </c>
      <c r="CL1684" s="467">
        <v>445</v>
      </c>
      <c r="CM1684" s="467">
        <v>418</v>
      </c>
      <c r="CN1684" s="467">
        <v>441</v>
      </c>
      <c r="CO1684" s="467">
        <v>416</v>
      </c>
      <c r="CP1684" s="467">
        <v>329</v>
      </c>
      <c r="CQ1684" s="467">
        <v>319</v>
      </c>
      <c r="CR1684" s="467">
        <v>263</v>
      </c>
      <c r="CS1684" s="467">
        <v>231</v>
      </c>
      <c r="CT1684" s="467">
        <v>211</v>
      </c>
      <c r="CU1684" s="467">
        <v>197</v>
      </c>
      <c r="CV1684" s="467">
        <v>160</v>
      </c>
      <c r="CW1684" s="467">
        <v>148</v>
      </c>
      <c r="CX1684" s="467">
        <v>105</v>
      </c>
      <c r="CY1684" s="467">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7">
        <v>698</v>
      </c>
      <c r="N1685" s="467">
        <v>720</v>
      </c>
      <c r="O1685" s="467">
        <v>806</v>
      </c>
      <c r="P1685" s="467">
        <v>775</v>
      </c>
      <c r="Q1685" s="467">
        <v>793</v>
      </c>
      <c r="R1685" s="467">
        <v>823</v>
      </c>
      <c r="S1685" s="467">
        <v>841</v>
      </c>
      <c r="T1685" s="467">
        <v>864</v>
      </c>
      <c r="U1685" s="467">
        <v>911</v>
      </c>
      <c r="V1685" s="467">
        <v>911</v>
      </c>
      <c r="W1685" s="467">
        <v>903</v>
      </c>
      <c r="X1685" s="467">
        <v>976</v>
      </c>
      <c r="Y1685" s="467">
        <v>949</v>
      </c>
      <c r="Z1685" s="467">
        <v>1013</v>
      </c>
      <c r="AA1685" s="467">
        <v>950</v>
      </c>
      <c r="AB1685" s="467">
        <v>1048</v>
      </c>
      <c r="AC1685" s="467">
        <v>976</v>
      </c>
      <c r="AD1685" s="467">
        <v>901</v>
      </c>
      <c r="AE1685" s="467">
        <v>898</v>
      </c>
      <c r="AF1685" s="467">
        <v>756</v>
      </c>
      <c r="AG1685" s="467">
        <v>647</v>
      </c>
      <c r="AH1685" s="467">
        <v>684</v>
      </c>
      <c r="AI1685" s="467">
        <v>712</v>
      </c>
      <c r="AJ1685" s="467">
        <v>744</v>
      </c>
      <c r="AK1685" s="467">
        <v>876</v>
      </c>
      <c r="AL1685" s="467">
        <v>855</v>
      </c>
      <c r="AM1685" s="467">
        <v>832</v>
      </c>
      <c r="AN1685" s="467">
        <v>824</v>
      </c>
      <c r="AO1685" s="467">
        <v>834</v>
      </c>
      <c r="AP1685" s="467">
        <v>859</v>
      </c>
      <c r="AQ1685" s="467">
        <v>913</v>
      </c>
      <c r="AR1685" s="467">
        <v>1003</v>
      </c>
      <c r="AS1685" s="467">
        <v>902</v>
      </c>
      <c r="AT1685" s="467">
        <v>907</v>
      </c>
      <c r="AU1685" s="467">
        <v>948</v>
      </c>
      <c r="AV1685" s="467">
        <v>984</v>
      </c>
      <c r="AW1685" s="467">
        <v>951</v>
      </c>
      <c r="AX1685" s="467">
        <v>993</v>
      </c>
      <c r="AY1685" s="467">
        <v>910</v>
      </c>
      <c r="AZ1685" s="467">
        <v>865</v>
      </c>
      <c r="BA1685" s="467">
        <v>894</v>
      </c>
      <c r="BB1685" s="467">
        <v>945</v>
      </c>
      <c r="BC1685" s="467">
        <v>931</v>
      </c>
      <c r="BD1685" s="467">
        <v>937</v>
      </c>
      <c r="BE1685" s="467">
        <v>899</v>
      </c>
      <c r="BF1685" s="467">
        <v>863</v>
      </c>
      <c r="BG1685" s="467">
        <v>807</v>
      </c>
      <c r="BH1685" s="467">
        <v>843</v>
      </c>
      <c r="BI1685" s="467">
        <v>929</v>
      </c>
      <c r="BJ1685" s="467">
        <v>962</v>
      </c>
      <c r="BK1685" s="467">
        <v>993</v>
      </c>
      <c r="BL1685" s="467">
        <v>1135</v>
      </c>
      <c r="BM1685" s="467">
        <v>1166</v>
      </c>
      <c r="BN1685" s="467">
        <v>1169</v>
      </c>
      <c r="BO1685" s="467">
        <v>1223</v>
      </c>
      <c r="BP1685" s="467">
        <v>1217</v>
      </c>
      <c r="BQ1685" s="467">
        <v>1120</v>
      </c>
      <c r="BR1685" s="467">
        <v>1125</v>
      </c>
      <c r="BS1685" s="467">
        <v>1152</v>
      </c>
      <c r="BT1685" s="467">
        <v>1196</v>
      </c>
      <c r="BU1685" s="467">
        <v>1088</v>
      </c>
      <c r="BV1685" s="467">
        <v>1143</v>
      </c>
      <c r="BW1685" s="467">
        <v>1056</v>
      </c>
      <c r="BX1685" s="467">
        <v>1016</v>
      </c>
      <c r="BY1685" s="467">
        <v>1023</v>
      </c>
      <c r="BZ1685" s="467">
        <v>899</v>
      </c>
      <c r="CA1685" s="467">
        <v>872</v>
      </c>
      <c r="CB1685" s="467">
        <v>867</v>
      </c>
      <c r="CC1685" s="467">
        <v>780</v>
      </c>
      <c r="CD1685" s="467">
        <v>796</v>
      </c>
      <c r="CE1685" s="467">
        <v>831</v>
      </c>
      <c r="CF1685" s="467">
        <v>750</v>
      </c>
      <c r="CG1685" s="467">
        <v>867</v>
      </c>
      <c r="CH1685" s="467">
        <v>820</v>
      </c>
      <c r="CI1685" s="467">
        <v>855</v>
      </c>
      <c r="CJ1685" s="467">
        <v>885</v>
      </c>
      <c r="CK1685" s="467">
        <v>975</v>
      </c>
      <c r="CL1685" s="467">
        <v>604</v>
      </c>
      <c r="CM1685" s="467">
        <v>620</v>
      </c>
      <c r="CN1685" s="467">
        <v>617</v>
      </c>
      <c r="CO1685" s="467">
        <v>525</v>
      </c>
      <c r="CP1685" s="467">
        <v>445</v>
      </c>
      <c r="CQ1685" s="467">
        <v>397</v>
      </c>
      <c r="CR1685" s="467">
        <v>393</v>
      </c>
      <c r="CS1685" s="467">
        <v>316</v>
      </c>
      <c r="CT1685" s="467">
        <v>324</v>
      </c>
      <c r="CU1685" s="467">
        <v>263</v>
      </c>
      <c r="CV1685" s="467">
        <v>217</v>
      </c>
      <c r="CW1685" s="467">
        <v>188</v>
      </c>
      <c r="CX1685" s="467">
        <v>137</v>
      </c>
      <c r="CY1685" s="467">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7">
        <v>505</v>
      </c>
      <c r="N1686" s="467">
        <v>565</v>
      </c>
      <c r="O1686" s="467">
        <v>523</v>
      </c>
      <c r="P1686" s="467">
        <v>553</v>
      </c>
      <c r="Q1686" s="467">
        <v>564</v>
      </c>
      <c r="R1686" s="467">
        <v>601</v>
      </c>
      <c r="S1686" s="467">
        <v>557</v>
      </c>
      <c r="T1686" s="467">
        <v>674</v>
      </c>
      <c r="U1686" s="467">
        <v>595</v>
      </c>
      <c r="V1686" s="467">
        <v>673</v>
      </c>
      <c r="W1686" s="467">
        <v>651</v>
      </c>
      <c r="X1686" s="467">
        <v>667</v>
      </c>
      <c r="Y1686" s="467">
        <v>658</v>
      </c>
      <c r="Z1686" s="467">
        <v>728</v>
      </c>
      <c r="AA1686" s="467">
        <v>669</v>
      </c>
      <c r="AB1686" s="467">
        <v>671</v>
      </c>
      <c r="AC1686" s="467">
        <v>676</v>
      </c>
      <c r="AD1686" s="467">
        <v>643</v>
      </c>
      <c r="AE1686" s="467">
        <v>629</v>
      </c>
      <c r="AF1686" s="467">
        <v>788</v>
      </c>
      <c r="AG1686" s="467">
        <v>949</v>
      </c>
      <c r="AH1686" s="467">
        <v>929</v>
      </c>
      <c r="AI1686" s="467">
        <v>902</v>
      </c>
      <c r="AJ1686" s="467">
        <v>887</v>
      </c>
      <c r="AK1686" s="467">
        <v>831</v>
      </c>
      <c r="AL1686" s="467">
        <v>730</v>
      </c>
      <c r="AM1686" s="467">
        <v>671</v>
      </c>
      <c r="AN1686" s="467">
        <v>661</v>
      </c>
      <c r="AO1686" s="467">
        <v>662</v>
      </c>
      <c r="AP1686" s="467">
        <v>665</v>
      </c>
      <c r="AQ1686" s="467">
        <v>662</v>
      </c>
      <c r="AR1686" s="467">
        <v>698</v>
      </c>
      <c r="AS1686" s="467">
        <v>676</v>
      </c>
      <c r="AT1686" s="467">
        <v>695</v>
      </c>
      <c r="AU1686" s="467">
        <v>693</v>
      </c>
      <c r="AV1686" s="467">
        <v>688</v>
      </c>
      <c r="AW1686" s="467">
        <v>703</v>
      </c>
      <c r="AX1686" s="467">
        <v>619</v>
      </c>
      <c r="AY1686" s="467">
        <v>613</v>
      </c>
      <c r="AZ1686" s="467">
        <v>586</v>
      </c>
      <c r="BA1686" s="467">
        <v>606</v>
      </c>
      <c r="BB1686" s="467">
        <v>606</v>
      </c>
      <c r="BC1686" s="467">
        <v>609</v>
      </c>
      <c r="BD1686" s="467">
        <v>613</v>
      </c>
      <c r="BE1686" s="467">
        <v>572</v>
      </c>
      <c r="BF1686" s="467">
        <v>558</v>
      </c>
      <c r="BG1686" s="467">
        <v>579</v>
      </c>
      <c r="BH1686" s="467">
        <v>617</v>
      </c>
      <c r="BI1686" s="467">
        <v>615</v>
      </c>
      <c r="BJ1686" s="467">
        <v>673</v>
      </c>
      <c r="BK1686" s="467">
        <v>721</v>
      </c>
      <c r="BL1686" s="467">
        <v>782</v>
      </c>
      <c r="BM1686" s="467">
        <v>832</v>
      </c>
      <c r="BN1686" s="467">
        <v>804</v>
      </c>
      <c r="BO1686" s="467">
        <v>784</v>
      </c>
      <c r="BP1686" s="467">
        <v>800</v>
      </c>
      <c r="BQ1686" s="467">
        <v>837</v>
      </c>
      <c r="BR1686" s="467">
        <v>872</v>
      </c>
      <c r="BS1686" s="467">
        <v>868</v>
      </c>
      <c r="BT1686" s="467">
        <v>882</v>
      </c>
      <c r="BU1686" s="467">
        <v>885</v>
      </c>
      <c r="BV1686" s="467">
        <v>876</v>
      </c>
      <c r="BW1686" s="467">
        <v>851</v>
      </c>
      <c r="BX1686" s="467">
        <v>774</v>
      </c>
      <c r="BY1686" s="467">
        <v>760</v>
      </c>
      <c r="BZ1686" s="467">
        <v>811</v>
      </c>
      <c r="CA1686" s="467">
        <v>751</v>
      </c>
      <c r="CB1686" s="467">
        <v>716</v>
      </c>
      <c r="CC1686" s="467">
        <v>721</v>
      </c>
      <c r="CD1686" s="467">
        <v>670</v>
      </c>
      <c r="CE1686" s="467">
        <v>707</v>
      </c>
      <c r="CF1686" s="467">
        <v>639</v>
      </c>
      <c r="CG1686" s="467">
        <v>622</v>
      </c>
      <c r="CH1686" s="467">
        <v>631</v>
      </c>
      <c r="CI1686" s="467">
        <v>708</v>
      </c>
      <c r="CJ1686" s="467">
        <v>740</v>
      </c>
      <c r="CK1686" s="467">
        <v>700</v>
      </c>
      <c r="CL1686" s="467">
        <v>565</v>
      </c>
      <c r="CM1686" s="467">
        <v>496</v>
      </c>
      <c r="CN1686" s="467">
        <v>504</v>
      </c>
      <c r="CO1686" s="467">
        <v>451</v>
      </c>
      <c r="CP1686" s="467">
        <v>360</v>
      </c>
      <c r="CQ1686" s="467">
        <v>283</v>
      </c>
      <c r="CR1686" s="467">
        <v>309</v>
      </c>
      <c r="CS1686" s="467">
        <v>303</v>
      </c>
      <c r="CT1686" s="467">
        <v>230</v>
      </c>
      <c r="CU1686" s="467">
        <v>233</v>
      </c>
      <c r="CV1686" s="467">
        <v>208</v>
      </c>
      <c r="CW1686" s="467">
        <v>169</v>
      </c>
      <c r="CX1686" s="467">
        <v>129</v>
      </c>
      <c r="CY1686" s="467">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7">
        <v>264</v>
      </c>
      <c r="N1687" s="467">
        <v>280</v>
      </c>
      <c r="O1687" s="467">
        <v>322</v>
      </c>
      <c r="P1687" s="467">
        <v>308</v>
      </c>
      <c r="Q1687" s="467">
        <v>320</v>
      </c>
      <c r="R1687" s="467">
        <v>344</v>
      </c>
      <c r="S1687" s="467">
        <v>395</v>
      </c>
      <c r="T1687" s="467">
        <v>401</v>
      </c>
      <c r="U1687" s="467">
        <v>365</v>
      </c>
      <c r="V1687" s="467">
        <v>394</v>
      </c>
      <c r="W1687" s="467">
        <v>421</v>
      </c>
      <c r="X1687" s="467">
        <v>400</v>
      </c>
      <c r="Y1687" s="467">
        <v>441</v>
      </c>
      <c r="Z1687" s="467">
        <v>413</v>
      </c>
      <c r="AA1687" s="467">
        <v>437</v>
      </c>
      <c r="AB1687" s="467">
        <v>381</v>
      </c>
      <c r="AC1687" s="467">
        <v>394</v>
      </c>
      <c r="AD1687" s="467">
        <v>397</v>
      </c>
      <c r="AE1687" s="467">
        <v>373</v>
      </c>
      <c r="AF1687" s="467">
        <v>298</v>
      </c>
      <c r="AG1687" s="467">
        <v>289</v>
      </c>
      <c r="AH1687" s="467">
        <v>327</v>
      </c>
      <c r="AI1687" s="467">
        <v>296</v>
      </c>
      <c r="AJ1687" s="467">
        <v>278</v>
      </c>
      <c r="AK1687" s="467">
        <v>364</v>
      </c>
      <c r="AL1687" s="467">
        <v>298</v>
      </c>
      <c r="AM1687" s="467">
        <v>306</v>
      </c>
      <c r="AN1687" s="467">
        <v>324</v>
      </c>
      <c r="AO1687" s="467">
        <v>329</v>
      </c>
      <c r="AP1687" s="467">
        <v>360</v>
      </c>
      <c r="AQ1687" s="467">
        <v>346</v>
      </c>
      <c r="AR1687" s="467">
        <v>341</v>
      </c>
      <c r="AS1687" s="467">
        <v>340</v>
      </c>
      <c r="AT1687" s="467">
        <v>357</v>
      </c>
      <c r="AU1687" s="467">
        <v>356</v>
      </c>
      <c r="AV1687" s="467">
        <v>390</v>
      </c>
      <c r="AW1687" s="467">
        <v>375</v>
      </c>
      <c r="AX1687" s="467">
        <v>326</v>
      </c>
      <c r="AY1687" s="467">
        <v>353</v>
      </c>
      <c r="AZ1687" s="467">
        <v>372</v>
      </c>
      <c r="BA1687" s="467">
        <v>339</v>
      </c>
      <c r="BB1687" s="467">
        <v>325</v>
      </c>
      <c r="BC1687" s="467">
        <v>345</v>
      </c>
      <c r="BD1687" s="467">
        <v>369</v>
      </c>
      <c r="BE1687" s="467">
        <v>381</v>
      </c>
      <c r="BF1687" s="467">
        <v>328</v>
      </c>
      <c r="BG1687" s="467">
        <v>317</v>
      </c>
      <c r="BH1687" s="467">
        <v>325</v>
      </c>
      <c r="BI1687" s="467">
        <v>353</v>
      </c>
      <c r="BJ1687" s="467">
        <v>370</v>
      </c>
      <c r="BK1687" s="467">
        <v>436</v>
      </c>
      <c r="BL1687" s="467">
        <v>456</v>
      </c>
      <c r="BM1687" s="467">
        <v>494</v>
      </c>
      <c r="BN1687" s="467">
        <v>445</v>
      </c>
      <c r="BO1687" s="467">
        <v>474</v>
      </c>
      <c r="BP1687" s="467">
        <v>484</v>
      </c>
      <c r="BQ1687" s="467">
        <v>523</v>
      </c>
      <c r="BR1687" s="467">
        <v>492</v>
      </c>
      <c r="BS1687" s="467">
        <v>546</v>
      </c>
      <c r="BT1687" s="467">
        <v>544</v>
      </c>
      <c r="BU1687" s="467">
        <v>582</v>
      </c>
      <c r="BV1687" s="467">
        <v>524</v>
      </c>
      <c r="BW1687" s="467">
        <v>519</v>
      </c>
      <c r="BX1687" s="467">
        <v>551</v>
      </c>
      <c r="BY1687" s="467">
        <v>529</v>
      </c>
      <c r="BZ1687" s="467">
        <v>489</v>
      </c>
      <c r="CA1687" s="467">
        <v>466</v>
      </c>
      <c r="CB1687" s="467">
        <v>489</v>
      </c>
      <c r="CC1687" s="467">
        <v>477</v>
      </c>
      <c r="CD1687" s="467">
        <v>463</v>
      </c>
      <c r="CE1687" s="467">
        <v>456</v>
      </c>
      <c r="CF1687" s="467">
        <v>448</v>
      </c>
      <c r="CG1687" s="467">
        <v>427</v>
      </c>
      <c r="CH1687" s="467">
        <v>465</v>
      </c>
      <c r="CI1687" s="467">
        <v>476</v>
      </c>
      <c r="CJ1687" s="467">
        <v>488</v>
      </c>
      <c r="CK1687" s="467">
        <v>474</v>
      </c>
      <c r="CL1687" s="467">
        <v>336</v>
      </c>
      <c r="CM1687" s="467">
        <v>344</v>
      </c>
      <c r="CN1687" s="467">
        <v>356</v>
      </c>
      <c r="CO1687" s="467">
        <v>322</v>
      </c>
      <c r="CP1687" s="467">
        <v>249</v>
      </c>
      <c r="CQ1687" s="467">
        <v>225</v>
      </c>
      <c r="CR1687" s="467">
        <v>215</v>
      </c>
      <c r="CS1687" s="467">
        <v>230</v>
      </c>
      <c r="CT1687" s="467">
        <v>174</v>
      </c>
      <c r="CU1687" s="467">
        <v>163</v>
      </c>
      <c r="CV1687" s="467">
        <v>124</v>
      </c>
      <c r="CW1687" s="467">
        <v>97</v>
      </c>
      <c r="CX1687" s="467">
        <v>73</v>
      </c>
      <c r="CY1687" s="467">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7">
        <v>324</v>
      </c>
      <c r="N1688" s="467">
        <v>330</v>
      </c>
      <c r="O1688" s="467">
        <v>336</v>
      </c>
      <c r="P1688" s="467">
        <v>335</v>
      </c>
      <c r="Q1688" s="467">
        <v>319</v>
      </c>
      <c r="R1688" s="467">
        <v>374</v>
      </c>
      <c r="S1688" s="467">
        <v>406</v>
      </c>
      <c r="T1688" s="467">
        <v>392</v>
      </c>
      <c r="U1688" s="467">
        <v>364</v>
      </c>
      <c r="V1688" s="467">
        <v>351</v>
      </c>
      <c r="W1688" s="467">
        <v>355</v>
      </c>
      <c r="X1688" s="467">
        <v>379</v>
      </c>
      <c r="Y1688" s="467">
        <v>408</v>
      </c>
      <c r="Z1688" s="467">
        <v>353</v>
      </c>
      <c r="AA1688" s="467">
        <v>367</v>
      </c>
      <c r="AB1688" s="467">
        <v>373</v>
      </c>
      <c r="AC1688" s="467">
        <v>375</v>
      </c>
      <c r="AD1688" s="467">
        <v>343</v>
      </c>
      <c r="AE1688" s="467">
        <v>298</v>
      </c>
      <c r="AF1688" s="467">
        <v>288</v>
      </c>
      <c r="AG1688" s="467">
        <v>325</v>
      </c>
      <c r="AH1688" s="467">
        <v>284</v>
      </c>
      <c r="AI1688" s="467">
        <v>281</v>
      </c>
      <c r="AJ1688" s="467">
        <v>335</v>
      </c>
      <c r="AK1688" s="467">
        <v>323</v>
      </c>
      <c r="AL1688" s="467">
        <v>328</v>
      </c>
      <c r="AM1688" s="467">
        <v>367</v>
      </c>
      <c r="AN1688" s="467">
        <v>351</v>
      </c>
      <c r="AO1688" s="467">
        <v>332</v>
      </c>
      <c r="AP1688" s="467">
        <v>370</v>
      </c>
      <c r="AQ1688" s="467">
        <v>364</v>
      </c>
      <c r="AR1688" s="467">
        <v>359</v>
      </c>
      <c r="AS1688" s="467">
        <v>386</v>
      </c>
      <c r="AT1688" s="467">
        <v>392</v>
      </c>
      <c r="AU1688" s="467">
        <v>365</v>
      </c>
      <c r="AV1688" s="467">
        <v>390</v>
      </c>
      <c r="AW1688" s="467">
        <v>400</v>
      </c>
      <c r="AX1688" s="467">
        <v>415</v>
      </c>
      <c r="AY1688" s="467">
        <v>443</v>
      </c>
      <c r="AZ1688" s="467">
        <v>404</v>
      </c>
      <c r="BA1688" s="467">
        <v>340</v>
      </c>
      <c r="BB1688" s="467">
        <v>352</v>
      </c>
      <c r="BC1688" s="467">
        <v>383</v>
      </c>
      <c r="BD1688" s="467">
        <v>384</v>
      </c>
      <c r="BE1688" s="467">
        <v>339</v>
      </c>
      <c r="BF1688" s="467">
        <v>282</v>
      </c>
      <c r="BG1688" s="467">
        <v>275</v>
      </c>
      <c r="BH1688" s="467">
        <v>319</v>
      </c>
      <c r="BI1688" s="467">
        <v>327</v>
      </c>
      <c r="BJ1688" s="467">
        <v>293</v>
      </c>
      <c r="BK1688" s="467">
        <v>329</v>
      </c>
      <c r="BL1688" s="467">
        <v>355</v>
      </c>
      <c r="BM1688" s="467">
        <v>387</v>
      </c>
      <c r="BN1688" s="467">
        <v>361</v>
      </c>
      <c r="BO1688" s="467">
        <v>411</v>
      </c>
      <c r="BP1688" s="467">
        <v>384</v>
      </c>
      <c r="BQ1688" s="467">
        <v>380</v>
      </c>
      <c r="BR1688" s="467">
        <v>420</v>
      </c>
      <c r="BS1688" s="467">
        <v>416</v>
      </c>
      <c r="BT1688" s="467">
        <v>425</v>
      </c>
      <c r="BU1688" s="467">
        <v>373</v>
      </c>
      <c r="BV1688" s="467">
        <v>394</v>
      </c>
      <c r="BW1688" s="467">
        <v>360</v>
      </c>
      <c r="BX1688" s="467">
        <v>376</v>
      </c>
      <c r="BY1688" s="467">
        <v>402</v>
      </c>
      <c r="BZ1688" s="467">
        <v>387</v>
      </c>
      <c r="CA1688" s="467">
        <v>318</v>
      </c>
      <c r="CB1688" s="467">
        <v>301</v>
      </c>
      <c r="CC1688" s="467">
        <v>292</v>
      </c>
      <c r="CD1688" s="467">
        <v>317</v>
      </c>
      <c r="CE1688" s="467">
        <v>281</v>
      </c>
      <c r="CF1688" s="467">
        <v>286</v>
      </c>
      <c r="CG1688" s="467">
        <v>288</v>
      </c>
      <c r="CH1688" s="467">
        <v>267</v>
      </c>
      <c r="CI1688" s="467">
        <v>309</v>
      </c>
      <c r="CJ1688" s="467">
        <v>297</v>
      </c>
      <c r="CK1688" s="467">
        <v>242</v>
      </c>
      <c r="CL1688" s="467">
        <v>195</v>
      </c>
      <c r="CM1688" s="467">
        <v>213</v>
      </c>
      <c r="CN1688" s="467">
        <v>203</v>
      </c>
      <c r="CO1688" s="467">
        <v>177</v>
      </c>
      <c r="CP1688" s="467">
        <v>164</v>
      </c>
      <c r="CQ1688" s="467">
        <v>109</v>
      </c>
      <c r="CR1688" s="467">
        <v>113</v>
      </c>
      <c r="CS1688" s="467">
        <v>109</v>
      </c>
      <c r="CT1688" s="467">
        <v>113</v>
      </c>
      <c r="CU1688" s="467">
        <v>76</v>
      </c>
      <c r="CV1688" s="467">
        <v>61</v>
      </c>
      <c r="CW1688" s="467">
        <v>67</v>
      </c>
      <c r="CX1688" s="467">
        <v>42</v>
      </c>
      <c r="CY1688" s="467">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7">
        <v>354</v>
      </c>
      <c r="N1689" s="467">
        <v>391</v>
      </c>
      <c r="O1689" s="467">
        <v>411</v>
      </c>
      <c r="P1689" s="467">
        <v>441</v>
      </c>
      <c r="Q1689" s="467">
        <v>402</v>
      </c>
      <c r="R1689" s="467">
        <v>455</v>
      </c>
      <c r="S1689" s="467">
        <v>488</v>
      </c>
      <c r="T1689" s="467">
        <v>496</v>
      </c>
      <c r="U1689" s="467">
        <v>504</v>
      </c>
      <c r="V1689" s="467">
        <v>507</v>
      </c>
      <c r="W1689" s="467">
        <v>510</v>
      </c>
      <c r="X1689" s="467">
        <v>540</v>
      </c>
      <c r="Y1689" s="467">
        <v>542</v>
      </c>
      <c r="Z1689" s="467">
        <v>520</v>
      </c>
      <c r="AA1689" s="467">
        <v>570</v>
      </c>
      <c r="AB1689" s="467">
        <v>571</v>
      </c>
      <c r="AC1689" s="467">
        <v>576</v>
      </c>
      <c r="AD1689" s="467">
        <v>517</v>
      </c>
      <c r="AE1689" s="467">
        <v>509</v>
      </c>
      <c r="AF1689" s="467">
        <v>359</v>
      </c>
      <c r="AG1689" s="467">
        <v>271</v>
      </c>
      <c r="AH1689" s="467">
        <v>359</v>
      </c>
      <c r="AI1689" s="467">
        <v>389</v>
      </c>
      <c r="AJ1689" s="467">
        <v>436</v>
      </c>
      <c r="AK1689" s="467">
        <v>476</v>
      </c>
      <c r="AL1689" s="467">
        <v>433</v>
      </c>
      <c r="AM1689" s="467">
        <v>508</v>
      </c>
      <c r="AN1689" s="467">
        <v>469</v>
      </c>
      <c r="AO1689" s="467">
        <v>470</v>
      </c>
      <c r="AP1689" s="467">
        <v>490</v>
      </c>
      <c r="AQ1689" s="467">
        <v>454</v>
      </c>
      <c r="AR1689" s="467">
        <v>531</v>
      </c>
      <c r="AS1689" s="467">
        <v>565</v>
      </c>
      <c r="AT1689" s="467">
        <v>516</v>
      </c>
      <c r="AU1689" s="467">
        <v>515</v>
      </c>
      <c r="AV1689" s="467">
        <v>485</v>
      </c>
      <c r="AW1689" s="467">
        <v>515</v>
      </c>
      <c r="AX1689" s="467">
        <v>481</v>
      </c>
      <c r="AY1689" s="467">
        <v>486</v>
      </c>
      <c r="AZ1689" s="467">
        <v>500</v>
      </c>
      <c r="BA1689" s="467">
        <v>512</v>
      </c>
      <c r="BB1689" s="467">
        <v>485</v>
      </c>
      <c r="BC1689" s="467">
        <v>470</v>
      </c>
      <c r="BD1689" s="467">
        <v>519</v>
      </c>
      <c r="BE1689" s="467">
        <v>521</v>
      </c>
      <c r="BF1689" s="467">
        <v>468</v>
      </c>
      <c r="BG1689" s="467">
        <v>528</v>
      </c>
      <c r="BH1689" s="467">
        <v>501</v>
      </c>
      <c r="BI1689" s="467">
        <v>548</v>
      </c>
      <c r="BJ1689" s="467">
        <v>544</v>
      </c>
      <c r="BK1689" s="467">
        <v>606</v>
      </c>
      <c r="BL1689" s="467">
        <v>670</v>
      </c>
      <c r="BM1689" s="467">
        <v>705</v>
      </c>
      <c r="BN1689" s="467">
        <v>652</v>
      </c>
      <c r="BO1689" s="467">
        <v>695</v>
      </c>
      <c r="BP1689" s="467">
        <v>766</v>
      </c>
      <c r="BQ1689" s="467">
        <v>752</v>
      </c>
      <c r="BR1689" s="467">
        <v>781</v>
      </c>
      <c r="BS1689" s="467">
        <v>754</v>
      </c>
      <c r="BT1689" s="467">
        <v>756</v>
      </c>
      <c r="BU1689" s="467">
        <v>776</v>
      </c>
      <c r="BV1689" s="467">
        <v>719</v>
      </c>
      <c r="BW1689" s="467">
        <v>715</v>
      </c>
      <c r="BX1689" s="467">
        <v>664</v>
      </c>
      <c r="BY1689" s="467">
        <v>631</v>
      </c>
      <c r="BZ1689" s="467">
        <v>679</v>
      </c>
      <c r="CA1689" s="467">
        <v>623</v>
      </c>
      <c r="CB1689" s="467">
        <v>575</v>
      </c>
      <c r="CC1689" s="467">
        <v>599</v>
      </c>
      <c r="CD1689" s="467">
        <v>561</v>
      </c>
      <c r="CE1689" s="467">
        <v>597</v>
      </c>
      <c r="CF1689" s="467">
        <v>600</v>
      </c>
      <c r="CG1689" s="467">
        <v>564</v>
      </c>
      <c r="CH1689" s="467">
        <v>619</v>
      </c>
      <c r="CI1689" s="467">
        <v>586</v>
      </c>
      <c r="CJ1689" s="467">
        <v>582</v>
      </c>
      <c r="CK1689" s="467">
        <v>641</v>
      </c>
      <c r="CL1689" s="467">
        <v>477</v>
      </c>
      <c r="CM1689" s="467">
        <v>455</v>
      </c>
      <c r="CN1689" s="467">
        <v>468</v>
      </c>
      <c r="CO1689" s="467">
        <v>410</v>
      </c>
      <c r="CP1689" s="467">
        <v>349</v>
      </c>
      <c r="CQ1689" s="467">
        <v>293</v>
      </c>
      <c r="CR1689" s="467">
        <v>318</v>
      </c>
      <c r="CS1689" s="467">
        <v>263</v>
      </c>
      <c r="CT1689" s="467">
        <v>221</v>
      </c>
      <c r="CU1689" s="467">
        <v>198</v>
      </c>
      <c r="CV1689" s="467">
        <v>191</v>
      </c>
      <c r="CW1689" s="467">
        <v>149</v>
      </c>
      <c r="CX1689" s="467">
        <v>137</v>
      </c>
      <c r="CY1689" s="467">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7">
        <v>619</v>
      </c>
      <c r="N1690" s="467">
        <v>647</v>
      </c>
      <c r="O1690" s="467">
        <v>662</v>
      </c>
      <c r="P1690" s="467">
        <v>656</v>
      </c>
      <c r="Q1690" s="467">
        <v>714</v>
      </c>
      <c r="R1690" s="467">
        <v>779</v>
      </c>
      <c r="S1690" s="467">
        <v>782</v>
      </c>
      <c r="T1690" s="467">
        <v>821</v>
      </c>
      <c r="U1690" s="467">
        <v>822</v>
      </c>
      <c r="V1690" s="467">
        <v>830</v>
      </c>
      <c r="W1690" s="467">
        <v>797</v>
      </c>
      <c r="X1690" s="467">
        <v>927</v>
      </c>
      <c r="Y1690" s="467">
        <v>928</v>
      </c>
      <c r="Z1690" s="467">
        <v>867</v>
      </c>
      <c r="AA1690" s="467">
        <v>870</v>
      </c>
      <c r="AB1690" s="467">
        <v>876</v>
      </c>
      <c r="AC1690" s="467">
        <v>850</v>
      </c>
      <c r="AD1690" s="467">
        <v>858</v>
      </c>
      <c r="AE1690" s="467">
        <v>1006</v>
      </c>
      <c r="AF1690" s="467">
        <v>1747</v>
      </c>
      <c r="AG1690" s="467">
        <v>932</v>
      </c>
      <c r="AH1690" s="467">
        <v>866</v>
      </c>
      <c r="AI1690" s="467">
        <v>586</v>
      </c>
      <c r="AJ1690" s="467">
        <v>608</v>
      </c>
      <c r="AK1690" s="467">
        <v>672</v>
      </c>
      <c r="AL1690" s="467">
        <v>707</v>
      </c>
      <c r="AM1690" s="467">
        <v>788</v>
      </c>
      <c r="AN1690" s="467">
        <v>800</v>
      </c>
      <c r="AO1690" s="467">
        <v>814</v>
      </c>
      <c r="AP1690" s="467">
        <v>799</v>
      </c>
      <c r="AQ1690" s="467">
        <v>859</v>
      </c>
      <c r="AR1690" s="467">
        <v>911</v>
      </c>
      <c r="AS1690" s="467">
        <v>868</v>
      </c>
      <c r="AT1690" s="467">
        <v>869</v>
      </c>
      <c r="AU1690" s="467">
        <v>859</v>
      </c>
      <c r="AV1690" s="467">
        <v>835</v>
      </c>
      <c r="AW1690" s="467">
        <v>847</v>
      </c>
      <c r="AX1690" s="467">
        <v>917</v>
      </c>
      <c r="AY1690" s="467">
        <v>882</v>
      </c>
      <c r="AZ1690" s="467">
        <v>884</v>
      </c>
      <c r="BA1690" s="467">
        <v>840</v>
      </c>
      <c r="BB1690" s="467">
        <v>830</v>
      </c>
      <c r="BC1690" s="467">
        <v>824</v>
      </c>
      <c r="BD1690" s="467">
        <v>817</v>
      </c>
      <c r="BE1690" s="467">
        <v>864</v>
      </c>
      <c r="BF1690" s="467">
        <v>816</v>
      </c>
      <c r="BG1690" s="467">
        <v>750</v>
      </c>
      <c r="BH1690" s="467">
        <v>734</v>
      </c>
      <c r="BI1690" s="467">
        <v>817</v>
      </c>
      <c r="BJ1690" s="467">
        <v>770</v>
      </c>
      <c r="BK1690" s="467">
        <v>857</v>
      </c>
      <c r="BL1690" s="467">
        <v>860</v>
      </c>
      <c r="BM1690" s="467">
        <v>958</v>
      </c>
      <c r="BN1690" s="467">
        <v>900</v>
      </c>
      <c r="BO1690" s="467">
        <v>942</v>
      </c>
      <c r="BP1690" s="467">
        <v>998</v>
      </c>
      <c r="BQ1690" s="467">
        <v>956</v>
      </c>
      <c r="BR1690" s="467">
        <v>991</v>
      </c>
      <c r="BS1690" s="467">
        <v>999</v>
      </c>
      <c r="BT1690" s="467">
        <v>1046</v>
      </c>
      <c r="BU1690" s="467">
        <v>982</v>
      </c>
      <c r="BV1690" s="467">
        <v>965</v>
      </c>
      <c r="BW1690" s="467">
        <v>934</v>
      </c>
      <c r="BX1690" s="467">
        <v>956</v>
      </c>
      <c r="BY1690" s="467">
        <v>878</v>
      </c>
      <c r="BZ1690" s="467">
        <v>985</v>
      </c>
      <c r="CA1690" s="467">
        <v>869</v>
      </c>
      <c r="CB1690" s="467">
        <v>790</v>
      </c>
      <c r="CC1690" s="467">
        <v>786</v>
      </c>
      <c r="CD1690" s="467">
        <v>774</v>
      </c>
      <c r="CE1690" s="467">
        <v>795</v>
      </c>
      <c r="CF1690" s="467">
        <v>752</v>
      </c>
      <c r="CG1690" s="467">
        <v>699</v>
      </c>
      <c r="CH1690" s="467">
        <v>763</v>
      </c>
      <c r="CI1690" s="467">
        <v>726</v>
      </c>
      <c r="CJ1690" s="467">
        <v>807</v>
      </c>
      <c r="CK1690" s="467">
        <v>778</v>
      </c>
      <c r="CL1690" s="467">
        <v>554</v>
      </c>
      <c r="CM1690" s="467">
        <v>548</v>
      </c>
      <c r="CN1690" s="467">
        <v>529</v>
      </c>
      <c r="CO1690" s="467">
        <v>478</v>
      </c>
      <c r="CP1690" s="467">
        <v>413</v>
      </c>
      <c r="CQ1690" s="467">
        <v>336</v>
      </c>
      <c r="CR1690" s="467">
        <v>345</v>
      </c>
      <c r="CS1690" s="467">
        <v>292</v>
      </c>
      <c r="CT1690" s="467">
        <v>260</v>
      </c>
      <c r="CU1690" s="467">
        <v>231</v>
      </c>
      <c r="CV1690" s="467">
        <v>207</v>
      </c>
      <c r="CW1690" s="467">
        <v>150</v>
      </c>
      <c r="CX1690" s="467">
        <v>147</v>
      </c>
      <c r="CY1690" s="467">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7">
        <v>935</v>
      </c>
      <c r="N1691" s="467">
        <v>1016</v>
      </c>
      <c r="O1691" s="467">
        <v>1007</v>
      </c>
      <c r="P1691" s="467">
        <v>1009</v>
      </c>
      <c r="Q1691" s="467">
        <v>1067</v>
      </c>
      <c r="R1691" s="467">
        <v>1039</v>
      </c>
      <c r="S1691" s="467">
        <v>1035</v>
      </c>
      <c r="T1691" s="467">
        <v>1224</v>
      </c>
      <c r="U1691" s="467">
        <v>1104</v>
      </c>
      <c r="V1691" s="467">
        <v>1054</v>
      </c>
      <c r="W1691" s="467">
        <v>1100</v>
      </c>
      <c r="X1691" s="467">
        <v>1042</v>
      </c>
      <c r="Y1691" s="467">
        <v>1081</v>
      </c>
      <c r="Z1691" s="467">
        <v>1049</v>
      </c>
      <c r="AA1691" s="467">
        <v>1137</v>
      </c>
      <c r="AB1691" s="467">
        <v>1129</v>
      </c>
      <c r="AC1691" s="467">
        <v>958</v>
      </c>
      <c r="AD1691" s="467">
        <v>957</v>
      </c>
      <c r="AE1691" s="467">
        <v>959</v>
      </c>
      <c r="AF1691" s="467">
        <v>850</v>
      </c>
      <c r="AG1691" s="467">
        <v>751</v>
      </c>
      <c r="AH1691" s="467">
        <v>735</v>
      </c>
      <c r="AI1691" s="467">
        <v>769</v>
      </c>
      <c r="AJ1691" s="467">
        <v>894</v>
      </c>
      <c r="AK1691" s="467">
        <v>1005</v>
      </c>
      <c r="AL1691" s="467">
        <v>1025</v>
      </c>
      <c r="AM1691" s="467">
        <v>1092</v>
      </c>
      <c r="AN1691" s="467">
        <v>1091</v>
      </c>
      <c r="AO1691" s="467">
        <v>1099</v>
      </c>
      <c r="AP1691" s="467">
        <v>1142</v>
      </c>
      <c r="AQ1691" s="467">
        <v>1308</v>
      </c>
      <c r="AR1691" s="467">
        <v>1286</v>
      </c>
      <c r="AS1691" s="467">
        <v>1324</v>
      </c>
      <c r="AT1691" s="467">
        <v>1217</v>
      </c>
      <c r="AU1691" s="467">
        <v>1325</v>
      </c>
      <c r="AV1691" s="467">
        <v>1387</v>
      </c>
      <c r="AW1691" s="467">
        <v>1245</v>
      </c>
      <c r="AX1691" s="467">
        <v>1190</v>
      </c>
      <c r="AY1691" s="467">
        <v>1291</v>
      </c>
      <c r="AZ1691" s="467">
        <v>1168</v>
      </c>
      <c r="BA1691" s="467">
        <v>1049</v>
      </c>
      <c r="BB1691" s="467">
        <v>1062</v>
      </c>
      <c r="BC1691" s="467">
        <v>1069</v>
      </c>
      <c r="BD1691" s="467">
        <v>1123</v>
      </c>
      <c r="BE1691" s="467">
        <v>1050</v>
      </c>
      <c r="BF1691" s="467">
        <v>962</v>
      </c>
      <c r="BG1691" s="467">
        <v>915</v>
      </c>
      <c r="BH1691" s="467">
        <v>925</v>
      </c>
      <c r="BI1691" s="467">
        <v>956</v>
      </c>
      <c r="BJ1691" s="467">
        <v>945</v>
      </c>
      <c r="BK1691" s="467">
        <v>1005</v>
      </c>
      <c r="BL1691" s="467">
        <v>980</v>
      </c>
      <c r="BM1691" s="467">
        <v>1087</v>
      </c>
      <c r="BN1691" s="467">
        <v>1072</v>
      </c>
      <c r="BO1691" s="467">
        <v>1118</v>
      </c>
      <c r="BP1691" s="467">
        <v>929</v>
      </c>
      <c r="BQ1691" s="467">
        <v>1068</v>
      </c>
      <c r="BR1691" s="467">
        <v>1043</v>
      </c>
      <c r="BS1691" s="467">
        <v>1035</v>
      </c>
      <c r="BT1691" s="467">
        <v>1016</v>
      </c>
      <c r="BU1691" s="467">
        <v>1017</v>
      </c>
      <c r="BV1691" s="467">
        <v>915</v>
      </c>
      <c r="BW1691" s="467">
        <v>967</v>
      </c>
      <c r="BX1691" s="467">
        <v>878</v>
      </c>
      <c r="BY1691" s="467">
        <v>955</v>
      </c>
      <c r="BZ1691" s="467">
        <v>826</v>
      </c>
      <c r="CA1691" s="467">
        <v>782</v>
      </c>
      <c r="CB1691" s="467">
        <v>662</v>
      </c>
      <c r="CC1691" s="467">
        <v>663</v>
      </c>
      <c r="CD1691" s="467">
        <v>706</v>
      </c>
      <c r="CE1691" s="467">
        <v>734</v>
      </c>
      <c r="CF1691" s="467">
        <v>662</v>
      </c>
      <c r="CG1691" s="467">
        <v>588</v>
      </c>
      <c r="CH1691" s="467">
        <v>632</v>
      </c>
      <c r="CI1691" s="467">
        <v>601</v>
      </c>
      <c r="CJ1691" s="467">
        <v>678</v>
      </c>
      <c r="CK1691" s="467">
        <v>722</v>
      </c>
      <c r="CL1691" s="467">
        <v>491</v>
      </c>
      <c r="CM1691" s="467">
        <v>489</v>
      </c>
      <c r="CN1691" s="467">
        <v>471</v>
      </c>
      <c r="CO1691" s="467">
        <v>428</v>
      </c>
      <c r="CP1691" s="467">
        <v>358</v>
      </c>
      <c r="CQ1691" s="467">
        <v>296</v>
      </c>
      <c r="CR1691" s="467">
        <v>291</v>
      </c>
      <c r="CS1691" s="467">
        <v>281</v>
      </c>
      <c r="CT1691" s="467">
        <v>226</v>
      </c>
      <c r="CU1691" s="467">
        <v>209</v>
      </c>
      <c r="CV1691" s="467">
        <v>199</v>
      </c>
      <c r="CW1691" s="467">
        <v>141</v>
      </c>
      <c r="CX1691" s="467">
        <v>118</v>
      </c>
      <c r="CY1691" s="467">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7">
        <v>527</v>
      </c>
      <c r="N1692" s="467">
        <v>557</v>
      </c>
      <c r="O1692" s="467">
        <v>555</v>
      </c>
      <c r="P1692" s="467">
        <v>581</v>
      </c>
      <c r="Q1692" s="467">
        <v>606</v>
      </c>
      <c r="R1692" s="467">
        <v>651</v>
      </c>
      <c r="S1692" s="467">
        <v>642</v>
      </c>
      <c r="T1692" s="467">
        <v>679</v>
      </c>
      <c r="U1692" s="467">
        <v>704</v>
      </c>
      <c r="V1692" s="467">
        <v>714</v>
      </c>
      <c r="W1692" s="467">
        <v>705</v>
      </c>
      <c r="X1692" s="467">
        <v>709</v>
      </c>
      <c r="Y1692" s="467">
        <v>757</v>
      </c>
      <c r="Z1692" s="467">
        <v>735</v>
      </c>
      <c r="AA1692" s="467">
        <v>698</v>
      </c>
      <c r="AB1692" s="467">
        <v>780</v>
      </c>
      <c r="AC1692" s="467">
        <v>696</v>
      </c>
      <c r="AD1692" s="467">
        <v>764</v>
      </c>
      <c r="AE1692" s="467">
        <v>721</v>
      </c>
      <c r="AF1692" s="467">
        <v>587</v>
      </c>
      <c r="AG1692" s="467">
        <v>490</v>
      </c>
      <c r="AH1692" s="467">
        <v>500</v>
      </c>
      <c r="AI1692" s="467">
        <v>596</v>
      </c>
      <c r="AJ1692" s="467">
        <v>641</v>
      </c>
      <c r="AK1692" s="467">
        <v>603</v>
      </c>
      <c r="AL1692" s="467">
        <v>650</v>
      </c>
      <c r="AM1692" s="467">
        <v>669</v>
      </c>
      <c r="AN1692" s="467">
        <v>616</v>
      </c>
      <c r="AO1692" s="467">
        <v>532</v>
      </c>
      <c r="AP1692" s="467">
        <v>583</v>
      </c>
      <c r="AQ1692" s="467">
        <v>655</v>
      </c>
      <c r="AR1692" s="467">
        <v>732</v>
      </c>
      <c r="AS1692" s="467">
        <v>702</v>
      </c>
      <c r="AT1692" s="467">
        <v>647</v>
      </c>
      <c r="AU1692" s="467">
        <v>607</v>
      </c>
      <c r="AV1692" s="467">
        <v>714</v>
      </c>
      <c r="AW1692" s="467">
        <v>658</v>
      </c>
      <c r="AX1692" s="467">
        <v>651</v>
      </c>
      <c r="AY1692" s="467">
        <v>619</v>
      </c>
      <c r="AZ1692" s="467">
        <v>628</v>
      </c>
      <c r="BA1692" s="467">
        <v>616</v>
      </c>
      <c r="BB1692" s="467">
        <v>626</v>
      </c>
      <c r="BC1692" s="467">
        <v>619</v>
      </c>
      <c r="BD1692" s="467">
        <v>667</v>
      </c>
      <c r="BE1692" s="467">
        <v>608</v>
      </c>
      <c r="BF1692" s="467">
        <v>582</v>
      </c>
      <c r="BG1692" s="467">
        <v>557</v>
      </c>
      <c r="BH1692" s="467">
        <v>583</v>
      </c>
      <c r="BI1692" s="467">
        <v>621</v>
      </c>
      <c r="BJ1692" s="467">
        <v>660</v>
      </c>
      <c r="BK1692" s="467">
        <v>725</v>
      </c>
      <c r="BL1692" s="467">
        <v>748</v>
      </c>
      <c r="BM1692" s="467">
        <v>771</v>
      </c>
      <c r="BN1692" s="467">
        <v>821</v>
      </c>
      <c r="BO1692" s="467">
        <v>820</v>
      </c>
      <c r="BP1692" s="467">
        <v>859</v>
      </c>
      <c r="BQ1692" s="467">
        <v>918</v>
      </c>
      <c r="BR1692" s="467">
        <v>929</v>
      </c>
      <c r="BS1692" s="467">
        <v>940</v>
      </c>
      <c r="BT1692" s="467">
        <v>906</v>
      </c>
      <c r="BU1692" s="467">
        <v>1025</v>
      </c>
      <c r="BV1692" s="467">
        <v>987</v>
      </c>
      <c r="BW1692" s="467">
        <v>922</v>
      </c>
      <c r="BX1692" s="467">
        <v>902</v>
      </c>
      <c r="BY1692" s="467">
        <v>979</v>
      </c>
      <c r="BZ1692" s="467">
        <v>904</v>
      </c>
      <c r="CA1692" s="467">
        <v>858</v>
      </c>
      <c r="CB1692" s="467">
        <v>861</v>
      </c>
      <c r="CC1692" s="467">
        <v>859</v>
      </c>
      <c r="CD1692" s="467">
        <v>881</v>
      </c>
      <c r="CE1692" s="467">
        <v>858</v>
      </c>
      <c r="CF1692" s="467">
        <v>788</v>
      </c>
      <c r="CG1692" s="467">
        <v>819</v>
      </c>
      <c r="CH1692" s="467">
        <v>819</v>
      </c>
      <c r="CI1692" s="467">
        <v>769</v>
      </c>
      <c r="CJ1692" s="467">
        <v>808</v>
      </c>
      <c r="CK1692" s="467">
        <v>861</v>
      </c>
      <c r="CL1692" s="467">
        <v>588</v>
      </c>
      <c r="CM1692" s="467">
        <v>613</v>
      </c>
      <c r="CN1692" s="467">
        <v>589</v>
      </c>
      <c r="CO1692" s="467">
        <v>511</v>
      </c>
      <c r="CP1692" s="467">
        <v>462</v>
      </c>
      <c r="CQ1692" s="467">
        <v>433</v>
      </c>
      <c r="CR1692" s="467">
        <v>384</v>
      </c>
      <c r="CS1692" s="467">
        <v>345</v>
      </c>
      <c r="CT1692" s="467">
        <v>297</v>
      </c>
      <c r="CU1692" s="467">
        <v>234</v>
      </c>
      <c r="CV1692" s="467">
        <v>223</v>
      </c>
      <c r="CW1692" s="467">
        <v>188</v>
      </c>
      <c r="CX1692" s="467">
        <v>113</v>
      </c>
      <c r="CY1692" s="467">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7">
        <v>500</v>
      </c>
      <c r="N1693" s="467">
        <v>567</v>
      </c>
      <c r="O1693" s="467">
        <v>567</v>
      </c>
      <c r="P1693" s="467">
        <v>565</v>
      </c>
      <c r="Q1693" s="467">
        <v>628</v>
      </c>
      <c r="R1693" s="467">
        <v>679</v>
      </c>
      <c r="S1693" s="467">
        <v>663</v>
      </c>
      <c r="T1693" s="467">
        <v>649</v>
      </c>
      <c r="U1693" s="467">
        <v>706</v>
      </c>
      <c r="V1693" s="467">
        <v>704</v>
      </c>
      <c r="W1693" s="467">
        <v>721</v>
      </c>
      <c r="X1693" s="467">
        <v>696</v>
      </c>
      <c r="Y1693" s="467">
        <v>721</v>
      </c>
      <c r="Z1693" s="467">
        <v>714</v>
      </c>
      <c r="AA1693" s="467">
        <v>729</v>
      </c>
      <c r="AB1693" s="467">
        <v>832</v>
      </c>
      <c r="AC1693" s="467">
        <v>724</v>
      </c>
      <c r="AD1693" s="467">
        <v>726</v>
      </c>
      <c r="AE1693" s="467">
        <v>743</v>
      </c>
      <c r="AF1693" s="467">
        <v>546</v>
      </c>
      <c r="AG1693" s="467">
        <v>499</v>
      </c>
      <c r="AH1693" s="467">
        <v>488</v>
      </c>
      <c r="AI1693" s="467">
        <v>542</v>
      </c>
      <c r="AJ1693" s="467">
        <v>618</v>
      </c>
      <c r="AK1693" s="467">
        <v>731</v>
      </c>
      <c r="AL1693" s="467">
        <v>629</v>
      </c>
      <c r="AM1693" s="467">
        <v>657</v>
      </c>
      <c r="AN1693" s="467">
        <v>702</v>
      </c>
      <c r="AO1693" s="467">
        <v>637</v>
      </c>
      <c r="AP1693" s="467">
        <v>685</v>
      </c>
      <c r="AQ1693" s="467">
        <v>668</v>
      </c>
      <c r="AR1693" s="467">
        <v>675</v>
      </c>
      <c r="AS1693" s="467">
        <v>697</v>
      </c>
      <c r="AT1693" s="467">
        <v>686</v>
      </c>
      <c r="AU1693" s="467">
        <v>676</v>
      </c>
      <c r="AV1693" s="467">
        <v>708</v>
      </c>
      <c r="AW1693" s="467">
        <v>618</v>
      </c>
      <c r="AX1693" s="467">
        <v>646</v>
      </c>
      <c r="AY1693" s="467">
        <v>707</v>
      </c>
      <c r="AZ1693" s="467">
        <v>646</v>
      </c>
      <c r="BA1693" s="467">
        <v>628</v>
      </c>
      <c r="BB1693" s="467">
        <v>688</v>
      </c>
      <c r="BC1693" s="467">
        <v>664</v>
      </c>
      <c r="BD1693" s="467">
        <v>683</v>
      </c>
      <c r="BE1693" s="467">
        <v>662</v>
      </c>
      <c r="BF1693" s="467">
        <v>629</v>
      </c>
      <c r="BG1693" s="467">
        <v>651</v>
      </c>
      <c r="BH1693" s="467">
        <v>664</v>
      </c>
      <c r="BI1693" s="467">
        <v>737</v>
      </c>
      <c r="BJ1693" s="467">
        <v>727</v>
      </c>
      <c r="BK1693" s="467">
        <v>742</v>
      </c>
      <c r="BL1693" s="467">
        <v>939</v>
      </c>
      <c r="BM1693" s="467">
        <v>931</v>
      </c>
      <c r="BN1693" s="467">
        <v>885</v>
      </c>
      <c r="BO1693" s="467">
        <v>995</v>
      </c>
      <c r="BP1693" s="467">
        <v>947</v>
      </c>
      <c r="BQ1693" s="467">
        <v>1071</v>
      </c>
      <c r="BR1693" s="467">
        <v>1051</v>
      </c>
      <c r="BS1693" s="467">
        <v>1105</v>
      </c>
      <c r="BT1693" s="467">
        <v>1052</v>
      </c>
      <c r="BU1693" s="467">
        <v>1097</v>
      </c>
      <c r="BV1693" s="467">
        <v>1105</v>
      </c>
      <c r="BW1693" s="467">
        <v>1093</v>
      </c>
      <c r="BX1693" s="467">
        <v>1092</v>
      </c>
      <c r="BY1693" s="467">
        <v>1073</v>
      </c>
      <c r="BZ1693" s="467">
        <v>974</v>
      </c>
      <c r="CA1693" s="467">
        <v>1011</v>
      </c>
      <c r="CB1693" s="467">
        <v>1034</v>
      </c>
      <c r="CC1693" s="467">
        <v>919</v>
      </c>
      <c r="CD1693" s="467">
        <v>973</v>
      </c>
      <c r="CE1693" s="467">
        <v>971</v>
      </c>
      <c r="CF1693" s="467">
        <v>935</v>
      </c>
      <c r="CG1693" s="467">
        <v>898</v>
      </c>
      <c r="CH1693" s="467">
        <v>940</v>
      </c>
      <c r="CI1693" s="467">
        <v>949</v>
      </c>
      <c r="CJ1693" s="467">
        <v>1019</v>
      </c>
      <c r="CK1693" s="467">
        <v>991</v>
      </c>
      <c r="CL1693" s="467">
        <v>736</v>
      </c>
      <c r="CM1693" s="467">
        <v>674</v>
      </c>
      <c r="CN1693" s="467">
        <v>776</v>
      </c>
      <c r="CO1693" s="467">
        <v>629</v>
      </c>
      <c r="CP1693" s="467">
        <v>531</v>
      </c>
      <c r="CQ1693" s="467">
        <v>455</v>
      </c>
      <c r="CR1693" s="467">
        <v>447</v>
      </c>
      <c r="CS1693" s="467">
        <v>377</v>
      </c>
      <c r="CT1693" s="467">
        <v>377</v>
      </c>
      <c r="CU1693" s="467">
        <v>326</v>
      </c>
      <c r="CV1693" s="467">
        <v>256</v>
      </c>
      <c r="CW1693" s="467">
        <v>251</v>
      </c>
      <c r="CX1693" s="467">
        <v>205</v>
      </c>
      <c r="CY1693" s="467">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7">
        <v>1140</v>
      </c>
      <c r="N1694" s="467">
        <v>1193</v>
      </c>
      <c r="O1694" s="467">
        <v>1210</v>
      </c>
      <c r="P1694" s="467">
        <v>1259</v>
      </c>
      <c r="Q1694" s="467">
        <v>1323</v>
      </c>
      <c r="R1694" s="467">
        <v>1394</v>
      </c>
      <c r="S1694" s="467">
        <v>1347</v>
      </c>
      <c r="T1694" s="467">
        <v>1353</v>
      </c>
      <c r="U1694" s="467">
        <v>1441</v>
      </c>
      <c r="V1694" s="467">
        <v>1459</v>
      </c>
      <c r="W1694" s="467">
        <v>1469</v>
      </c>
      <c r="X1694" s="467">
        <v>1475</v>
      </c>
      <c r="Y1694" s="467">
        <v>1526</v>
      </c>
      <c r="Z1694" s="467">
        <v>1426</v>
      </c>
      <c r="AA1694" s="467">
        <v>1603</v>
      </c>
      <c r="AB1694" s="467">
        <v>1474</v>
      </c>
      <c r="AC1694" s="467">
        <v>1488</v>
      </c>
      <c r="AD1694" s="467">
        <v>1401</v>
      </c>
      <c r="AE1694" s="467">
        <v>1439</v>
      </c>
      <c r="AF1694" s="467">
        <v>1327</v>
      </c>
      <c r="AG1694" s="467">
        <v>1440</v>
      </c>
      <c r="AH1694" s="467">
        <v>1440</v>
      </c>
      <c r="AI1694" s="467">
        <v>1500</v>
      </c>
      <c r="AJ1694" s="467">
        <v>1367</v>
      </c>
      <c r="AK1694" s="467">
        <v>1559</v>
      </c>
      <c r="AL1694" s="467">
        <v>1408</v>
      </c>
      <c r="AM1694" s="467">
        <v>1581</v>
      </c>
      <c r="AN1694" s="467">
        <v>1460</v>
      </c>
      <c r="AO1694" s="467">
        <v>1582</v>
      </c>
      <c r="AP1694" s="467">
        <v>1538</v>
      </c>
      <c r="AQ1694" s="467">
        <v>1616</v>
      </c>
      <c r="AR1694" s="467">
        <v>1610</v>
      </c>
      <c r="AS1694" s="467">
        <v>1537</v>
      </c>
      <c r="AT1694" s="467">
        <v>1739</v>
      </c>
      <c r="AU1694" s="467">
        <v>1696</v>
      </c>
      <c r="AV1694" s="467">
        <v>1559</v>
      </c>
      <c r="AW1694" s="467">
        <v>1589</v>
      </c>
      <c r="AX1694" s="467">
        <v>1564</v>
      </c>
      <c r="AY1694" s="467">
        <v>1593</v>
      </c>
      <c r="AZ1694" s="467">
        <v>1551</v>
      </c>
      <c r="BA1694" s="467">
        <v>1502</v>
      </c>
      <c r="BB1694" s="467">
        <v>1496</v>
      </c>
      <c r="BC1694" s="467">
        <v>1401</v>
      </c>
      <c r="BD1694" s="467">
        <v>1480</v>
      </c>
      <c r="BE1694" s="467">
        <v>1460</v>
      </c>
      <c r="BF1694" s="467">
        <v>1318</v>
      </c>
      <c r="BG1694" s="467">
        <v>1264</v>
      </c>
      <c r="BH1694" s="467">
        <v>1238</v>
      </c>
      <c r="BI1694" s="467">
        <v>1355</v>
      </c>
      <c r="BJ1694" s="467">
        <v>1271</v>
      </c>
      <c r="BK1694" s="467">
        <v>1523</v>
      </c>
      <c r="BL1694" s="467">
        <v>1620</v>
      </c>
      <c r="BM1694" s="467">
        <v>1690</v>
      </c>
      <c r="BN1694" s="467">
        <v>1562</v>
      </c>
      <c r="BO1694" s="467">
        <v>1621</v>
      </c>
      <c r="BP1694" s="467">
        <v>1659</v>
      </c>
      <c r="BQ1694" s="467">
        <v>1650</v>
      </c>
      <c r="BR1694" s="467">
        <v>1681</v>
      </c>
      <c r="BS1694" s="467">
        <v>1724</v>
      </c>
      <c r="BT1694" s="467">
        <v>1621</v>
      </c>
      <c r="BU1694" s="467">
        <v>1572</v>
      </c>
      <c r="BV1694" s="467">
        <v>1600</v>
      </c>
      <c r="BW1694" s="467">
        <v>1483</v>
      </c>
      <c r="BX1694" s="467">
        <v>1337</v>
      </c>
      <c r="BY1694" s="467">
        <v>1422</v>
      </c>
      <c r="BZ1694" s="467">
        <v>1370</v>
      </c>
      <c r="CA1694" s="467">
        <v>1353</v>
      </c>
      <c r="CB1694" s="467">
        <v>1253</v>
      </c>
      <c r="CC1694" s="467">
        <v>1168</v>
      </c>
      <c r="CD1694" s="467">
        <v>1192</v>
      </c>
      <c r="CE1694" s="467">
        <v>1131</v>
      </c>
      <c r="CF1694" s="467">
        <v>1211</v>
      </c>
      <c r="CG1694" s="467">
        <v>1146</v>
      </c>
      <c r="CH1694" s="467">
        <v>1188</v>
      </c>
      <c r="CI1694" s="467">
        <v>1207</v>
      </c>
      <c r="CJ1694" s="467">
        <v>1233</v>
      </c>
      <c r="CK1694" s="467">
        <v>1235</v>
      </c>
      <c r="CL1694" s="467">
        <v>1028</v>
      </c>
      <c r="CM1694" s="467">
        <v>956</v>
      </c>
      <c r="CN1694" s="467">
        <v>790</v>
      </c>
      <c r="CO1694" s="467">
        <v>668</v>
      </c>
      <c r="CP1694" s="467">
        <v>634</v>
      </c>
      <c r="CQ1694" s="467">
        <v>539</v>
      </c>
      <c r="CR1694" s="467">
        <v>489</v>
      </c>
      <c r="CS1694" s="467">
        <v>429</v>
      </c>
      <c r="CT1694" s="467">
        <v>400</v>
      </c>
      <c r="CU1694" s="467">
        <v>325</v>
      </c>
      <c r="CV1694" s="467">
        <v>310</v>
      </c>
      <c r="CW1694" s="467">
        <v>259</v>
      </c>
      <c r="CX1694" s="467">
        <v>199</v>
      </c>
      <c r="CY1694" s="467">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7">
        <v>1058</v>
      </c>
      <c r="N1695" s="467">
        <v>1165</v>
      </c>
      <c r="O1695" s="467">
        <v>1112</v>
      </c>
      <c r="P1695" s="467">
        <v>1172</v>
      </c>
      <c r="Q1695" s="467">
        <v>1276</v>
      </c>
      <c r="R1695" s="467">
        <v>1280</v>
      </c>
      <c r="S1695" s="467">
        <v>1294</v>
      </c>
      <c r="T1695" s="467">
        <v>1422</v>
      </c>
      <c r="U1695" s="467">
        <v>1400</v>
      </c>
      <c r="V1695" s="467">
        <v>1380</v>
      </c>
      <c r="W1695" s="467">
        <v>1437</v>
      </c>
      <c r="X1695" s="467">
        <v>1491</v>
      </c>
      <c r="Y1695" s="467">
        <v>1515</v>
      </c>
      <c r="Z1695" s="467">
        <v>1424</v>
      </c>
      <c r="AA1695" s="467">
        <v>1475</v>
      </c>
      <c r="AB1695" s="467">
        <v>1559</v>
      </c>
      <c r="AC1695" s="467">
        <v>1400</v>
      </c>
      <c r="AD1695" s="467">
        <v>1416</v>
      </c>
      <c r="AE1695" s="467">
        <v>1531</v>
      </c>
      <c r="AF1695" s="467">
        <v>1930</v>
      </c>
      <c r="AG1695" s="467">
        <v>2567</v>
      </c>
      <c r="AH1695" s="467">
        <v>2891</v>
      </c>
      <c r="AI1695" s="467">
        <v>2711</v>
      </c>
      <c r="AJ1695" s="467">
        <v>2259</v>
      </c>
      <c r="AK1695" s="467">
        <v>1905</v>
      </c>
      <c r="AL1695" s="467">
        <v>1512</v>
      </c>
      <c r="AM1695" s="467">
        <v>1601</v>
      </c>
      <c r="AN1695" s="467">
        <v>1579</v>
      </c>
      <c r="AO1695" s="467">
        <v>1461</v>
      </c>
      <c r="AP1695" s="467">
        <v>1487</v>
      </c>
      <c r="AQ1695" s="467">
        <v>1489</v>
      </c>
      <c r="AR1695" s="467">
        <v>1578</v>
      </c>
      <c r="AS1695" s="467">
        <v>1618</v>
      </c>
      <c r="AT1695" s="467">
        <v>1710</v>
      </c>
      <c r="AU1695" s="467">
        <v>1510</v>
      </c>
      <c r="AV1695" s="467">
        <v>1561</v>
      </c>
      <c r="AW1695" s="467">
        <v>1551</v>
      </c>
      <c r="AX1695" s="467">
        <v>1529</v>
      </c>
      <c r="AY1695" s="467">
        <v>1639</v>
      </c>
      <c r="AZ1695" s="467">
        <v>1427</v>
      </c>
      <c r="BA1695" s="467">
        <v>1494</v>
      </c>
      <c r="BB1695" s="467">
        <v>1424</v>
      </c>
      <c r="BC1695" s="467">
        <v>1458</v>
      </c>
      <c r="BD1695" s="467">
        <v>1607</v>
      </c>
      <c r="BE1695" s="467">
        <v>1342</v>
      </c>
      <c r="BF1695" s="467">
        <v>1281</v>
      </c>
      <c r="BG1695" s="467">
        <v>1291</v>
      </c>
      <c r="BH1695" s="467">
        <v>1360</v>
      </c>
      <c r="BI1695" s="467">
        <v>1382</v>
      </c>
      <c r="BJ1695" s="467">
        <v>1354</v>
      </c>
      <c r="BK1695" s="467">
        <v>1335</v>
      </c>
      <c r="BL1695" s="467">
        <v>1459</v>
      </c>
      <c r="BM1695" s="467">
        <v>1490</v>
      </c>
      <c r="BN1695" s="467">
        <v>1528</v>
      </c>
      <c r="BO1695" s="467">
        <v>1692</v>
      </c>
      <c r="BP1695" s="467">
        <v>1545</v>
      </c>
      <c r="BQ1695" s="467">
        <v>1520</v>
      </c>
      <c r="BR1695" s="467">
        <v>1533</v>
      </c>
      <c r="BS1695" s="467">
        <v>1670</v>
      </c>
      <c r="BT1695" s="467">
        <v>1629</v>
      </c>
      <c r="BU1695" s="467">
        <v>1477</v>
      </c>
      <c r="BV1695" s="467">
        <v>1504</v>
      </c>
      <c r="BW1695" s="467">
        <v>1450</v>
      </c>
      <c r="BX1695" s="467">
        <v>1418</v>
      </c>
      <c r="BY1695" s="467">
        <v>1382</v>
      </c>
      <c r="BZ1695" s="467">
        <v>1341</v>
      </c>
      <c r="CA1695" s="467">
        <v>1262</v>
      </c>
      <c r="CB1695" s="467">
        <v>1231</v>
      </c>
      <c r="CC1695" s="467">
        <v>1184</v>
      </c>
      <c r="CD1695" s="467">
        <v>1167</v>
      </c>
      <c r="CE1695" s="467">
        <v>1199</v>
      </c>
      <c r="CF1695" s="467">
        <v>1144</v>
      </c>
      <c r="CG1695" s="467">
        <v>1062</v>
      </c>
      <c r="CH1695" s="467">
        <v>1162</v>
      </c>
      <c r="CI1695" s="467">
        <v>1152</v>
      </c>
      <c r="CJ1695" s="467">
        <v>1198</v>
      </c>
      <c r="CK1695" s="467">
        <v>1296</v>
      </c>
      <c r="CL1695" s="467">
        <v>839</v>
      </c>
      <c r="CM1695" s="467">
        <v>878</v>
      </c>
      <c r="CN1695" s="467">
        <v>862</v>
      </c>
      <c r="CO1695" s="467">
        <v>807</v>
      </c>
      <c r="CP1695" s="467">
        <v>699</v>
      </c>
      <c r="CQ1695" s="467">
        <v>561</v>
      </c>
      <c r="CR1695" s="467">
        <v>554</v>
      </c>
      <c r="CS1695" s="467">
        <v>483</v>
      </c>
      <c r="CT1695" s="467">
        <v>465</v>
      </c>
      <c r="CU1695" s="467">
        <v>399</v>
      </c>
      <c r="CV1695" s="467">
        <v>354</v>
      </c>
      <c r="CW1695" s="467">
        <v>304</v>
      </c>
      <c r="CX1695" s="467">
        <v>227</v>
      </c>
      <c r="CY1695" s="467">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7">
        <v>488</v>
      </c>
      <c r="N1696" s="467">
        <v>536</v>
      </c>
      <c r="O1696" s="467">
        <v>477</v>
      </c>
      <c r="P1696" s="467">
        <v>559</v>
      </c>
      <c r="Q1696" s="467">
        <v>552</v>
      </c>
      <c r="R1696" s="467">
        <v>510</v>
      </c>
      <c r="S1696" s="467">
        <v>560</v>
      </c>
      <c r="T1696" s="467">
        <v>595</v>
      </c>
      <c r="U1696" s="467">
        <v>520</v>
      </c>
      <c r="V1696" s="467">
        <v>560</v>
      </c>
      <c r="W1696" s="467">
        <v>568</v>
      </c>
      <c r="X1696" s="467">
        <v>600</v>
      </c>
      <c r="Y1696" s="467">
        <v>617</v>
      </c>
      <c r="Z1696" s="467">
        <v>583</v>
      </c>
      <c r="AA1696" s="467">
        <v>632</v>
      </c>
      <c r="AB1696" s="467">
        <v>587</v>
      </c>
      <c r="AC1696" s="467">
        <v>566</v>
      </c>
      <c r="AD1696" s="467">
        <v>602</v>
      </c>
      <c r="AE1696" s="467">
        <v>574</v>
      </c>
      <c r="AF1696" s="467">
        <v>433</v>
      </c>
      <c r="AG1696" s="467">
        <v>417</v>
      </c>
      <c r="AH1696" s="467">
        <v>415</v>
      </c>
      <c r="AI1696" s="467">
        <v>426</v>
      </c>
      <c r="AJ1696" s="467">
        <v>473</v>
      </c>
      <c r="AK1696" s="467">
        <v>478</v>
      </c>
      <c r="AL1696" s="467">
        <v>522</v>
      </c>
      <c r="AM1696" s="467">
        <v>600</v>
      </c>
      <c r="AN1696" s="467">
        <v>548</v>
      </c>
      <c r="AO1696" s="467">
        <v>607</v>
      </c>
      <c r="AP1696" s="467">
        <v>562</v>
      </c>
      <c r="AQ1696" s="467">
        <v>542</v>
      </c>
      <c r="AR1696" s="467">
        <v>610</v>
      </c>
      <c r="AS1696" s="467">
        <v>637</v>
      </c>
      <c r="AT1696" s="467">
        <v>624</v>
      </c>
      <c r="AU1696" s="467">
        <v>628</v>
      </c>
      <c r="AV1696" s="467">
        <v>575</v>
      </c>
      <c r="AW1696" s="467">
        <v>605</v>
      </c>
      <c r="AX1696" s="467">
        <v>611</v>
      </c>
      <c r="AY1696" s="467">
        <v>580</v>
      </c>
      <c r="AZ1696" s="467">
        <v>541</v>
      </c>
      <c r="BA1696" s="467">
        <v>549</v>
      </c>
      <c r="BB1696" s="467">
        <v>563</v>
      </c>
      <c r="BC1696" s="467">
        <v>482</v>
      </c>
      <c r="BD1696" s="467">
        <v>532</v>
      </c>
      <c r="BE1696" s="467">
        <v>542</v>
      </c>
      <c r="BF1696" s="467">
        <v>440</v>
      </c>
      <c r="BG1696" s="467">
        <v>519</v>
      </c>
      <c r="BH1696" s="467">
        <v>436</v>
      </c>
      <c r="BI1696" s="467">
        <v>496</v>
      </c>
      <c r="BJ1696" s="467">
        <v>490</v>
      </c>
      <c r="BK1696" s="467">
        <v>555</v>
      </c>
      <c r="BL1696" s="467">
        <v>579</v>
      </c>
      <c r="BM1696" s="467">
        <v>638</v>
      </c>
      <c r="BN1696" s="467">
        <v>629</v>
      </c>
      <c r="BO1696" s="467">
        <v>591</v>
      </c>
      <c r="BP1696" s="467">
        <v>589</v>
      </c>
      <c r="BQ1696" s="467">
        <v>629</v>
      </c>
      <c r="BR1696" s="467">
        <v>632</v>
      </c>
      <c r="BS1696" s="467">
        <v>712</v>
      </c>
      <c r="BT1696" s="467">
        <v>639</v>
      </c>
      <c r="BU1696" s="467">
        <v>673</v>
      </c>
      <c r="BV1696" s="467">
        <v>662</v>
      </c>
      <c r="BW1696" s="467">
        <v>647</v>
      </c>
      <c r="BX1696" s="467">
        <v>569</v>
      </c>
      <c r="BY1696" s="467">
        <v>570</v>
      </c>
      <c r="BZ1696" s="467">
        <v>582</v>
      </c>
      <c r="CA1696" s="467">
        <v>509</v>
      </c>
      <c r="CB1696" s="467">
        <v>481</v>
      </c>
      <c r="CC1696" s="467">
        <v>468</v>
      </c>
      <c r="CD1696" s="467">
        <v>525</v>
      </c>
      <c r="CE1696" s="467">
        <v>460</v>
      </c>
      <c r="CF1696" s="467">
        <v>473</v>
      </c>
      <c r="CG1696" s="467">
        <v>453</v>
      </c>
      <c r="CH1696" s="467">
        <v>449</v>
      </c>
      <c r="CI1696" s="467">
        <v>461</v>
      </c>
      <c r="CJ1696" s="467">
        <v>450</v>
      </c>
      <c r="CK1696" s="467">
        <v>525</v>
      </c>
      <c r="CL1696" s="467">
        <v>373</v>
      </c>
      <c r="CM1696" s="467">
        <v>376</v>
      </c>
      <c r="CN1696" s="467">
        <v>334</v>
      </c>
      <c r="CO1696" s="467">
        <v>283</v>
      </c>
      <c r="CP1696" s="467">
        <v>254</v>
      </c>
      <c r="CQ1696" s="467">
        <v>226</v>
      </c>
      <c r="CR1696" s="467">
        <v>201</v>
      </c>
      <c r="CS1696" s="467">
        <v>207</v>
      </c>
      <c r="CT1696" s="467">
        <v>181</v>
      </c>
      <c r="CU1696" s="467">
        <v>135</v>
      </c>
      <c r="CV1696" s="467">
        <v>127</v>
      </c>
      <c r="CW1696" s="467">
        <v>100</v>
      </c>
      <c r="CX1696" s="467">
        <v>101</v>
      </c>
      <c r="CY1696" s="467">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7">
        <v>594</v>
      </c>
      <c r="N1697" s="467">
        <v>672</v>
      </c>
      <c r="O1697" s="467">
        <v>677</v>
      </c>
      <c r="P1697" s="467">
        <v>712</v>
      </c>
      <c r="Q1697" s="467">
        <v>754</v>
      </c>
      <c r="R1697" s="467">
        <v>738</v>
      </c>
      <c r="S1697" s="467">
        <v>825</v>
      </c>
      <c r="T1697" s="467">
        <v>782</v>
      </c>
      <c r="U1697" s="467">
        <v>774</v>
      </c>
      <c r="V1697" s="467">
        <v>814</v>
      </c>
      <c r="W1697" s="467">
        <v>875</v>
      </c>
      <c r="X1697" s="467">
        <v>899</v>
      </c>
      <c r="Y1697" s="467">
        <v>880</v>
      </c>
      <c r="Z1697" s="467">
        <v>900</v>
      </c>
      <c r="AA1697" s="467">
        <v>906</v>
      </c>
      <c r="AB1697" s="467">
        <v>863</v>
      </c>
      <c r="AC1697" s="467">
        <v>859</v>
      </c>
      <c r="AD1697" s="467">
        <v>772</v>
      </c>
      <c r="AE1697" s="467">
        <v>733</v>
      </c>
      <c r="AF1697" s="467">
        <v>597</v>
      </c>
      <c r="AG1697" s="467">
        <v>564</v>
      </c>
      <c r="AH1697" s="467">
        <v>512</v>
      </c>
      <c r="AI1697" s="467">
        <v>663</v>
      </c>
      <c r="AJ1697" s="467">
        <v>713</v>
      </c>
      <c r="AK1697" s="467">
        <v>713</v>
      </c>
      <c r="AL1697" s="467">
        <v>669</v>
      </c>
      <c r="AM1697" s="467">
        <v>723</v>
      </c>
      <c r="AN1697" s="467">
        <v>699</v>
      </c>
      <c r="AO1697" s="467">
        <v>711</v>
      </c>
      <c r="AP1697" s="467">
        <v>745</v>
      </c>
      <c r="AQ1697" s="467">
        <v>703</v>
      </c>
      <c r="AR1697" s="467">
        <v>734</v>
      </c>
      <c r="AS1697" s="467">
        <v>736</v>
      </c>
      <c r="AT1697" s="467">
        <v>729</v>
      </c>
      <c r="AU1697" s="467">
        <v>809</v>
      </c>
      <c r="AV1697" s="467">
        <v>846</v>
      </c>
      <c r="AW1697" s="467">
        <v>831</v>
      </c>
      <c r="AX1697" s="467">
        <v>887</v>
      </c>
      <c r="AY1697" s="467">
        <v>751</v>
      </c>
      <c r="AZ1697" s="467">
        <v>763</v>
      </c>
      <c r="BA1697" s="467">
        <v>823</v>
      </c>
      <c r="BB1697" s="467">
        <v>841</v>
      </c>
      <c r="BC1697" s="467">
        <v>930</v>
      </c>
      <c r="BD1697" s="467">
        <v>904</v>
      </c>
      <c r="BE1697" s="467">
        <v>833</v>
      </c>
      <c r="BF1697" s="467">
        <v>696</v>
      </c>
      <c r="BG1697" s="467">
        <v>730</v>
      </c>
      <c r="BH1697" s="467">
        <v>733</v>
      </c>
      <c r="BI1697" s="467">
        <v>808</v>
      </c>
      <c r="BJ1697" s="467">
        <v>779</v>
      </c>
      <c r="BK1697" s="467">
        <v>823</v>
      </c>
      <c r="BL1697" s="467">
        <v>856</v>
      </c>
      <c r="BM1697" s="467">
        <v>879</v>
      </c>
      <c r="BN1697" s="467">
        <v>870</v>
      </c>
      <c r="BO1697" s="467">
        <v>912</v>
      </c>
      <c r="BP1697" s="467">
        <v>884</v>
      </c>
      <c r="BQ1697" s="467">
        <v>932</v>
      </c>
      <c r="BR1697" s="467">
        <v>862</v>
      </c>
      <c r="BS1697" s="467">
        <v>889</v>
      </c>
      <c r="BT1697" s="467">
        <v>947</v>
      </c>
      <c r="BU1697" s="467">
        <v>906</v>
      </c>
      <c r="BV1697" s="467">
        <v>916</v>
      </c>
      <c r="BW1697" s="467">
        <v>915</v>
      </c>
      <c r="BX1697" s="467">
        <v>827</v>
      </c>
      <c r="BY1697" s="467">
        <v>849</v>
      </c>
      <c r="BZ1697" s="467">
        <v>747</v>
      </c>
      <c r="CA1697" s="467">
        <v>787</v>
      </c>
      <c r="CB1697" s="467">
        <v>746</v>
      </c>
      <c r="CC1697" s="467">
        <v>747</v>
      </c>
      <c r="CD1697" s="467">
        <v>737</v>
      </c>
      <c r="CE1697" s="467">
        <v>745</v>
      </c>
      <c r="CF1697" s="467">
        <v>680</v>
      </c>
      <c r="CG1697" s="467">
        <v>701</v>
      </c>
      <c r="CH1697" s="467">
        <v>697</v>
      </c>
      <c r="CI1697" s="467">
        <v>697</v>
      </c>
      <c r="CJ1697" s="467">
        <v>718</v>
      </c>
      <c r="CK1697" s="467">
        <v>744</v>
      </c>
      <c r="CL1697" s="467">
        <v>543</v>
      </c>
      <c r="CM1697" s="467">
        <v>528</v>
      </c>
      <c r="CN1697" s="467">
        <v>542</v>
      </c>
      <c r="CO1697" s="467">
        <v>437</v>
      </c>
      <c r="CP1697" s="467">
        <v>390</v>
      </c>
      <c r="CQ1697" s="467">
        <v>363</v>
      </c>
      <c r="CR1697" s="467">
        <v>328</v>
      </c>
      <c r="CS1697" s="467">
        <v>306</v>
      </c>
      <c r="CT1697" s="467">
        <v>271</v>
      </c>
      <c r="CU1697" s="467">
        <v>211</v>
      </c>
      <c r="CV1697" s="467">
        <v>208</v>
      </c>
      <c r="CW1697" s="467">
        <v>147</v>
      </c>
      <c r="CX1697" s="467">
        <v>131</v>
      </c>
      <c r="CY1697" s="467">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7">
        <v>645</v>
      </c>
      <c r="N1698" s="467">
        <v>694</v>
      </c>
      <c r="O1698" s="467">
        <v>669</v>
      </c>
      <c r="P1698" s="467">
        <v>760</v>
      </c>
      <c r="Q1698" s="467">
        <v>740</v>
      </c>
      <c r="R1698" s="467">
        <v>727</v>
      </c>
      <c r="S1698" s="467">
        <v>786</v>
      </c>
      <c r="T1698" s="467">
        <v>791</v>
      </c>
      <c r="U1698" s="467">
        <v>773</v>
      </c>
      <c r="V1698" s="467">
        <v>817</v>
      </c>
      <c r="W1698" s="467">
        <v>873</v>
      </c>
      <c r="X1698" s="467">
        <v>853</v>
      </c>
      <c r="Y1698" s="467">
        <v>858</v>
      </c>
      <c r="Z1698" s="467">
        <v>867</v>
      </c>
      <c r="AA1698" s="467">
        <v>882</v>
      </c>
      <c r="AB1698" s="467">
        <v>828</v>
      </c>
      <c r="AC1698" s="467">
        <v>852</v>
      </c>
      <c r="AD1698" s="467">
        <v>834</v>
      </c>
      <c r="AE1698" s="467">
        <v>822</v>
      </c>
      <c r="AF1698" s="467">
        <v>691</v>
      </c>
      <c r="AG1698" s="467">
        <v>622</v>
      </c>
      <c r="AH1698" s="467">
        <v>632</v>
      </c>
      <c r="AI1698" s="467">
        <v>665</v>
      </c>
      <c r="AJ1698" s="467">
        <v>726</v>
      </c>
      <c r="AK1698" s="467">
        <v>779</v>
      </c>
      <c r="AL1698" s="467">
        <v>786</v>
      </c>
      <c r="AM1698" s="467">
        <v>814</v>
      </c>
      <c r="AN1698" s="467">
        <v>776</v>
      </c>
      <c r="AO1698" s="467">
        <v>844</v>
      </c>
      <c r="AP1698" s="467">
        <v>828</v>
      </c>
      <c r="AQ1698" s="467">
        <v>844</v>
      </c>
      <c r="AR1698" s="467">
        <v>781</v>
      </c>
      <c r="AS1698" s="467">
        <v>903</v>
      </c>
      <c r="AT1698" s="467">
        <v>892</v>
      </c>
      <c r="AU1698" s="467">
        <v>864</v>
      </c>
      <c r="AV1698" s="467">
        <v>903</v>
      </c>
      <c r="AW1698" s="467">
        <v>886</v>
      </c>
      <c r="AX1698" s="467">
        <v>939</v>
      </c>
      <c r="AY1698" s="467">
        <v>912</v>
      </c>
      <c r="AZ1698" s="467">
        <v>855</v>
      </c>
      <c r="BA1698" s="467">
        <v>853</v>
      </c>
      <c r="BB1698" s="467">
        <v>823</v>
      </c>
      <c r="BC1698" s="467">
        <v>886</v>
      </c>
      <c r="BD1698" s="467">
        <v>921</v>
      </c>
      <c r="BE1698" s="467">
        <v>882</v>
      </c>
      <c r="BF1698" s="467">
        <v>726</v>
      </c>
      <c r="BG1698" s="467">
        <v>757</v>
      </c>
      <c r="BH1698" s="467">
        <v>801</v>
      </c>
      <c r="BI1698" s="467">
        <v>794</v>
      </c>
      <c r="BJ1698" s="467">
        <v>783</v>
      </c>
      <c r="BK1698" s="467">
        <v>908</v>
      </c>
      <c r="BL1698" s="467">
        <v>954</v>
      </c>
      <c r="BM1698" s="467">
        <v>1009</v>
      </c>
      <c r="BN1698" s="467">
        <v>1001</v>
      </c>
      <c r="BO1698" s="467">
        <v>1001</v>
      </c>
      <c r="BP1698" s="467">
        <v>969</v>
      </c>
      <c r="BQ1698" s="467">
        <v>962</v>
      </c>
      <c r="BR1698" s="467">
        <v>993</v>
      </c>
      <c r="BS1698" s="467">
        <v>983</v>
      </c>
      <c r="BT1698" s="467">
        <v>975</v>
      </c>
      <c r="BU1698" s="467">
        <v>962</v>
      </c>
      <c r="BV1698" s="467">
        <v>895</v>
      </c>
      <c r="BW1698" s="467">
        <v>892</v>
      </c>
      <c r="BX1698" s="467">
        <v>838</v>
      </c>
      <c r="BY1698" s="467">
        <v>735</v>
      </c>
      <c r="BZ1698" s="467">
        <v>787</v>
      </c>
      <c r="CA1698" s="467">
        <v>784</v>
      </c>
      <c r="CB1698" s="467">
        <v>763</v>
      </c>
      <c r="CC1698" s="467">
        <v>694</v>
      </c>
      <c r="CD1698" s="467">
        <v>683</v>
      </c>
      <c r="CE1698" s="467">
        <v>703</v>
      </c>
      <c r="CF1698" s="467">
        <v>668</v>
      </c>
      <c r="CG1698" s="467">
        <v>663</v>
      </c>
      <c r="CH1698" s="467">
        <v>662</v>
      </c>
      <c r="CI1698" s="467">
        <v>675</v>
      </c>
      <c r="CJ1698" s="467">
        <v>680</v>
      </c>
      <c r="CK1698" s="467">
        <v>725</v>
      </c>
      <c r="CL1698" s="467">
        <v>549</v>
      </c>
      <c r="CM1698" s="467">
        <v>478</v>
      </c>
      <c r="CN1698" s="467">
        <v>487</v>
      </c>
      <c r="CO1698" s="467">
        <v>472</v>
      </c>
      <c r="CP1698" s="467">
        <v>402</v>
      </c>
      <c r="CQ1698" s="467">
        <v>321</v>
      </c>
      <c r="CR1698" s="467">
        <v>281</v>
      </c>
      <c r="CS1698" s="467">
        <v>251</v>
      </c>
      <c r="CT1698" s="467">
        <v>253</v>
      </c>
      <c r="CU1698" s="467">
        <v>212</v>
      </c>
      <c r="CV1698" s="467">
        <v>195</v>
      </c>
      <c r="CW1698" s="467">
        <v>135</v>
      </c>
      <c r="CX1698" s="467">
        <v>112</v>
      </c>
      <c r="CY1698" s="467">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705" t="s">
        <v>458</v>
      </c>
      <c r="B1714" s="706"/>
      <c r="C1714" s="707"/>
      <c r="D1714" s="704"/>
      <c r="E1714" s="704"/>
      <c r="F1714" s="704"/>
      <c r="G1714" s="704"/>
      <c r="H1714" s="704"/>
      <c r="I1714" s="704"/>
      <c r="J1714" s="704"/>
      <c r="K1714" s="704"/>
      <c r="L1714" s="704"/>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87" t="s">
        <v>459</v>
      </c>
      <c r="E1716" s="488" t="s">
        <v>460</v>
      </c>
      <c r="F1716" s="487"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89" t="s">
        <v>462</v>
      </c>
      <c r="E1717" s="489" t="s">
        <v>462</v>
      </c>
      <c r="F1717" s="489"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89">
        <v>2023</v>
      </c>
      <c r="E1718" s="490">
        <v>2024</v>
      </c>
      <c r="F1718" s="489">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2142</v>
      </c>
      <c r="D1719" s="491">
        <v>57690323</v>
      </c>
      <c r="E1719" s="492"/>
      <c r="F1719" s="493"/>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494" t="s">
        <v>463</v>
      </c>
      <c r="D1720" s="495"/>
      <c r="E1720" s="496"/>
      <c r="F1720" s="491">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494" t="s">
        <v>464</v>
      </c>
      <c r="D1721" s="495"/>
      <c r="E1721" s="497"/>
      <c r="F1721" s="685">
        <f>(F1720-D1719)/D1719</f>
        <v>2.5222393017282987E-2</v>
      </c>
      <c r="G1721" s="689">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494" t="s">
        <v>465</v>
      </c>
      <c r="D1722" s="495"/>
      <c r="E1722" s="498"/>
      <c r="F1722" s="491">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494" t="s">
        <v>466</v>
      </c>
      <c r="D1723" s="495"/>
      <c r="E1723" s="498"/>
      <c r="F1723" s="491">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705" t="s">
        <v>467</v>
      </c>
      <c r="B1726" s="706"/>
      <c r="C1726" s="707"/>
      <c r="D1726" s="704"/>
      <c r="E1726" s="704"/>
      <c r="F1726" s="704"/>
      <c r="G1726" s="704"/>
      <c r="H1726" s="704"/>
      <c r="I1726" s="704"/>
      <c r="J1726" s="704"/>
      <c r="K1726" s="704"/>
      <c r="L1726" s="704"/>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499"/>
      <c r="K1727" s="500" t="s">
        <v>468</v>
      </c>
      <c r="L1727" s="501"/>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83"/>
      <c r="B1728" s="484"/>
      <c r="C1728" s="20" t="s">
        <v>469</v>
      </c>
      <c r="D1728" s="127" t="s">
        <v>470</v>
      </c>
      <c r="E1728" s="127" t="s">
        <v>471</v>
      </c>
      <c r="F1728" s="127" t="s">
        <v>472</v>
      </c>
      <c r="G1728" s="127" t="s">
        <v>473</v>
      </c>
      <c r="H1728" s="127" t="s">
        <v>474</v>
      </c>
      <c r="I1728" s="127" t="s">
        <v>475</v>
      </c>
      <c r="J1728" s="691" t="s">
        <v>476</v>
      </c>
      <c r="K1728" s="692" t="s">
        <v>477</v>
      </c>
      <c r="L1728" s="303"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85"/>
      <c r="C1729" s="20" t="s">
        <v>479</v>
      </c>
      <c r="D1729" s="879" t="s">
        <v>480</v>
      </c>
      <c r="E1729" s="880"/>
      <c r="F1729" s="880"/>
      <c r="G1729" s="880"/>
      <c r="H1729" s="880"/>
      <c r="I1729" s="881"/>
      <c r="J1729" s="693"/>
      <c r="K1729" s="693"/>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85"/>
      <c r="B1730" s="10">
        <v>0</v>
      </c>
      <c r="C1730" s="126" t="s">
        <v>481</v>
      </c>
      <c r="D1730" s="130"/>
      <c r="E1730" s="130"/>
      <c r="F1730" s="130"/>
      <c r="G1730" s="130"/>
      <c r="H1730" s="130"/>
      <c r="I1730" s="130"/>
      <c r="J1730" s="693"/>
      <c r="K1730" s="693"/>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85"/>
      <c r="B1731" s="10">
        <v>1</v>
      </c>
      <c r="C1731" s="807" t="s">
        <v>482</v>
      </c>
      <c r="D1731" s="430"/>
      <c r="E1731" s="430">
        <v>1.0083396326386167</v>
      </c>
      <c r="F1731" s="430">
        <v>1.0068144721288348</v>
      </c>
      <c r="G1731" s="430">
        <v>1.0052783852289084</v>
      </c>
      <c r="H1731" s="430">
        <v>1.005159569821475</v>
      </c>
      <c r="I1731" s="430">
        <v>1.005034244714381</v>
      </c>
      <c r="J1731" s="694">
        <f>(I1731-100%)/5</f>
        <v>1.0068489428761928E-3</v>
      </c>
      <c r="K1731" s="695">
        <f t="shared" ref="K1731:K1741" si="354">(I1731/100%)^(1/5)-1</f>
        <v>1.0048275559169095E-3</v>
      </c>
      <c r="L1731" s="486">
        <v>1.0048275559169095E-3</v>
      </c>
      <c r="M1731" s="12"/>
      <c r="N1731" s="431"/>
      <c r="O1731" s="43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85" t="s">
        <v>483</v>
      </c>
      <c r="B1732" s="10">
        <v>2</v>
      </c>
      <c r="C1732" s="182" t="s">
        <v>484</v>
      </c>
      <c r="D1732" s="130"/>
      <c r="E1732" s="130">
        <v>0.99220867160133164</v>
      </c>
      <c r="F1732" s="130">
        <v>0.99099332816200558</v>
      </c>
      <c r="G1732" s="130">
        <v>0.99149832442765373</v>
      </c>
      <c r="H1732" s="130">
        <v>0.99306376744162606</v>
      </c>
      <c r="I1732" s="130">
        <v>0.99322960389630777</v>
      </c>
      <c r="J1732" s="694">
        <f t="shared" ref="J1732:J1741" si="355">(I1732-100%)/5</f>
        <v>-1.3540792207384466E-3</v>
      </c>
      <c r="K1732" s="695">
        <f t="shared" si="354"/>
        <v>-1.357761249247913E-3</v>
      </c>
      <c r="L1732" s="435">
        <v>-1.357761249247913E-3</v>
      </c>
      <c r="M1732" s="12"/>
      <c r="N1732" s="431"/>
      <c r="O1732" s="43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85" t="s">
        <v>483</v>
      </c>
      <c r="B1733" s="10">
        <v>3</v>
      </c>
      <c r="C1733" s="182" t="s">
        <v>485</v>
      </c>
      <c r="D1733" s="130"/>
      <c r="E1733" s="130">
        <v>1.0143809141680851</v>
      </c>
      <c r="F1733" s="130">
        <v>1.0083971212477236</v>
      </c>
      <c r="G1733" s="130">
        <v>1.003626338830879</v>
      </c>
      <c r="H1733" s="130">
        <v>1.0019091820289452</v>
      </c>
      <c r="I1733" s="130">
        <v>1.0029969851890055</v>
      </c>
      <c r="J1733" s="694">
        <f t="shared" si="355"/>
        <v>5.993970378010971E-4</v>
      </c>
      <c r="K1733" s="695">
        <f t="shared" si="354"/>
        <v>5.9867977357552782E-4</v>
      </c>
      <c r="L1733" s="435">
        <v>5.9867977357552782E-4</v>
      </c>
      <c r="M1733" s="12"/>
      <c r="N1733" s="431"/>
      <c r="O1733" s="43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85" t="s">
        <v>483</v>
      </c>
      <c r="B1734" s="10">
        <v>4</v>
      </c>
      <c r="C1734" s="182" t="s">
        <v>486</v>
      </c>
      <c r="D1734" s="130"/>
      <c r="E1734" s="130">
        <v>1.0119831388235714</v>
      </c>
      <c r="F1734" s="130">
        <v>1.0123152749187849</v>
      </c>
      <c r="G1734" s="130">
        <v>1.0092966846901532</v>
      </c>
      <c r="H1734" s="130">
        <v>1.0093024499843755</v>
      </c>
      <c r="I1734" s="130">
        <v>1.0058607612889943</v>
      </c>
      <c r="J1734" s="694">
        <f t="shared" si="355"/>
        <v>1.1721522577988531E-3</v>
      </c>
      <c r="K1734" s="695">
        <f t="shared" si="354"/>
        <v>1.1694139993094765E-3</v>
      </c>
      <c r="L1734" s="435">
        <v>1.1694139993094765E-3</v>
      </c>
      <c r="M1734" s="12"/>
      <c r="N1734" s="431"/>
      <c r="O1734" s="43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85" t="s">
        <v>483</v>
      </c>
      <c r="B1735" s="10">
        <v>5</v>
      </c>
      <c r="C1735" s="182" t="s">
        <v>487</v>
      </c>
      <c r="D1735" s="130"/>
      <c r="E1735" s="130">
        <v>0.99868810197260138</v>
      </c>
      <c r="F1735" s="130">
        <v>0.99777419677997459</v>
      </c>
      <c r="G1735" s="130">
        <v>0.99863727568848948</v>
      </c>
      <c r="H1735" s="130">
        <v>0.99899133935284168</v>
      </c>
      <c r="I1735" s="130">
        <v>1.0032834988438057</v>
      </c>
      <c r="J1735" s="694">
        <f t="shared" si="355"/>
        <v>6.5669976876114866E-4</v>
      </c>
      <c r="K1735" s="695">
        <f t="shared" si="354"/>
        <v>6.5583895492138389E-4</v>
      </c>
      <c r="L1735" s="435">
        <v>6.5583895492138389E-4</v>
      </c>
      <c r="M1735" s="12"/>
      <c r="N1735" s="431"/>
      <c r="O1735" s="43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85" t="s">
        <v>483</v>
      </c>
      <c r="B1736" s="10">
        <v>6</v>
      </c>
      <c r="C1736" s="182" t="s">
        <v>488</v>
      </c>
      <c r="D1736" s="130"/>
      <c r="E1736" s="130">
        <v>1.0185737392830623</v>
      </c>
      <c r="F1736" s="130">
        <v>1.018863566736369</v>
      </c>
      <c r="G1736" s="130">
        <v>1.0165082772965106</v>
      </c>
      <c r="H1736" s="130">
        <v>1.0156627003170711</v>
      </c>
      <c r="I1736" s="130">
        <v>1.0139248252188859</v>
      </c>
      <c r="J1736" s="694">
        <f t="shared" si="355"/>
        <v>2.784965043777188E-3</v>
      </c>
      <c r="K1736" s="695">
        <f t="shared" si="354"/>
        <v>2.7695813347723419E-3</v>
      </c>
      <c r="L1736" s="435">
        <v>2.7695813347723419E-3</v>
      </c>
      <c r="M1736" s="12"/>
      <c r="N1736" s="431"/>
      <c r="O1736" s="432"/>
      <c r="P1736" s="12"/>
      <c r="Q1736" s="433"/>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85" t="s">
        <v>483</v>
      </c>
      <c r="B1737" s="10">
        <v>7</v>
      </c>
      <c r="C1737" s="182" t="s">
        <v>489</v>
      </c>
      <c r="D1737" s="130"/>
      <c r="E1737" s="130">
        <v>1.0186430018515642</v>
      </c>
      <c r="F1737" s="130">
        <v>1.016281083830104</v>
      </c>
      <c r="G1737" s="130">
        <v>1.0168046783204194</v>
      </c>
      <c r="H1737" s="130">
        <v>1.0163751107042418</v>
      </c>
      <c r="I1737" s="130">
        <v>1.0143846521681685</v>
      </c>
      <c r="J1737" s="694">
        <f t="shared" si="355"/>
        <v>2.8769304336337064E-3</v>
      </c>
      <c r="K1737" s="695">
        <f t="shared" si="354"/>
        <v>2.8605184225896085E-3</v>
      </c>
      <c r="L1737" s="435">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85" t="s">
        <v>483</v>
      </c>
      <c r="B1738" s="10">
        <v>8</v>
      </c>
      <c r="C1738" s="807" t="s">
        <v>490</v>
      </c>
      <c r="D1738" s="430"/>
      <c r="E1738" s="430">
        <v>1.0115317316189907</v>
      </c>
      <c r="F1738" s="430">
        <v>1.0098854557273558</v>
      </c>
      <c r="G1738" s="430">
        <v>1.0079031437924768</v>
      </c>
      <c r="H1738" s="430">
        <v>1.0074260195736053</v>
      </c>
      <c r="I1738" s="430">
        <v>1.0072146044968846</v>
      </c>
      <c r="J1738" s="694">
        <f t="shared" si="355"/>
        <v>1.4429208993769205E-3</v>
      </c>
      <c r="K1738" s="695">
        <f t="shared" si="354"/>
        <v>1.4387747925457273E-3</v>
      </c>
      <c r="L1738" s="486">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85" t="s">
        <v>483</v>
      </c>
      <c r="B1739" s="10">
        <v>9</v>
      </c>
      <c r="C1739" s="182"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94">
        <f t="shared" si="355"/>
        <v>-1.3540792207384466E-3</v>
      </c>
      <c r="K1739" s="695">
        <f t="shared" si="354"/>
        <v>-1.357761249247913E-3</v>
      </c>
      <c r="L1739" s="435">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85" t="s">
        <v>483</v>
      </c>
      <c r="B1740" s="10">
        <v>10</v>
      </c>
      <c r="C1740" s="182" t="s">
        <v>492</v>
      </c>
      <c r="D1740" s="130"/>
      <c r="E1740" s="130">
        <v>1.0101622336917053</v>
      </c>
      <c r="F1740" s="130">
        <v>1.0086801518353343</v>
      </c>
      <c r="G1740" s="130">
        <v>1.0069295256394797</v>
      </c>
      <c r="H1740" s="130">
        <v>1.0064889037252818</v>
      </c>
      <c r="I1740" s="130">
        <v>1.0062891385473149</v>
      </c>
      <c r="J1740" s="694">
        <f t="shared" si="355"/>
        <v>1.2578277094629886E-3</v>
      </c>
      <c r="K1740" s="695">
        <f t="shared" si="354"/>
        <v>1.2546753363396057E-3</v>
      </c>
      <c r="L1740" s="435">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85" t="s">
        <v>483</v>
      </c>
      <c r="B1741" s="10">
        <v>11</v>
      </c>
      <c r="C1741" s="182" t="s">
        <v>493</v>
      </c>
      <c r="D1741" s="130"/>
      <c r="E1741" s="130">
        <v>1.0095905530762708</v>
      </c>
      <c r="F1741" s="130">
        <v>1.0083132699804231</v>
      </c>
      <c r="G1741" s="130">
        <v>1.006695740502793</v>
      </c>
      <c r="H1741" s="130">
        <v>1.0063437323937274</v>
      </c>
      <c r="I1741" s="130">
        <v>1.0061665544670078</v>
      </c>
      <c r="J1741" s="694">
        <f t="shared" si="355"/>
        <v>1.2333108934015514E-3</v>
      </c>
      <c r="K1741" s="695">
        <f t="shared" si="354"/>
        <v>1.2302799891306115E-3</v>
      </c>
      <c r="L1741" s="435">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85" t="s">
        <v>483</v>
      </c>
      <c r="B1742" s="10">
        <v>12</v>
      </c>
      <c r="C1742" s="182"/>
      <c r="D1742" s="126"/>
      <c r="E1742" s="126"/>
      <c r="F1742" s="126"/>
      <c r="G1742" s="126"/>
      <c r="H1742" s="126"/>
      <c r="I1742" s="126"/>
      <c r="J1742" s="694"/>
      <c r="K1742" s="695"/>
      <c r="L1742" s="696"/>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85" t="s">
        <v>483</v>
      </c>
      <c r="B1743" s="10">
        <v>13</v>
      </c>
      <c r="C1743" s="126"/>
      <c r="D1743" s="126"/>
      <c r="E1743" s="126"/>
      <c r="F1743" s="126"/>
      <c r="G1743" s="126"/>
      <c r="H1743" s="126"/>
      <c r="I1743" s="126"/>
      <c r="J1743" s="694"/>
      <c r="K1743" s="695"/>
      <c r="L1743" s="696"/>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51">
        <v>14</v>
      </c>
      <c r="C1744" s="126"/>
      <c r="D1744" s="126"/>
      <c r="E1744" s="126"/>
      <c r="F1744" s="126"/>
      <c r="G1744" s="126"/>
      <c r="H1744" s="126"/>
      <c r="I1744" s="126"/>
      <c r="J1744" s="694"/>
      <c r="K1744" s="695"/>
      <c r="L1744" s="696"/>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690" t="s">
        <v>494</v>
      </c>
      <c r="K1745" s="693"/>
      <c r="L1745" s="302"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690" t="s">
        <v>496</v>
      </c>
      <c r="K1746" s="693"/>
      <c r="L1746" s="302"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441" t="s">
        <v>498</v>
      </c>
      <c r="F1747" s="703"/>
      <c r="G1747" s="703"/>
      <c r="H1747" s="703"/>
      <c r="I1747" s="703"/>
      <c r="J1747" s="690" t="s">
        <v>499</v>
      </c>
      <c r="K1747" s="693"/>
      <c r="L1747" s="302" t="s">
        <v>500</v>
      </c>
      <c r="M1747" s="12"/>
      <c r="N1747" s="12"/>
      <c r="O1747" s="12"/>
      <c r="P1747" s="12"/>
      <c r="Q1747" s="12"/>
      <c r="R1747" s="434"/>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302" t="s">
        <v>501</v>
      </c>
      <c r="M1748" s="12"/>
      <c r="N1748" s="12"/>
      <c r="O1748" s="12"/>
      <c r="P1748" s="12"/>
      <c r="Q1748" s="12"/>
      <c r="R1748" s="434"/>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302"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30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302"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302" t="s">
        <v>504</v>
      </c>
      <c r="M1752" s="12"/>
      <c r="N1752" s="12"/>
      <c r="O1752" s="499"/>
      <c r="P1752" s="500" t="s">
        <v>505</v>
      </c>
      <c r="Q1752" s="501"/>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5" hidden="1" customHeight="1" x14ac:dyDescent="0.25">
      <c r="C1753" s="10"/>
      <c r="M1753" s="12"/>
      <c r="N1753" s="12"/>
      <c r="O1753" s="702" t="s">
        <v>476</v>
      </c>
      <c r="P1753" s="702" t="s">
        <v>477</v>
      </c>
      <c r="Q1753" s="700"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83"/>
      <c r="B1754" s="484"/>
      <c r="C1754" s="807" t="s">
        <v>482</v>
      </c>
      <c r="D1754" s="430"/>
      <c r="E1754" s="430">
        <f>E1731</f>
        <v>1.0083396326386167</v>
      </c>
      <c r="F1754" s="430">
        <f t="shared" ref="F1754:I1754" si="357">F1731</f>
        <v>1.0068144721288348</v>
      </c>
      <c r="G1754" s="430">
        <f t="shared" si="357"/>
        <v>1.0052783852289084</v>
      </c>
      <c r="H1754" s="430">
        <f t="shared" si="357"/>
        <v>1.005159569821475</v>
      </c>
      <c r="I1754" s="430">
        <f t="shared" si="357"/>
        <v>1.005034244714381</v>
      </c>
      <c r="J1754" s="430">
        <v>1.0049046476669568</v>
      </c>
      <c r="K1754" s="430">
        <v>1.0047743417635073</v>
      </c>
      <c r="L1754" s="430">
        <v>1.0046496264171023</v>
      </c>
      <c r="M1754" s="430">
        <v>1.0045344880171496</v>
      </c>
      <c r="N1754" s="430">
        <v>1.0044234456443373</v>
      </c>
      <c r="O1754" s="694">
        <f>(N1754-100%)/10</f>
        <v>4.4234456443372763E-4</v>
      </c>
      <c r="P1754" s="695">
        <f>(N1754/100%)^(1/10)-1</f>
        <v>4.4146651409882054E-4</v>
      </c>
      <c r="Q1754" s="44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85" t="s">
        <v>506</v>
      </c>
      <c r="C1755" s="126" t="s">
        <v>484</v>
      </c>
      <c r="D1755" s="697"/>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94">
        <f t="shared" ref="O1755:O1764" si="359">(N1755-100%)/10</f>
        <v>-2.7495426767735196E-4</v>
      </c>
      <c r="P1755" s="695">
        <f t="shared" ref="P1755:P1764" si="360">(N1755/100%)^(1/10)-1</f>
        <v>-2.7529506059797981E-4</v>
      </c>
      <c r="Q1755" s="701">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85" t="s">
        <v>506</v>
      </c>
      <c r="C1756" s="126" t="s">
        <v>485</v>
      </c>
      <c r="D1756" s="697"/>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94">
        <f t="shared" si="359"/>
        <v>-1.8398147543005061E-4</v>
      </c>
      <c r="P1756" s="695">
        <f t="shared" si="360"/>
        <v>-1.8413397447925028E-4</v>
      </c>
      <c r="Q1756" s="701">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85" t="s">
        <v>506</v>
      </c>
      <c r="C1757" s="126" t="s">
        <v>486</v>
      </c>
      <c r="D1757" s="697"/>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94">
        <f t="shared" si="359"/>
        <v>2.8297433769999272E-4</v>
      </c>
      <c r="P1757" s="695">
        <f t="shared" si="360"/>
        <v>2.8261464701917483E-4</v>
      </c>
      <c r="Q1757" s="701">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85" t="s">
        <v>506</v>
      </c>
      <c r="C1758" s="126" t="s">
        <v>487</v>
      </c>
      <c r="D1758" s="697"/>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94">
        <f t="shared" si="359"/>
        <v>1.4722659182130116E-3</v>
      </c>
      <c r="P1758" s="695">
        <f t="shared" si="360"/>
        <v>1.4626018574257493E-3</v>
      </c>
      <c r="Q1758" s="701">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85" t="s">
        <v>506</v>
      </c>
      <c r="C1759" s="126" t="s">
        <v>488</v>
      </c>
      <c r="D1759" s="697"/>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94">
        <f t="shared" si="359"/>
        <v>-1.2706952153392903E-4</v>
      </c>
      <c r="P1759" s="695">
        <f t="shared" si="360"/>
        <v>-1.2714224004750641E-4</v>
      </c>
      <c r="Q1759" s="701">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85" t="s">
        <v>506</v>
      </c>
      <c r="C1760" s="126" t="s">
        <v>489</v>
      </c>
      <c r="D1760" s="697"/>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94">
        <f t="shared" si="359"/>
        <v>1.997144648803051E-3</v>
      </c>
      <c r="P1760" s="695">
        <f t="shared" si="360"/>
        <v>1.9794197965237181E-3</v>
      </c>
      <c r="Q1760" s="701">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85" t="s">
        <v>506</v>
      </c>
      <c r="C1761" s="807" t="s">
        <v>490</v>
      </c>
      <c r="D1761" s="430"/>
      <c r="E1761" s="430">
        <f t="shared" si="358"/>
        <v>1.0115317316189907</v>
      </c>
      <c r="F1761" s="430">
        <f t="shared" si="358"/>
        <v>1.0098854557273558</v>
      </c>
      <c r="G1761" s="430">
        <f t="shared" si="358"/>
        <v>1.0079031437924768</v>
      </c>
      <c r="H1761" s="430">
        <f t="shared" si="358"/>
        <v>1.0074260195736053</v>
      </c>
      <c r="I1761" s="430">
        <f t="shared" si="358"/>
        <v>1.0072146044968846</v>
      </c>
      <c r="J1761" s="430">
        <v>1.0071891367326733</v>
      </c>
      <c r="K1761" s="430">
        <v>1.0067029595434946</v>
      </c>
      <c r="L1761" s="430">
        <v>1.0062767419722747</v>
      </c>
      <c r="M1761" s="430">
        <v>1.005993095083189</v>
      </c>
      <c r="N1761" s="430">
        <v>1.0056686088348645</v>
      </c>
      <c r="O1761" s="694">
        <f t="shared" si="359"/>
        <v>5.6686088348645303E-4</v>
      </c>
      <c r="P1761" s="695">
        <f t="shared" si="360"/>
        <v>5.6542006284843183E-4</v>
      </c>
      <c r="Q1761" s="44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85" t="s">
        <v>506</v>
      </c>
      <c r="C1762" s="126" t="s">
        <v>491</v>
      </c>
      <c r="D1762" s="697"/>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94">
        <f t="shared" si="359"/>
        <v>-2.7495426767735196E-4</v>
      </c>
      <c r="P1762" s="695">
        <f t="shared" si="360"/>
        <v>-2.7529506059797981E-4</v>
      </c>
      <c r="Q1762" s="701">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85" t="s">
        <v>506</v>
      </c>
      <c r="C1763" s="126" t="s">
        <v>492</v>
      </c>
      <c r="D1763" s="697"/>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94">
        <f t="shared" si="359"/>
        <v>5.0246174221415532E-4</v>
      </c>
      <c r="P1763" s="695">
        <f t="shared" si="360"/>
        <v>5.0132923936385687E-4</v>
      </c>
      <c r="Q1763" s="701">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85" t="s">
        <v>506</v>
      </c>
      <c r="C1764" s="126" t="s">
        <v>493</v>
      </c>
      <c r="D1764" s="697"/>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94">
        <f t="shared" si="359"/>
        <v>4.9267004020239205E-4</v>
      </c>
      <c r="P1764" s="695">
        <f t="shared" si="360"/>
        <v>4.9158117922520894E-4</v>
      </c>
      <c r="Q1764" s="701">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85" t="s">
        <v>506</v>
      </c>
      <c r="C1765" s="126"/>
      <c r="D1765" s="697"/>
      <c r="E1765" s="697"/>
      <c r="F1765" s="697"/>
      <c r="G1765" s="697"/>
      <c r="H1765" s="697"/>
      <c r="I1765" s="697"/>
      <c r="J1765" s="697"/>
      <c r="K1765" s="697"/>
      <c r="L1765" s="697"/>
      <c r="M1765" s="697"/>
      <c r="N1765" s="697"/>
      <c r="O1765" s="694"/>
      <c r="P1765" s="695"/>
      <c r="Q1765" s="698"/>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85" t="s">
        <v>506</v>
      </c>
      <c r="C1766" s="126"/>
      <c r="D1766" s="697"/>
      <c r="E1766" s="697"/>
      <c r="F1766" s="697"/>
      <c r="G1766" s="697"/>
      <c r="H1766" s="697"/>
      <c r="I1766" s="697"/>
      <c r="J1766" s="697"/>
      <c r="K1766" s="697"/>
      <c r="L1766" s="697"/>
      <c r="M1766" s="697"/>
      <c r="N1766" s="697"/>
      <c r="O1766" s="694"/>
      <c r="P1766" s="695"/>
      <c r="Q1766" s="698"/>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51"/>
      <c r="C1767" s="126"/>
      <c r="D1767" s="697"/>
      <c r="E1767" s="697"/>
      <c r="F1767" s="697"/>
      <c r="G1767" s="697"/>
      <c r="H1767" s="697"/>
      <c r="I1767" s="697"/>
      <c r="J1767" s="697"/>
      <c r="K1767" s="697"/>
      <c r="L1767" s="697"/>
      <c r="M1767" s="697"/>
      <c r="N1767" s="697"/>
      <c r="O1767" s="694"/>
      <c r="P1767" s="695"/>
      <c r="Q1767" s="698"/>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690" t="s">
        <v>494</v>
      </c>
      <c r="P1768" s="693"/>
      <c r="Q1768" s="699"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441" t="s">
        <v>498</v>
      </c>
      <c r="F1769" s="703"/>
      <c r="G1769" s="441"/>
      <c r="H1769" s="703"/>
      <c r="I1769" s="703"/>
      <c r="M1769" s="12"/>
      <c r="N1769" s="12"/>
      <c r="O1769" s="690" t="s">
        <v>496</v>
      </c>
      <c r="P1769" s="693"/>
      <c r="Q1769" s="699"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690" t="s">
        <v>499</v>
      </c>
      <c r="P1770" s="693"/>
      <c r="Q1770" s="699"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705" t="s">
        <v>467</v>
      </c>
      <c r="B1771" s="706"/>
      <c r="C1771" s="707"/>
      <c r="D1771" s="704"/>
      <c r="E1771" s="704"/>
      <c r="F1771" s="704"/>
      <c r="G1771" s="704"/>
      <c r="H1771" s="704"/>
      <c r="I1771" s="704"/>
      <c r="J1771" s="704"/>
      <c r="K1771" s="704"/>
      <c r="L1771" s="704"/>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500" t="s">
        <v>468</v>
      </c>
      <c r="E1772" s="500" t="s">
        <v>505</v>
      </c>
      <c r="M1772" s="12"/>
      <c r="N1772" s="12"/>
      <c r="O1772" s="12"/>
      <c r="P1772" s="12"/>
      <c r="Q1772" s="699"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83"/>
      <c r="B1773" s="484"/>
      <c r="C1773" s="20" t="s">
        <v>469</v>
      </c>
      <c r="D1773" s="303" t="s">
        <v>478</v>
      </c>
      <c r="E1773" s="303" t="s">
        <v>478</v>
      </c>
      <c r="M1773" s="12"/>
      <c r="N1773" s="12"/>
      <c r="O1773" s="12"/>
      <c r="P1773" s="12"/>
      <c r="Q1773" s="699"/>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85"/>
      <c r="C1774" s="20" t="s">
        <v>479</v>
      </c>
      <c r="E1774" s="14"/>
      <c r="M1774" s="12"/>
      <c r="N1774" s="12"/>
      <c r="O1774" s="12"/>
      <c r="P1774" s="12"/>
      <c r="Q1774" s="699"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85"/>
      <c r="B1775" s="10">
        <v>0</v>
      </c>
      <c r="C1775" s="126" t="s">
        <v>481</v>
      </c>
      <c r="E1775" s="14"/>
      <c r="M1775" s="12"/>
      <c r="N1775" s="12"/>
      <c r="O1775" s="12"/>
      <c r="P1775" s="12"/>
      <c r="Q1775" s="699"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85"/>
      <c r="B1776" s="10">
        <v>1</v>
      </c>
      <c r="C1776" s="807" t="s">
        <v>482</v>
      </c>
      <c r="D1776" s="811">
        <v>6.1244446078418946E-3</v>
      </c>
      <c r="E1776" s="811">
        <v>5.3906024298502331E-3</v>
      </c>
      <c r="F1776" s="302" t="s">
        <v>2151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85" t="s">
        <v>483</v>
      </c>
      <c r="B1777" s="10">
        <v>2</v>
      </c>
      <c r="C1777" s="182" t="s">
        <v>484</v>
      </c>
      <c r="D1777" s="810">
        <v>-7.8016393354566338E-3</v>
      </c>
      <c r="E1777" s="810">
        <v>-6.3705142428090999E-3</v>
      </c>
      <c r="F1777" s="302"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85" t="s">
        <v>483</v>
      </c>
      <c r="B1778" s="10">
        <v>3</v>
      </c>
      <c r="C1778" s="182" t="s">
        <v>485</v>
      </c>
      <c r="D1778" s="810">
        <v>6.2514987067481265E-3</v>
      </c>
      <c r="E1778" s="810">
        <v>3.5265583166539383E-3</v>
      </c>
      <c r="F1778" s="302"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85" t="s">
        <v>483</v>
      </c>
      <c r="B1779" s="10">
        <v>4</v>
      </c>
      <c r="C1779" s="182" t="s">
        <v>486</v>
      </c>
      <c r="D1779" s="810">
        <v>9.748976115757868E-3</v>
      </c>
      <c r="E1779" s="810">
        <v>6.7166791378556745E-3</v>
      </c>
      <c r="F1779" s="302"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85" t="s">
        <v>483</v>
      </c>
      <c r="B1780" s="10">
        <v>5</v>
      </c>
      <c r="C1780" s="182" t="s">
        <v>487</v>
      </c>
      <c r="D1780" s="810">
        <v>-5.2701042928582353E-4</v>
      </c>
      <c r="E1780" s="810">
        <v>4.4497734674939782E-3</v>
      </c>
      <c r="F1780" s="302" t="s">
        <v>2152</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85" t="s">
        <v>483</v>
      </c>
      <c r="B1781" s="10">
        <v>6</v>
      </c>
      <c r="C1781" s="182" t="s">
        <v>488</v>
      </c>
      <c r="D1781" s="810">
        <v>1.670494871211603E-2</v>
      </c>
      <c r="E1781" s="810">
        <v>1.0992356943558379E-2</v>
      </c>
      <c r="F1781" s="30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85" t="s">
        <v>483</v>
      </c>
      <c r="B1782" s="10">
        <v>7</v>
      </c>
      <c r="C1782" s="182" t="s">
        <v>489</v>
      </c>
      <c r="D1782" s="810">
        <v>1.649679802463222E-2</v>
      </c>
      <c r="E1782" s="810">
        <v>1.7408508457293692E-2</v>
      </c>
      <c r="F1782" s="302"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85" t="s">
        <v>483</v>
      </c>
      <c r="B1783" s="10">
        <v>8</v>
      </c>
      <c r="C1783" s="807" t="s">
        <v>490</v>
      </c>
      <c r="D1783" s="811">
        <v>8.7908194773067497E-3</v>
      </c>
      <c r="E1783" s="811">
        <v>7.5776637279063586E-3</v>
      </c>
      <c r="F1783" s="302"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85" t="s">
        <v>483</v>
      </c>
      <c r="B1784" s="10">
        <v>9</v>
      </c>
      <c r="C1784" s="182" t="s">
        <v>491</v>
      </c>
      <c r="D1784" s="810">
        <f>D1777</f>
        <v>-7.8016393354566338E-3</v>
      </c>
      <c r="E1784" s="810">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85" t="s">
        <v>483</v>
      </c>
      <c r="B1785" s="10">
        <v>10</v>
      </c>
      <c r="C1785" s="182" t="s">
        <v>492</v>
      </c>
      <c r="D1785" s="810">
        <v>9.1877436581744298E-3</v>
      </c>
      <c r="E1785" s="81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85" t="s">
        <v>483</v>
      </c>
      <c r="B1786" s="10">
        <v>11</v>
      </c>
      <c r="C1786" s="182" t="s">
        <v>493</v>
      </c>
      <c r="D1786" s="810">
        <v>8.4136487204315991E-3</v>
      </c>
      <c r="E1786" s="81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85" t="s">
        <v>483</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85"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51">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441"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7"/>
  <sheetViews>
    <sheetView showGridLines="0" zoomScale="80" zoomScaleNormal="80" zoomScaleSheetLayoutView="80" workbookViewId="0">
      <selection activeCell="J25" sqref="J25"/>
    </sheetView>
  </sheetViews>
  <sheetFormatPr defaultColWidth="8.777343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77734375" customWidth="1"/>
    <col min="22" max="35" width="8.77734375" customWidth="1"/>
  </cols>
  <sheetData>
    <row r="1" spans="2:34" ht="30" customHeight="1" x14ac:dyDescent="0.3">
      <c r="B1" s="446" t="str">
        <f>'Inputs and population'!B1</f>
        <v>Benralizumab for treating relapsing or refractory eosinophilic granulomatosis with polyangiitis</v>
      </c>
      <c r="C1" s="115"/>
      <c r="D1" s="115"/>
      <c r="E1" s="115"/>
      <c r="F1" s="115"/>
      <c r="G1" s="115"/>
      <c r="H1" s="115"/>
      <c r="I1" s="115"/>
      <c r="J1" s="115"/>
      <c r="K1" s="115"/>
      <c r="L1" s="115"/>
      <c r="M1" s="115"/>
      <c r="N1" s="115"/>
      <c r="O1" s="115"/>
      <c r="P1" s="115"/>
      <c r="Q1" s="115"/>
      <c r="R1" s="115"/>
      <c r="S1" s="115"/>
      <c r="T1" s="115"/>
    </row>
    <row r="2" spans="2:34" ht="38.1" customHeight="1" x14ac:dyDescent="0.3">
      <c r="B2" s="329" t="s">
        <v>745</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3">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5" customFormat="1" x14ac:dyDescent="0.3">
      <c r="B4" s="220" t="s">
        <v>746</v>
      </c>
      <c r="F4" s="121"/>
      <c r="G4" s="121"/>
      <c r="H4" s="121"/>
      <c r="I4" s="121"/>
      <c r="J4" s="121" t="s">
        <v>599</v>
      </c>
      <c r="K4" s="121"/>
      <c r="L4" s="121"/>
      <c r="M4" s="121"/>
      <c r="N4" s="121"/>
      <c r="O4" s="121"/>
      <c r="P4" s="121"/>
      <c r="Q4" s="121"/>
      <c r="R4" s="121"/>
      <c r="S4" s="121"/>
      <c r="T4" s="121"/>
    </row>
    <row r="5" spans="2:34" s="215" customFormat="1" x14ac:dyDescent="0.3">
      <c r="B5" s="220" t="s">
        <v>747</v>
      </c>
      <c r="F5" s="121"/>
      <c r="G5" s="121"/>
      <c r="H5" s="121"/>
      <c r="I5" s="121"/>
      <c r="J5" s="121"/>
      <c r="K5" s="121"/>
      <c r="L5" s="121"/>
      <c r="M5" s="121"/>
      <c r="N5" s="121"/>
      <c r="O5" s="121"/>
      <c r="P5" s="121"/>
      <c r="Q5" s="121"/>
      <c r="R5" s="121"/>
      <c r="S5" s="121"/>
      <c r="T5" s="121"/>
    </row>
    <row r="6" spans="2:34" s="215" customFormat="1" x14ac:dyDescent="0.3">
      <c r="B6" s="220"/>
      <c r="C6" s="121" t="s">
        <v>599</v>
      </c>
      <c r="D6" s="121" t="s">
        <v>599</v>
      </c>
      <c r="E6" s="121"/>
      <c r="F6" s="121"/>
      <c r="G6" s="121"/>
      <c r="H6" s="121"/>
      <c r="I6" s="121" t="s">
        <v>599</v>
      </c>
      <c r="J6" s="121" t="s">
        <v>599</v>
      </c>
      <c r="K6" s="121"/>
      <c r="L6" s="121"/>
      <c r="M6" s="121"/>
      <c r="N6" s="121"/>
      <c r="O6" s="121"/>
      <c r="P6" s="121"/>
      <c r="Q6" s="121"/>
      <c r="R6" s="121"/>
      <c r="S6" s="121"/>
      <c r="T6" s="121"/>
    </row>
    <row r="7" spans="2:34" s="215" customFormat="1" ht="43.2" x14ac:dyDescent="0.3">
      <c r="B7" s="230" t="s">
        <v>725</v>
      </c>
      <c r="C7" s="241"/>
      <c r="D7" s="796" t="s">
        <v>748</v>
      </c>
      <c r="E7" s="242" t="s">
        <v>591</v>
      </c>
      <c r="F7" s="242" t="s">
        <v>592</v>
      </c>
      <c r="G7" s="243" t="s">
        <v>722</v>
      </c>
      <c r="H7" s="243" t="s">
        <v>723</v>
      </c>
      <c r="I7" s="242" t="s">
        <v>724</v>
      </c>
      <c r="K7" s="121"/>
      <c r="L7" s="121"/>
      <c r="N7" s="121"/>
      <c r="O7" s="121"/>
      <c r="P7" s="121"/>
      <c r="Q7" s="121"/>
      <c r="R7" s="121"/>
      <c r="S7" s="121"/>
      <c r="T7" s="121"/>
    </row>
    <row r="8" spans="2:34" s="136" customFormat="1" x14ac:dyDescent="0.3">
      <c r="B8" s="202" t="s">
        <v>725</v>
      </c>
      <c r="C8" s="163"/>
      <c r="D8" s="162">
        <f>'Inputs and population'!E30</f>
        <v>1330.3733043515219</v>
      </c>
      <c r="E8" s="162">
        <f>'Inputs and population'!F30</f>
        <v>1342.0683759075043</v>
      </c>
      <c r="F8" s="162">
        <f>'Inputs and population'!G30</f>
        <v>1353.8662567263095</v>
      </c>
      <c r="G8" s="162">
        <f>'Inputs and population'!H30</f>
        <v>1365.7678505856074</v>
      </c>
      <c r="H8" s="162">
        <f>'Inputs and population'!I30</f>
        <v>1377.7740692080147</v>
      </c>
      <c r="I8" s="162">
        <f>'Inputs and population'!J30</f>
        <v>1389.8858323309369</v>
      </c>
      <c r="K8" s="121"/>
      <c r="L8" s="121"/>
    </row>
    <row r="9" spans="2:34" s="215" customFormat="1" x14ac:dyDescent="0.3">
      <c r="B9" s="217" t="s">
        <v>599</v>
      </c>
      <c r="C9" s="121" t="s">
        <v>599</v>
      </c>
      <c r="D9" s="121" t="s">
        <v>599</v>
      </c>
      <c r="E9" s="121" t="s">
        <v>599</v>
      </c>
      <c r="F9" s="121" t="s">
        <v>599</v>
      </c>
      <c r="G9" s="121" t="s">
        <v>599</v>
      </c>
      <c r="H9" s="121"/>
      <c r="I9" s="121"/>
      <c r="K9" s="121"/>
      <c r="L9" s="121"/>
      <c r="N9" s="121"/>
      <c r="O9" s="121"/>
      <c r="P9" s="121"/>
      <c r="Q9" s="121"/>
      <c r="R9" s="121"/>
      <c r="S9" s="121"/>
      <c r="T9" s="121"/>
      <c r="AD9" s="244"/>
      <c r="AE9" s="244"/>
      <c r="AF9" s="244"/>
      <c r="AG9" s="244"/>
      <c r="AH9" s="244"/>
    </row>
    <row r="10" spans="2:34" s="215" customFormat="1" x14ac:dyDescent="0.3">
      <c r="B10" s="304" t="s">
        <v>727</v>
      </c>
      <c r="C10" s="305"/>
      <c r="D10" s="306"/>
      <c r="E10" s="306"/>
      <c r="F10" s="306"/>
      <c r="G10" s="306"/>
      <c r="H10" s="306"/>
      <c r="I10" s="307"/>
      <c r="K10" s="121"/>
      <c r="L10" s="121"/>
      <c r="N10" s="121"/>
      <c r="O10" s="121"/>
      <c r="P10" s="121"/>
      <c r="Q10" s="121"/>
      <c r="R10" s="121"/>
      <c r="S10" s="121"/>
      <c r="T10" s="121"/>
    </row>
    <row r="11" spans="2:34" s="215" customFormat="1" x14ac:dyDescent="0.3">
      <c r="B11" s="217"/>
      <c r="C11" s="121"/>
      <c r="D11" s="121"/>
      <c r="E11" s="121"/>
      <c r="F11" s="121"/>
      <c r="G11" s="121"/>
      <c r="H11" s="121"/>
      <c r="I11" s="121"/>
      <c r="N11" s="121"/>
      <c r="O11" s="121"/>
      <c r="P11" s="121"/>
      <c r="Q11" s="121"/>
      <c r="R11" s="121"/>
      <c r="S11" s="121"/>
      <c r="T11" s="121"/>
      <c r="AD11" s="244"/>
      <c r="AE11" s="244"/>
      <c r="AF11" s="244"/>
      <c r="AG11" s="244"/>
      <c r="AH11" s="244"/>
    </row>
    <row r="12" spans="2:34" s="215" customFormat="1" x14ac:dyDescent="0.3">
      <c r="B12" s="250" t="s">
        <v>749</v>
      </c>
      <c r="C12" s="245"/>
      <c r="D12" s="164"/>
      <c r="E12" s="164"/>
      <c r="F12" s="164"/>
      <c r="G12" s="164"/>
      <c r="H12" s="164"/>
      <c r="I12" s="165"/>
      <c r="N12" s="121"/>
      <c r="O12" s="121"/>
      <c r="P12" s="121"/>
      <c r="Q12" s="121"/>
      <c r="R12" s="121"/>
      <c r="S12" s="121"/>
      <c r="T12" s="121"/>
    </row>
    <row r="13" spans="2:34" s="215" customFormat="1" x14ac:dyDescent="0.3">
      <c r="B13" s="310" t="str">
        <f>'Inputs and population'!C40</f>
        <v>benralizumab  - Year 1</v>
      </c>
      <c r="C13" s="797"/>
      <c r="D13" s="246">
        <f>'Inputs and population'!D40</f>
        <v>0</v>
      </c>
      <c r="E13" s="246">
        <f>'Inputs and population'!E40</f>
        <v>268.41367518150088</v>
      </c>
      <c r="F13" s="246">
        <f>'Inputs and population'!F40</f>
        <v>273.132827509023</v>
      </c>
      <c r="G13" s="246">
        <f>'Inputs and population'!G40</f>
        <v>277.91420766084059</v>
      </c>
      <c r="H13" s="246">
        <f>'Inputs and population'!H40</f>
        <v>282.75854501504728</v>
      </c>
      <c r="I13" s="246">
        <f>'Inputs and population'!I40</f>
        <v>9.6894104983377929</v>
      </c>
      <c r="N13" s="121"/>
      <c r="O13" s="121"/>
      <c r="P13" s="121"/>
      <c r="Q13" s="121"/>
      <c r="R13" s="121"/>
      <c r="S13" s="121"/>
      <c r="T13" s="121"/>
      <c r="V13" s="244"/>
      <c r="W13" s="244"/>
      <c r="X13" s="244"/>
      <c r="Y13" s="244"/>
      <c r="Z13" s="244"/>
      <c r="AA13" s="244"/>
      <c r="AC13" s="244"/>
      <c r="AD13" s="244"/>
      <c r="AE13" s="244"/>
      <c r="AF13" s="244"/>
      <c r="AG13" s="244"/>
      <c r="AH13" s="244"/>
    </row>
    <row r="14" spans="2:34" s="215" customFormat="1" x14ac:dyDescent="0.3">
      <c r="B14" s="310" t="str">
        <f>'Inputs and population'!C41</f>
        <v>benralizumab  - Year 2</v>
      </c>
      <c r="C14" s="797"/>
      <c r="D14" s="246">
        <f>'Inputs and population'!D41</f>
        <v>0</v>
      </c>
      <c r="E14" s="246">
        <f>'Inputs and population'!E41</f>
        <v>0</v>
      </c>
      <c r="F14" s="246">
        <f>'Inputs and population'!F41</f>
        <v>228.15162390427574</v>
      </c>
      <c r="G14" s="246">
        <f>'Inputs and population'!G41</f>
        <v>232.16290338266955</v>
      </c>
      <c r="H14" s="246">
        <f>'Inputs and population'!H41</f>
        <v>236.2270765117145</v>
      </c>
      <c r="I14" s="246">
        <f>'Inputs and population'!I41</f>
        <v>240.34476326279017</v>
      </c>
      <c r="N14" s="121"/>
      <c r="O14" s="121"/>
      <c r="P14" s="121"/>
      <c r="Q14" s="121"/>
      <c r="R14" s="121"/>
      <c r="S14" s="121"/>
      <c r="T14" s="121"/>
      <c r="V14" s="244"/>
      <c r="W14" s="244"/>
      <c r="X14" s="244"/>
      <c r="Y14" s="244"/>
      <c r="Z14" s="244"/>
      <c r="AA14" s="244"/>
      <c r="AC14" s="244"/>
      <c r="AD14" s="244"/>
      <c r="AE14" s="244"/>
      <c r="AF14" s="244"/>
      <c r="AG14" s="244"/>
      <c r="AH14" s="244"/>
    </row>
    <row r="15" spans="2:34" s="215" customFormat="1" x14ac:dyDescent="0.3">
      <c r="B15" s="310" t="str">
        <f>'Inputs and population'!C42</f>
        <v>benralizumab  - Year 3</v>
      </c>
      <c r="C15" s="797"/>
      <c r="D15" s="246">
        <f>'Inputs and population'!D42</f>
        <v>0</v>
      </c>
      <c r="E15" s="246">
        <f>'Inputs and population'!E42</f>
        <v>0</v>
      </c>
      <c r="F15" s="246">
        <f>'Inputs and population'!F42</f>
        <v>0</v>
      </c>
      <c r="G15" s="246">
        <f>'Inputs and population'!G42</f>
        <v>216.74404270906194</v>
      </c>
      <c r="H15" s="246">
        <f>'Inputs and population'!H42</f>
        <v>220.55475821353608</v>
      </c>
      <c r="I15" s="246">
        <f>'Inputs and population'!I42</f>
        <v>224.41572268612876</v>
      </c>
      <c r="N15" s="121"/>
      <c r="O15" s="121"/>
      <c r="P15" s="121"/>
      <c r="Q15" s="121"/>
      <c r="R15" s="121"/>
      <c r="S15" s="121"/>
      <c r="T15" s="121"/>
      <c r="V15" s="244"/>
      <c r="W15" s="244"/>
      <c r="X15" s="244"/>
      <c r="Y15" s="244"/>
      <c r="Z15" s="244"/>
      <c r="AA15" s="244"/>
      <c r="AC15" s="244"/>
      <c r="AD15" s="244"/>
      <c r="AE15" s="244"/>
      <c r="AF15" s="244"/>
      <c r="AG15" s="244"/>
      <c r="AH15" s="244"/>
    </row>
    <row r="16" spans="2:34" s="215" customFormat="1" x14ac:dyDescent="0.3">
      <c r="B16" s="310" t="str">
        <f>'Inputs and population'!C43</f>
        <v>benralizumab  - Year 4</v>
      </c>
      <c r="C16" s="797"/>
      <c r="D16" s="246">
        <f>'Inputs and population'!D43</f>
        <v>0</v>
      </c>
      <c r="E16" s="246">
        <f>'Inputs and population'!E43</f>
        <v>0</v>
      </c>
      <c r="F16" s="246">
        <f>'Inputs and population'!F43</f>
        <v>0</v>
      </c>
      <c r="G16" s="246">
        <f>'Inputs and population'!G43</f>
        <v>0</v>
      </c>
      <c r="H16" s="246">
        <f>'Inputs and population'!H43</f>
        <v>205.90684057360883</v>
      </c>
      <c r="I16" s="246">
        <f>'Inputs and population'!I43</f>
        <v>209.52702030285926</v>
      </c>
      <c r="N16" s="121"/>
      <c r="O16" s="121"/>
      <c r="P16" s="121"/>
      <c r="Q16" s="121"/>
      <c r="R16" s="121"/>
      <c r="S16" s="121"/>
      <c r="T16" s="121"/>
      <c r="V16" s="244"/>
      <c r="W16" s="244"/>
      <c r="X16" s="244"/>
      <c r="Y16" s="244"/>
      <c r="Z16" s="244"/>
      <c r="AA16" s="244"/>
      <c r="AC16" s="244"/>
      <c r="AD16" s="244"/>
      <c r="AE16" s="244"/>
      <c r="AF16" s="244"/>
      <c r="AG16" s="244"/>
      <c r="AH16" s="244"/>
    </row>
    <row r="17" spans="2:34" s="215" customFormat="1" x14ac:dyDescent="0.3">
      <c r="B17" s="310" t="str">
        <f>'Inputs and population'!C44</f>
        <v>benralizumab  - Year 5</v>
      </c>
      <c r="C17" s="797"/>
      <c r="D17" s="246">
        <f>'Inputs and population'!D44</f>
        <v>0</v>
      </c>
      <c r="E17" s="246">
        <f>'Inputs and population'!E44</f>
        <v>0</v>
      </c>
      <c r="F17" s="246">
        <f>'Inputs and population'!F44</f>
        <v>0</v>
      </c>
      <c r="G17" s="246">
        <f>'Inputs and population'!G44</f>
        <v>0</v>
      </c>
      <c r="H17" s="246">
        <f>'Inputs and population'!H44</f>
        <v>0</v>
      </c>
      <c r="I17" s="246">
        <f>'Inputs and population'!I44</f>
        <v>195.61149854492839</v>
      </c>
      <c r="N17" s="121"/>
      <c r="O17" s="121"/>
      <c r="P17" s="121"/>
      <c r="Q17" s="121"/>
      <c r="R17" s="121"/>
      <c r="S17" s="121"/>
      <c r="T17" s="121"/>
      <c r="V17" s="244"/>
      <c r="W17" s="244"/>
      <c r="X17" s="244"/>
      <c r="Y17" s="244"/>
      <c r="Z17" s="244"/>
      <c r="AA17" s="244"/>
      <c r="AC17" s="244"/>
      <c r="AD17" s="244"/>
      <c r="AE17" s="244"/>
      <c r="AF17" s="244"/>
      <c r="AG17" s="244"/>
      <c r="AH17" s="244"/>
    </row>
    <row r="18" spans="2:34" s="215" customFormat="1" x14ac:dyDescent="0.3">
      <c r="B18" s="310" t="str">
        <f>'Inputs and population'!C45</f>
        <v>People who have stopped benralizumab and now having standard of care</v>
      </c>
      <c r="C18" s="797"/>
      <c r="D18" s="246">
        <f>'Inputs and population'!D45</f>
        <v>0</v>
      </c>
      <c r="E18" s="246">
        <f>'Inputs and population'!E45</f>
        <v>0</v>
      </c>
      <c r="F18" s="246">
        <f>'Inputs and population'!F45</f>
        <v>40.262051277225133</v>
      </c>
      <c r="G18" s="246">
        <f>'Inputs and population'!G45</f>
        <v>92.639556598792367</v>
      </c>
      <c r="H18" s="246">
        <f>'Inputs and population'!H45</f>
        <v>156.77203505250503</v>
      </c>
      <c r="I18" s="246">
        <f>'Inputs and population'!I45</f>
        <v>232.32025056970511</v>
      </c>
      <c r="N18" s="121"/>
      <c r="O18" s="121"/>
      <c r="P18" s="121"/>
      <c r="Q18" s="121"/>
      <c r="R18" s="121"/>
      <c r="S18" s="121"/>
      <c r="T18" s="121"/>
      <c r="V18" s="244"/>
      <c r="W18" s="244"/>
      <c r="X18" s="244"/>
      <c r="Y18" s="244"/>
      <c r="Z18" s="244"/>
      <c r="AA18" s="244"/>
      <c r="AC18" s="244"/>
      <c r="AD18" s="244"/>
      <c r="AE18" s="244"/>
      <c r="AF18" s="244"/>
      <c r="AG18" s="244"/>
      <c r="AH18" s="244"/>
    </row>
    <row r="19" spans="2:34" s="215" customFormat="1" x14ac:dyDescent="0.3">
      <c r="B19" s="310" t="str">
        <f>'Inputs and population'!C46</f>
        <v>Standard of care</v>
      </c>
      <c r="C19" s="863"/>
      <c r="D19" s="246">
        <f>'Inputs and population'!D46</f>
        <v>1330.3733043515219</v>
      </c>
      <c r="E19" s="246">
        <f>'Inputs and population'!E46</f>
        <v>1073.6547007260035</v>
      </c>
      <c r="F19" s="246">
        <f>'Inputs and population'!F46</f>
        <v>812.31975403578565</v>
      </c>
      <c r="G19" s="246">
        <f>'Inputs and population'!G46</f>
        <v>546.30714023424298</v>
      </c>
      <c r="H19" s="246">
        <f>'Inputs and population'!H46</f>
        <v>275.55481384160288</v>
      </c>
      <c r="I19" s="246">
        <f>'Inputs and population'!I46</f>
        <v>277.97716646618733</v>
      </c>
      <c r="N19" s="121"/>
      <c r="O19" s="121"/>
      <c r="P19" s="121"/>
      <c r="Q19" s="121"/>
      <c r="R19" s="121"/>
      <c r="S19" s="121"/>
      <c r="T19" s="121"/>
      <c r="V19" s="244"/>
      <c r="W19" s="244"/>
      <c r="X19" s="244"/>
      <c r="Y19" s="244"/>
      <c r="Z19" s="244"/>
      <c r="AA19" s="244"/>
      <c r="AC19" s="244"/>
      <c r="AD19" s="244"/>
      <c r="AE19" s="244"/>
      <c r="AF19" s="244"/>
      <c r="AG19" s="244"/>
      <c r="AH19" s="244"/>
    </row>
    <row r="20" spans="2:34" s="215" customFormat="1" x14ac:dyDescent="0.3">
      <c r="B20" s="251"/>
      <c r="C20" s="166"/>
      <c r="D20" s="167">
        <f t="shared" ref="D20:I20" si="0">SUM(D13:D19)</f>
        <v>1330.3733043515219</v>
      </c>
      <c r="E20" s="167">
        <f t="shared" si="0"/>
        <v>1342.0683759075043</v>
      </c>
      <c r="F20" s="167">
        <f t="shared" si="0"/>
        <v>1353.8662567263095</v>
      </c>
      <c r="G20" s="167">
        <f t="shared" si="0"/>
        <v>1365.7678505856074</v>
      </c>
      <c r="H20" s="167">
        <f t="shared" si="0"/>
        <v>1377.7740692080147</v>
      </c>
      <c r="I20" s="167">
        <f t="shared" si="0"/>
        <v>1389.8858323309369</v>
      </c>
      <c r="N20" s="121"/>
      <c r="O20" s="121"/>
      <c r="P20" s="121"/>
      <c r="Q20" s="121"/>
      <c r="R20" s="121"/>
      <c r="S20" s="121"/>
      <c r="T20" s="121"/>
      <c r="V20" s="244"/>
      <c r="W20" s="244"/>
      <c r="X20" s="244"/>
      <c r="Y20" s="244"/>
      <c r="Z20" s="244"/>
      <c r="AA20" s="244"/>
      <c r="AC20" s="244"/>
      <c r="AD20" s="244"/>
      <c r="AE20" s="244"/>
      <c r="AF20" s="244"/>
      <c r="AG20" s="244"/>
      <c r="AH20" s="244"/>
    </row>
    <row r="21" spans="2:34" s="215" customFormat="1" x14ac:dyDescent="0.3">
      <c r="B21" s="252"/>
      <c r="C21" s="121"/>
      <c r="D21" s="121"/>
      <c r="E21" s="121"/>
      <c r="F21" s="121"/>
      <c r="G21" s="121"/>
      <c r="H21" s="121"/>
      <c r="I21" s="121"/>
      <c r="N21" s="121"/>
      <c r="O21" s="121"/>
      <c r="P21" s="121"/>
      <c r="Q21" s="121"/>
      <c r="R21" s="121"/>
      <c r="S21" s="121"/>
      <c r="T21" s="121"/>
      <c r="AD21" s="244"/>
      <c r="AE21" s="244"/>
      <c r="AF21" s="244"/>
      <c r="AG21" s="244"/>
      <c r="AH21" s="244"/>
    </row>
    <row r="22" spans="2:34" s="215" customFormat="1" x14ac:dyDescent="0.3">
      <c r="B22" s="253" t="s">
        <v>750</v>
      </c>
      <c r="C22" s="247" t="s">
        <v>751</v>
      </c>
      <c r="D22" s="537" t="s">
        <v>728</v>
      </c>
      <c r="E22" s="537" t="s">
        <v>728</v>
      </c>
      <c r="F22" s="537" t="s">
        <v>728</v>
      </c>
      <c r="G22" s="537" t="s">
        <v>728</v>
      </c>
      <c r="H22" s="537" t="s">
        <v>728</v>
      </c>
      <c r="I22" s="537" t="s">
        <v>728</v>
      </c>
      <c r="N22" s="121"/>
      <c r="O22" s="121"/>
      <c r="P22" s="121"/>
      <c r="Q22" s="121"/>
      <c r="R22" s="121"/>
      <c r="S22" s="121"/>
      <c r="T22" s="121"/>
      <c r="AD22" s="244"/>
      <c r="AE22" s="244"/>
      <c r="AF22" s="244"/>
      <c r="AG22" s="244"/>
      <c r="AH22" s="244"/>
    </row>
    <row r="23" spans="2:34" s="215" customFormat="1" x14ac:dyDescent="0.3">
      <c r="B23" s="309" t="str">
        <f>B13</f>
        <v>benralizumab  - Year 1</v>
      </c>
      <c r="C23" s="248">
        <f>'Unit costs'!$R$23</f>
        <v>0</v>
      </c>
      <c r="D23" s="248">
        <f>D13*$C23/1000</f>
        <v>0</v>
      </c>
      <c r="E23" s="248">
        <f t="shared" ref="E23:I23" si="1">E13*$C23/1000</f>
        <v>0</v>
      </c>
      <c r="F23" s="248">
        <f t="shared" si="1"/>
        <v>0</v>
      </c>
      <c r="G23" s="248">
        <f t="shared" si="1"/>
        <v>0</v>
      </c>
      <c r="H23" s="248">
        <f t="shared" si="1"/>
        <v>0</v>
      </c>
      <c r="I23" s="248">
        <f t="shared" si="1"/>
        <v>0</v>
      </c>
      <c r="N23" s="121"/>
      <c r="O23" s="121"/>
      <c r="P23" s="121"/>
      <c r="Q23" s="121"/>
      <c r="R23" s="121"/>
      <c r="S23" s="121"/>
      <c r="T23" s="121"/>
      <c r="AD23" s="244"/>
      <c r="AE23" s="244"/>
      <c r="AF23" s="244"/>
      <c r="AG23" s="244"/>
      <c r="AH23" s="244"/>
    </row>
    <row r="24" spans="2:34" s="215" customFormat="1" x14ac:dyDescent="0.3">
      <c r="B24" s="309" t="str">
        <f t="shared" ref="B24:B29" si="2">B14</f>
        <v>benralizumab  - Year 2</v>
      </c>
      <c r="C24" s="248">
        <f>'Unit costs'!$R$23</f>
        <v>0</v>
      </c>
      <c r="D24" s="248">
        <f t="shared" ref="D24:I24" si="3">D14*$C24/1000</f>
        <v>0</v>
      </c>
      <c r="E24" s="248">
        <f t="shared" si="3"/>
        <v>0</v>
      </c>
      <c r="F24" s="248">
        <f t="shared" si="3"/>
        <v>0</v>
      </c>
      <c r="G24" s="248">
        <f t="shared" si="3"/>
        <v>0</v>
      </c>
      <c r="H24" s="248">
        <f t="shared" si="3"/>
        <v>0</v>
      </c>
      <c r="I24" s="248">
        <f t="shared" si="3"/>
        <v>0</v>
      </c>
      <c r="N24" s="121"/>
      <c r="O24" s="121"/>
      <c r="P24" s="121"/>
      <c r="Q24" s="121"/>
      <c r="R24" s="121"/>
      <c r="S24" s="121"/>
      <c r="T24" s="121"/>
      <c r="AD24" s="244"/>
      <c r="AE24" s="244"/>
      <c r="AF24" s="244"/>
      <c r="AG24" s="244"/>
      <c r="AH24" s="244"/>
    </row>
    <row r="25" spans="2:34" s="215" customFormat="1" x14ac:dyDescent="0.3">
      <c r="B25" s="309" t="str">
        <f t="shared" si="2"/>
        <v>benralizumab  - Year 3</v>
      </c>
      <c r="C25" s="248">
        <f>'Unit costs'!$R$23</f>
        <v>0</v>
      </c>
      <c r="D25" s="248">
        <f t="shared" ref="D25:I25" si="4">D15*$C25/1000</f>
        <v>0</v>
      </c>
      <c r="E25" s="248">
        <f t="shared" si="4"/>
        <v>0</v>
      </c>
      <c r="F25" s="248">
        <f t="shared" si="4"/>
        <v>0</v>
      </c>
      <c r="G25" s="248">
        <f t="shared" si="4"/>
        <v>0</v>
      </c>
      <c r="H25" s="248">
        <f t="shared" si="4"/>
        <v>0</v>
      </c>
      <c r="I25" s="248">
        <f t="shared" si="4"/>
        <v>0</v>
      </c>
      <c r="N25" s="121"/>
      <c r="O25" s="121"/>
      <c r="P25" s="121"/>
      <c r="Q25" s="121"/>
      <c r="R25" s="121"/>
      <c r="S25" s="121"/>
      <c r="T25" s="121"/>
      <c r="AD25" s="244"/>
      <c r="AE25" s="244"/>
      <c r="AF25" s="244"/>
      <c r="AG25" s="244"/>
      <c r="AH25" s="244"/>
    </row>
    <row r="26" spans="2:34" s="215" customFormat="1" x14ac:dyDescent="0.3">
      <c r="B26" s="309" t="str">
        <f t="shared" si="2"/>
        <v>benralizumab  - Year 4</v>
      </c>
      <c r="C26" s="248">
        <f>'Unit costs'!$R$23</f>
        <v>0</v>
      </c>
      <c r="D26" s="248">
        <f t="shared" ref="D26:I26" si="5">D16*$C26/1000</f>
        <v>0</v>
      </c>
      <c r="E26" s="248">
        <f t="shared" si="5"/>
        <v>0</v>
      </c>
      <c r="F26" s="248">
        <f t="shared" si="5"/>
        <v>0</v>
      </c>
      <c r="G26" s="248">
        <f t="shared" si="5"/>
        <v>0</v>
      </c>
      <c r="H26" s="248">
        <f t="shared" si="5"/>
        <v>0</v>
      </c>
      <c r="I26" s="248">
        <f t="shared" si="5"/>
        <v>0</v>
      </c>
      <c r="N26" s="121"/>
      <c r="O26" s="121"/>
      <c r="P26" s="121"/>
      <c r="Q26" s="121"/>
      <c r="R26" s="121"/>
      <c r="S26" s="121"/>
      <c r="T26" s="121"/>
      <c r="AD26" s="244"/>
      <c r="AE26" s="244"/>
      <c r="AF26" s="244"/>
      <c r="AG26" s="244"/>
      <c r="AH26" s="244"/>
    </row>
    <row r="27" spans="2:34" s="215" customFormat="1" x14ac:dyDescent="0.3">
      <c r="B27" s="309" t="str">
        <f t="shared" si="2"/>
        <v>benralizumab  - Year 5</v>
      </c>
      <c r="C27" s="248">
        <f>'Unit costs'!$R$23</f>
        <v>0</v>
      </c>
      <c r="D27" s="248">
        <f t="shared" ref="D27:I27" si="6">D17*$C27/1000</f>
        <v>0</v>
      </c>
      <c r="E27" s="248">
        <f t="shared" si="6"/>
        <v>0</v>
      </c>
      <c r="F27" s="248">
        <f t="shared" si="6"/>
        <v>0</v>
      </c>
      <c r="G27" s="248">
        <f t="shared" si="6"/>
        <v>0</v>
      </c>
      <c r="H27" s="248">
        <f t="shared" si="6"/>
        <v>0</v>
      </c>
      <c r="I27" s="248">
        <f t="shared" si="6"/>
        <v>0</v>
      </c>
      <c r="N27" s="121"/>
      <c r="O27" s="121"/>
      <c r="P27" s="121"/>
      <c r="Q27" s="121"/>
      <c r="R27" s="121"/>
      <c r="S27" s="121"/>
      <c r="T27" s="121"/>
      <c r="AD27" s="244"/>
      <c r="AE27" s="244"/>
      <c r="AF27" s="244"/>
      <c r="AG27" s="244"/>
      <c r="AH27" s="244"/>
    </row>
    <row r="28" spans="2:34" s="215" customFormat="1" x14ac:dyDescent="0.3">
      <c r="B28" s="309" t="str">
        <f t="shared" si="2"/>
        <v>People who have stopped benralizumab and now having standard of care</v>
      </c>
      <c r="C28" s="248">
        <v>0</v>
      </c>
      <c r="D28" s="248">
        <f t="shared" ref="D28:I28" si="7">D18*$C28/1000</f>
        <v>0</v>
      </c>
      <c r="E28" s="248">
        <f t="shared" si="7"/>
        <v>0</v>
      </c>
      <c r="F28" s="248">
        <f t="shared" si="7"/>
        <v>0</v>
      </c>
      <c r="G28" s="248">
        <f t="shared" si="7"/>
        <v>0</v>
      </c>
      <c r="H28" s="248">
        <f t="shared" si="7"/>
        <v>0</v>
      </c>
      <c r="I28" s="248">
        <f t="shared" si="7"/>
        <v>0</v>
      </c>
      <c r="N28" s="121"/>
      <c r="O28" s="121"/>
      <c r="P28" s="121"/>
      <c r="Q28" s="121"/>
      <c r="R28" s="121"/>
      <c r="S28" s="121"/>
      <c r="T28" s="121"/>
      <c r="AD28" s="244"/>
      <c r="AE28" s="244"/>
      <c r="AF28" s="244"/>
      <c r="AG28" s="244"/>
      <c r="AH28" s="244"/>
    </row>
    <row r="29" spans="2:34" s="215" customFormat="1" x14ac:dyDescent="0.3">
      <c r="B29" s="309" t="str">
        <f t="shared" si="2"/>
        <v>Standard of care</v>
      </c>
      <c r="C29" s="248">
        <v>0</v>
      </c>
      <c r="D29" s="248">
        <f t="shared" ref="D29:I29" si="8">D19*$C29/1000</f>
        <v>0</v>
      </c>
      <c r="E29" s="248">
        <f t="shared" si="8"/>
        <v>0</v>
      </c>
      <c r="F29" s="248">
        <f t="shared" si="8"/>
        <v>0</v>
      </c>
      <c r="G29" s="248">
        <f t="shared" si="8"/>
        <v>0</v>
      </c>
      <c r="H29" s="248">
        <f t="shared" si="8"/>
        <v>0</v>
      </c>
      <c r="I29" s="248">
        <f t="shared" si="8"/>
        <v>0</v>
      </c>
      <c r="N29" s="121"/>
      <c r="O29" s="121"/>
      <c r="P29" s="121"/>
      <c r="Q29" s="121"/>
      <c r="R29" s="121"/>
      <c r="S29" s="121"/>
      <c r="T29" s="121"/>
      <c r="AD29" s="244"/>
      <c r="AE29" s="244"/>
      <c r="AF29" s="244"/>
      <c r="AG29" s="244"/>
      <c r="AH29" s="244"/>
    </row>
    <row r="30" spans="2:34" s="215" customFormat="1" x14ac:dyDescent="0.3">
      <c r="B30" s="251" t="s">
        <v>752</v>
      </c>
      <c r="C30" s="530"/>
      <c r="D30" s="168">
        <f>SUM(D23:D29)</f>
        <v>0</v>
      </c>
      <c r="E30" s="168">
        <f t="shared" ref="E30:I30" si="9">SUM(E23:E29)</f>
        <v>0</v>
      </c>
      <c r="F30" s="168">
        <f t="shared" si="9"/>
        <v>0</v>
      </c>
      <c r="G30" s="168">
        <f t="shared" si="9"/>
        <v>0</v>
      </c>
      <c r="H30" s="168">
        <f t="shared" si="9"/>
        <v>0</v>
      </c>
      <c r="I30" s="168">
        <f t="shared" si="9"/>
        <v>0</v>
      </c>
      <c r="J30" s="315"/>
      <c r="N30" s="121"/>
      <c r="O30" s="121"/>
      <c r="P30" s="121"/>
      <c r="Q30" s="121"/>
      <c r="R30" s="121"/>
      <c r="S30" s="121"/>
      <c r="T30" s="121"/>
      <c r="AD30" s="244"/>
      <c r="AE30" s="244"/>
      <c r="AF30" s="244"/>
      <c r="AG30" s="244"/>
      <c r="AH30" s="244"/>
    </row>
    <row r="31" spans="2:34" s="215" customFormat="1" x14ac:dyDescent="0.3">
      <c r="B31" s="252"/>
      <c r="C31" s="121"/>
      <c r="D31" s="121"/>
      <c r="E31" s="121"/>
      <c r="F31" s="121"/>
      <c r="G31" s="121"/>
      <c r="H31" s="121"/>
      <c r="I31" s="121"/>
      <c r="N31" s="121"/>
      <c r="O31" s="121"/>
      <c r="P31" s="121"/>
      <c r="Q31" s="121"/>
      <c r="R31" s="121"/>
      <c r="S31" s="121"/>
      <c r="T31" s="121"/>
      <c r="AD31" s="244"/>
      <c r="AE31" s="244"/>
      <c r="AF31" s="244"/>
      <c r="AG31" s="244"/>
      <c r="AH31" s="244"/>
    </row>
    <row r="32" spans="2:34" s="215" customFormat="1" x14ac:dyDescent="0.3">
      <c r="B32" s="330"/>
      <c r="C32" s="249"/>
      <c r="D32" s="314" t="s">
        <v>730</v>
      </c>
      <c r="E32" s="168">
        <f>E30-$D$30</f>
        <v>0</v>
      </c>
      <c r="F32" s="168">
        <f t="shared" ref="F32:I32" si="10">F30-$D$30</f>
        <v>0</v>
      </c>
      <c r="G32" s="168">
        <f t="shared" si="10"/>
        <v>0</v>
      </c>
      <c r="H32" s="168">
        <f t="shared" si="10"/>
        <v>0</v>
      </c>
      <c r="I32" s="168">
        <f t="shared" si="10"/>
        <v>0</v>
      </c>
      <c r="N32" s="121"/>
      <c r="O32" s="121"/>
      <c r="P32" s="121"/>
      <c r="Q32" s="121"/>
      <c r="R32" s="121"/>
      <c r="S32" s="121"/>
      <c r="T32" s="121"/>
      <c r="AD32" s="244"/>
      <c r="AE32" s="244"/>
      <c r="AF32" s="244"/>
      <c r="AG32" s="244"/>
      <c r="AH32" s="244"/>
    </row>
    <row r="33" spans="2:34" s="215" customFormat="1" x14ac:dyDescent="0.3">
      <c r="B33" s="330"/>
      <c r="C33" s="249"/>
      <c r="D33" s="255" t="s">
        <v>753</v>
      </c>
      <c r="E33" s="168">
        <f>E32</f>
        <v>0</v>
      </c>
      <c r="F33" s="169">
        <f>F32-E32</f>
        <v>0</v>
      </c>
      <c r="G33" s="169">
        <f t="shared" ref="G33:I33" si="11">G32-F32</f>
        <v>0</v>
      </c>
      <c r="H33" s="169">
        <f t="shared" si="11"/>
        <v>0</v>
      </c>
      <c r="I33" s="169">
        <f t="shared" si="11"/>
        <v>0</v>
      </c>
      <c r="J33" s="121"/>
      <c r="K33" s="121"/>
      <c r="L33" s="121"/>
      <c r="M33" s="121"/>
      <c r="N33" s="121"/>
      <c r="O33" s="121"/>
      <c r="P33" s="121"/>
      <c r="Q33" s="121"/>
      <c r="R33" s="121"/>
      <c r="S33" s="121"/>
      <c r="T33" s="121"/>
      <c r="AD33" s="244"/>
      <c r="AE33" s="244"/>
      <c r="AF33" s="244"/>
      <c r="AG33" s="244"/>
      <c r="AH33" s="244"/>
    </row>
    <row r="35" spans="2:34" x14ac:dyDescent="0.3">
      <c r="J35" s="215"/>
      <c r="K35" s="215"/>
    </row>
    <row r="36" spans="2:34" x14ac:dyDescent="0.3">
      <c r="J36" s="215"/>
      <c r="K36" s="215"/>
    </row>
    <row r="37" spans="2:34" x14ac:dyDescent="0.3">
      <c r="J37" s="215"/>
      <c r="K37" s="215"/>
    </row>
  </sheetData>
  <sheetProtection algorithmName="SHA-512" hashValue="volo12PnPuc1ss0LZ2/8/jlrZTFsoAiV+Z3qXHFI8PJ5am5gTc3w0pe6HTw63YrwG7g4ZThySZF2BSNYfJcWkg==" saltValue="qE+tkT4mPSJhWSJ1QiyC+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17"/>
  <sheetViews>
    <sheetView showGridLines="0" zoomScale="60" zoomScaleNormal="60" zoomScaleSheetLayoutView="30" workbookViewId="0">
      <selection activeCell="L35" sqref="L35"/>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46" t="str">
        <f>'Inputs and population'!B1</f>
        <v>Benralizumab for treating relapsing or refractory eosinophilic granulomatosis with polyangiitis</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3">
      <c r="B2" s="191" t="s">
        <v>754</v>
      </c>
      <c r="C2" s="115" t="s">
        <v>599</v>
      </c>
      <c r="D2" s="115" t="s">
        <v>599</v>
      </c>
      <c r="E2" s="421"/>
      <c r="F2" s="115" t="s">
        <v>599</v>
      </c>
      <c r="G2" s="115" t="s">
        <v>599</v>
      </c>
      <c r="H2" s="115" t="s">
        <v>599</v>
      </c>
      <c r="I2" s="115" t="s">
        <v>599</v>
      </c>
      <c r="J2" s="115"/>
      <c r="K2" s="115"/>
      <c r="L2" s="115"/>
      <c r="M2" s="115"/>
      <c r="N2" s="115"/>
      <c r="O2" s="115"/>
      <c r="P2" s="115"/>
      <c r="Q2" s="115"/>
      <c r="R2" s="115"/>
      <c r="S2" s="115"/>
      <c r="T2" s="115"/>
      <c r="U2" s="115"/>
      <c r="V2" s="115"/>
      <c r="W2" s="115"/>
      <c r="X2" s="115"/>
      <c r="Y2" s="115"/>
      <c r="Z2" s="115"/>
    </row>
    <row r="3" spans="1:40" ht="14.55" customHeight="1" x14ac:dyDescent="0.3">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c r="Y3" s="121"/>
      <c r="Z3" s="121"/>
    </row>
    <row r="4" spans="1:40" ht="14.55" customHeight="1" x14ac:dyDescent="0.3">
      <c r="B4" t="s">
        <v>755</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21"/>
      <c r="T5" s="121"/>
      <c r="U5" s="121"/>
      <c r="V5" s="121"/>
      <c r="W5" s="121"/>
      <c r="X5" s="121"/>
      <c r="Y5" s="121"/>
      <c r="Z5" s="121"/>
    </row>
    <row r="6" spans="1:40" ht="43.2" x14ac:dyDescent="0.3">
      <c r="B6" s="230" t="s">
        <v>725</v>
      </c>
      <c r="C6" s="187"/>
      <c r="D6" s="796" t="s">
        <v>748</v>
      </c>
      <c r="E6" s="228" t="s">
        <v>591</v>
      </c>
      <c r="F6" s="228" t="s">
        <v>592</v>
      </c>
      <c r="G6" s="151" t="s">
        <v>722</v>
      </c>
      <c r="H6" s="151" t="s">
        <v>723</v>
      </c>
      <c r="I6" s="228" t="s">
        <v>724</v>
      </c>
      <c r="L6" s="796" t="s">
        <v>748</v>
      </c>
      <c r="M6" s="228" t="s">
        <v>591</v>
      </c>
      <c r="N6" s="228" t="s">
        <v>592</v>
      </c>
      <c r="O6" s="151" t="s">
        <v>722</v>
      </c>
      <c r="P6" s="151" t="s">
        <v>723</v>
      </c>
      <c r="Q6" s="228" t="s">
        <v>724</v>
      </c>
      <c r="R6" s="121"/>
      <c r="S6" s="121"/>
      <c r="T6" s="121"/>
      <c r="U6" s="121"/>
      <c r="V6" s="121"/>
      <c r="W6" s="121"/>
      <c r="X6" s="121"/>
      <c r="Y6" s="121"/>
      <c r="Z6" s="121"/>
      <c r="AJ6" s="257"/>
      <c r="AK6" s="257"/>
      <c r="AL6" s="257"/>
      <c r="AM6" s="257"/>
      <c r="AN6" s="257"/>
    </row>
    <row r="7" spans="1:40" x14ac:dyDescent="0.3">
      <c r="B7" s="202" t="s">
        <v>725</v>
      </c>
      <c r="C7" s="154"/>
      <c r="D7" s="331">
        <f>'Inputs and population'!E30</f>
        <v>1330.3733043515219</v>
      </c>
      <c r="E7" s="331">
        <f>'Inputs and population'!F30</f>
        <v>1342.0683759075043</v>
      </c>
      <c r="F7" s="331">
        <f>'Inputs and population'!G30</f>
        <v>1353.8662567263095</v>
      </c>
      <c r="G7" s="331">
        <f>'Inputs and population'!H30</f>
        <v>1365.7678505856074</v>
      </c>
      <c r="H7" s="331">
        <f>'Inputs and population'!I30</f>
        <v>1377.7740692080147</v>
      </c>
      <c r="I7" s="331">
        <f>'Inputs and population'!J30</f>
        <v>1389.8858323309369</v>
      </c>
      <c r="P7" s="121"/>
      <c r="Q7" s="121"/>
      <c r="R7" s="121"/>
      <c r="S7" s="121"/>
      <c r="T7" s="121"/>
      <c r="U7" s="121"/>
      <c r="V7" s="121"/>
      <c r="W7" s="121"/>
      <c r="X7" s="121"/>
      <c r="Y7" s="121"/>
      <c r="Z7" s="121"/>
      <c r="AJ7" s="257"/>
      <c r="AK7" s="257"/>
      <c r="AL7" s="257"/>
      <c r="AM7" s="257"/>
      <c r="AN7" s="257"/>
    </row>
    <row r="8" spans="1:40" x14ac:dyDescent="0.3">
      <c r="B8"/>
      <c r="P8" s="121"/>
      <c r="Q8" s="121"/>
      <c r="R8" s="121"/>
      <c r="S8" s="121"/>
      <c r="T8" s="121"/>
      <c r="U8" s="121"/>
      <c r="V8" s="121"/>
      <c r="W8" s="121"/>
      <c r="X8" s="121"/>
      <c r="Y8" s="121"/>
      <c r="Z8" s="121"/>
      <c r="AJ8" s="257"/>
      <c r="AK8" s="257"/>
      <c r="AL8" s="257"/>
      <c r="AM8" s="257"/>
      <c r="AN8" s="257"/>
    </row>
    <row r="9" spans="1:40" x14ac:dyDescent="0.3">
      <c r="B9" s="250" t="s">
        <v>756</v>
      </c>
      <c r="C9" s="358" t="s">
        <v>757</v>
      </c>
      <c r="D9" s="378"/>
      <c r="E9" s="379"/>
      <c r="F9" s="378"/>
      <c r="G9" s="380"/>
      <c r="H9" s="381"/>
      <c r="I9" s="465"/>
      <c r="K9" s="674" t="s">
        <v>758</v>
      </c>
      <c r="L9" s="537" t="s">
        <v>728</v>
      </c>
      <c r="M9" s="537" t="s">
        <v>728</v>
      </c>
      <c r="N9" s="537" t="s">
        <v>728</v>
      </c>
      <c r="O9" s="537" t="s">
        <v>728</v>
      </c>
      <c r="P9" s="537" t="s">
        <v>728</v>
      </c>
      <c r="Q9" s="537" t="s">
        <v>728</v>
      </c>
      <c r="R9" s="121"/>
      <c r="S9" s="121"/>
      <c r="T9" s="121"/>
      <c r="U9" s="121"/>
      <c r="V9" s="121"/>
      <c r="W9" s="121"/>
      <c r="X9" s="121"/>
      <c r="Y9" s="121"/>
      <c r="Z9" s="121"/>
      <c r="AJ9" s="257"/>
      <c r="AK9" s="257"/>
      <c r="AL9" s="257"/>
      <c r="AM9" s="257"/>
      <c r="AN9" s="257"/>
    </row>
    <row r="10" spans="1:40" x14ac:dyDescent="0.3">
      <c r="A10" s="259"/>
      <c r="B10" s="461" t="str">
        <f>B35</f>
        <v>GP appointments</v>
      </c>
      <c r="C10" s="336"/>
      <c r="D10" s="367">
        <f>D39</f>
        <v>0</v>
      </c>
      <c r="E10" s="367">
        <f t="shared" ref="E10:I10" si="0">E39</f>
        <v>0</v>
      </c>
      <c r="F10" s="367">
        <f t="shared" si="0"/>
        <v>0</v>
      </c>
      <c r="G10" s="367">
        <f t="shared" si="0"/>
        <v>0</v>
      </c>
      <c r="H10" s="367">
        <f t="shared" si="0"/>
        <v>0</v>
      </c>
      <c r="I10" s="367">
        <f t="shared" si="0"/>
        <v>0</v>
      </c>
      <c r="K10" s="154"/>
      <c r="L10" s="224"/>
      <c r="M10" s="224"/>
      <c r="N10" s="224"/>
      <c r="O10" s="224"/>
      <c r="P10" s="224"/>
      <c r="Q10" s="224"/>
      <c r="R10" s="121"/>
      <c r="S10" s="121"/>
      <c r="T10" s="121"/>
      <c r="U10" s="121"/>
      <c r="V10" s="121"/>
      <c r="W10" s="121"/>
      <c r="X10" s="121"/>
      <c r="Y10" s="121"/>
      <c r="Z10" s="121"/>
      <c r="AJ10" s="257"/>
      <c r="AK10" s="257"/>
      <c r="AL10" s="257"/>
      <c r="AM10" s="257"/>
      <c r="AN10" s="257"/>
    </row>
    <row r="11" spans="1:40" x14ac:dyDescent="0.3">
      <c r="A11" s="259"/>
      <c r="B11" s="461" t="str">
        <f>B35&amp;" - hours"</f>
        <v>GP appointments - hours</v>
      </c>
      <c r="C11" s="675">
        <f>'Capacity inputs'!F13</f>
        <v>10</v>
      </c>
      <c r="D11" s="367">
        <f>$C11/60*D10</f>
        <v>0</v>
      </c>
      <c r="E11" s="367">
        <f t="shared" ref="E11:I11" si="1">$C11/60*E10</f>
        <v>0</v>
      </c>
      <c r="F11" s="367">
        <f t="shared" si="1"/>
        <v>0</v>
      </c>
      <c r="G11" s="367">
        <f t="shared" si="1"/>
        <v>0</v>
      </c>
      <c r="H11" s="367">
        <f t="shared" si="1"/>
        <v>0</v>
      </c>
      <c r="I11" s="367">
        <f t="shared" si="1"/>
        <v>0</v>
      </c>
      <c r="K11" s="460">
        <f>'Capacity inputs'!L13</f>
        <v>96.44</v>
      </c>
      <c r="L11" s="462">
        <f>$K11*D11/1000</f>
        <v>0</v>
      </c>
      <c r="M11" s="462">
        <f t="shared" ref="M11:Q11" si="2">$K11*E11/1000</f>
        <v>0</v>
      </c>
      <c r="N11" s="462">
        <f t="shared" si="2"/>
        <v>0</v>
      </c>
      <c r="O11" s="462">
        <f t="shared" si="2"/>
        <v>0</v>
      </c>
      <c r="P11" s="462">
        <f t="shared" si="2"/>
        <v>0</v>
      </c>
      <c r="Q11" s="462">
        <f t="shared" si="2"/>
        <v>0</v>
      </c>
      <c r="R11" s="121"/>
      <c r="S11" s="121"/>
      <c r="T11" s="121"/>
      <c r="U11" s="121"/>
      <c r="V11" s="121"/>
      <c r="W11" s="121"/>
      <c r="X11" s="121"/>
      <c r="Y11" s="121"/>
      <c r="Z11" s="121"/>
      <c r="AJ11" s="257"/>
      <c r="AK11" s="257"/>
      <c r="AL11" s="257"/>
      <c r="AM11" s="257"/>
      <c r="AN11" s="257"/>
    </row>
    <row r="12" spans="1:40" x14ac:dyDescent="0.3">
      <c r="A12" s="259"/>
      <c r="B12" s="461" t="str">
        <f>B42</f>
        <v>Follow up attendances</v>
      </c>
      <c r="C12" s="336"/>
      <c r="D12" s="367">
        <f>D46</f>
        <v>5321.4932174060878</v>
      </c>
      <c r="E12" s="367">
        <f t="shared" ref="E12:I12" si="3">E46</f>
        <v>5099.859828448517</v>
      </c>
      <c r="F12" s="367">
        <f t="shared" si="3"/>
        <v>4914.1805754919396</v>
      </c>
      <c r="G12" s="367">
        <f t="shared" si="3"/>
        <v>4736.2502485898585</v>
      </c>
      <c r="H12" s="367">
        <f t="shared" si="3"/>
        <v>4565.6490565181521</v>
      </c>
      <c r="I12" s="367">
        <f t="shared" si="3"/>
        <v>4679.9549140287027</v>
      </c>
      <c r="K12" s="154"/>
      <c r="L12" s="224"/>
      <c r="M12" s="224"/>
      <c r="N12" s="224"/>
      <c r="O12" s="224"/>
      <c r="P12" s="224"/>
      <c r="Q12" s="224"/>
      <c r="R12" s="121"/>
      <c r="S12" s="121"/>
      <c r="T12" s="121"/>
      <c r="U12" s="121"/>
      <c r="V12" s="121"/>
      <c r="W12" s="121"/>
      <c r="X12" s="121"/>
      <c r="Y12" s="121"/>
      <c r="Z12" s="121"/>
      <c r="AJ12" s="257"/>
      <c r="AK12" s="257"/>
      <c r="AL12" s="257"/>
      <c r="AM12" s="257"/>
      <c r="AN12" s="257"/>
    </row>
    <row r="13" spans="1:40" x14ac:dyDescent="0.3">
      <c r="A13" s="259"/>
      <c r="B13" s="461" t="str">
        <f>B42&amp;" - hours"</f>
        <v>Follow up attendances - hours</v>
      </c>
      <c r="C13" s="675">
        <f>'Capacity inputs'!F14</f>
        <v>15</v>
      </c>
      <c r="D13" s="367">
        <f>$C13/60*D12</f>
        <v>1330.3733043515219</v>
      </c>
      <c r="E13" s="367">
        <f t="shared" ref="E13:I13" si="4">$C13/60*E12</f>
        <v>1274.9649571121292</v>
      </c>
      <c r="F13" s="367">
        <f t="shared" si="4"/>
        <v>1228.5451438729849</v>
      </c>
      <c r="G13" s="367">
        <f t="shared" si="4"/>
        <v>1184.0625621474646</v>
      </c>
      <c r="H13" s="367">
        <f t="shared" si="4"/>
        <v>1141.412264129538</v>
      </c>
      <c r="I13" s="367">
        <f t="shared" si="4"/>
        <v>1169.9887285071757</v>
      </c>
      <c r="K13" s="460">
        <f>'Capacity inputs'!L14</f>
        <v>127.43</v>
      </c>
      <c r="L13" s="462">
        <f>$K13*D13/1000</f>
        <v>169.52947017351445</v>
      </c>
      <c r="M13" s="462">
        <f t="shared" ref="M13:Q13" si="5">$K13*E13/1000</f>
        <v>162.46878448479865</v>
      </c>
      <c r="N13" s="462">
        <f t="shared" si="5"/>
        <v>156.55350768373447</v>
      </c>
      <c r="O13" s="462">
        <f t="shared" si="5"/>
        <v>150.88509229445143</v>
      </c>
      <c r="P13" s="462">
        <f t="shared" si="5"/>
        <v>145.45016481802702</v>
      </c>
      <c r="Q13" s="462">
        <f t="shared" si="5"/>
        <v>149.09166367366939</v>
      </c>
      <c r="R13" s="121"/>
      <c r="S13" s="121"/>
      <c r="T13" s="121"/>
      <c r="U13" s="121"/>
      <c r="V13" s="121"/>
      <c r="W13" s="121"/>
      <c r="X13" s="121"/>
      <c r="Y13" s="121"/>
      <c r="Z13" s="121"/>
      <c r="AJ13" s="257"/>
      <c r="AK13" s="257"/>
      <c r="AL13" s="257"/>
      <c r="AM13" s="257"/>
      <c r="AN13" s="257"/>
    </row>
    <row r="14" spans="1:40" x14ac:dyDescent="0.3">
      <c r="A14" s="265"/>
      <c r="B14" s="382" t="str">
        <f>B50</f>
        <v>Number of administrations</v>
      </c>
      <c r="C14" s="362"/>
      <c r="D14" s="361">
        <f>D53</f>
        <v>0</v>
      </c>
      <c r="E14" s="361">
        <f t="shared" ref="E14:I14" si="6">E53</f>
        <v>3220.9641021780108</v>
      </c>
      <c r="F14" s="361">
        <f t="shared" si="6"/>
        <v>6015.4134169595845</v>
      </c>
      <c r="G14" s="361">
        <f t="shared" si="6"/>
        <v>8721.8538450308661</v>
      </c>
      <c r="H14" s="361">
        <f t="shared" si="6"/>
        <v>11345.36664376688</v>
      </c>
      <c r="I14" s="361">
        <f t="shared" si="6"/>
        <v>10555.060983540532</v>
      </c>
      <c r="K14" s="686"/>
      <c r="L14" s="186"/>
      <c r="M14" s="186"/>
      <c r="N14" s="186"/>
      <c r="O14" s="186"/>
      <c r="P14" s="360"/>
      <c r="Q14" s="360"/>
      <c r="R14" s="121"/>
      <c r="S14" s="121"/>
      <c r="T14" s="121"/>
      <c r="U14" s="121"/>
      <c r="V14" s="121"/>
      <c r="W14" s="121"/>
      <c r="X14" s="121"/>
      <c r="Y14" s="121"/>
      <c r="Z14" s="121"/>
      <c r="AJ14" s="257"/>
      <c r="AK14" s="257"/>
      <c r="AL14" s="257"/>
      <c r="AM14" s="257"/>
      <c r="AN14" s="257"/>
    </row>
    <row r="15" spans="1:40" hidden="1" x14ac:dyDescent="0.3">
      <c r="A15" s="258"/>
      <c r="B15" s="383" t="str">
        <f>B57</f>
        <v>Nursing - administrations</v>
      </c>
      <c r="C15" s="387"/>
      <c r="D15" s="363"/>
      <c r="E15" s="363"/>
      <c r="F15" s="363"/>
      <c r="G15" s="363"/>
      <c r="H15" s="363"/>
      <c r="I15" s="363"/>
      <c r="K15" s="149"/>
      <c r="L15" s="224"/>
      <c r="M15" s="224"/>
      <c r="N15" s="224"/>
      <c r="O15" s="224"/>
      <c r="P15" s="224"/>
      <c r="Q15" s="224"/>
      <c r="R15" s="121"/>
      <c r="S15" s="121"/>
      <c r="T15" s="121"/>
      <c r="U15" s="121"/>
      <c r="V15" s="121"/>
      <c r="W15" s="121"/>
      <c r="X15" s="121"/>
      <c r="Y15" s="121"/>
      <c r="Z15" s="121"/>
      <c r="AJ15" s="257"/>
      <c r="AK15" s="257"/>
      <c r="AL15" s="257"/>
      <c r="AM15" s="257"/>
      <c r="AN15" s="257"/>
    </row>
    <row r="16" spans="1:40" hidden="1" x14ac:dyDescent="0.3">
      <c r="A16" s="258"/>
      <c r="B16" s="383" t="str">
        <f>B57&amp;" - hours"</f>
        <v>Nursing - administrations - hours</v>
      </c>
      <c r="C16" s="387"/>
      <c r="D16" s="363"/>
      <c r="E16" s="363"/>
      <c r="F16" s="363"/>
      <c r="G16" s="363"/>
      <c r="H16" s="363"/>
      <c r="I16" s="363"/>
      <c r="K16" s="460">
        <f>'Capacity inputs'!L15</f>
        <v>44.4</v>
      </c>
      <c r="L16" s="462">
        <f>$K16*D16/1000</f>
        <v>0</v>
      </c>
      <c r="M16" s="462">
        <f t="shared" ref="M16:Q16" si="7">$K16*E16/1000</f>
        <v>0</v>
      </c>
      <c r="N16" s="462">
        <f t="shared" si="7"/>
        <v>0</v>
      </c>
      <c r="O16" s="462">
        <f t="shared" si="7"/>
        <v>0</v>
      </c>
      <c r="P16" s="462">
        <f t="shared" si="7"/>
        <v>0</v>
      </c>
      <c r="Q16" s="462">
        <f t="shared" si="7"/>
        <v>0</v>
      </c>
      <c r="R16" s="121"/>
      <c r="S16" s="121"/>
      <c r="T16" s="121"/>
      <c r="U16" s="121"/>
      <c r="V16" s="121"/>
      <c r="W16" s="121"/>
      <c r="X16" s="121"/>
      <c r="Y16" s="121"/>
      <c r="Z16" s="121"/>
      <c r="AJ16" s="257"/>
      <c r="AK16" s="257"/>
      <c r="AL16" s="257"/>
      <c r="AM16" s="257"/>
      <c r="AN16" s="257"/>
    </row>
    <row r="17" spans="1:40" hidden="1" x14ac:dyDescent="0.3">
      <c r="A17" s="258"/>
      <c r="B17" s="383" t="str">
        <f>B63</f>
        <v>Nursing patient preparation time</v>
      </c>
      <c r="C17" s="387"/>
      <c r="D17" s="363"/>
      <c r="E17" s="363"/>
      <c r="F17" s="363"/>
      <c r="G17" s="363"/>
      <c r="H17" s="363"/>
      <c r="I17" s="363"/>
      <c r="K17" s="154"/>
      <c r="L17" s="224"/>
      <c r="M17" s="224"/>
      <c r="N17" s="224"/>
      <c r="O17" s="224"/>
      <c r="P17" s="224"/>
      <c r="Q17" s="224"/>
      <c r="R17" s="121"/>
      <c r="S17" s="121"/>
      <c r="T17" s="121"/>
      <c r="U17" s="121"/>
      <c r="V17" s="121"/>
      <c r="W17" s="121"/>
      <c r="X17" s="121"/>
      <c r="Y17" s="121"/>
      <c r="Z17" s="121"/>
      <c r="AJ17" s="257"/>
      <c r="AK17" s="257"/>
      <c r="AL17" s="257"/>
      <c r="AM17" s="257"/>
      <c r="AN17" s="257"/>
    </row>
    <row r="18" spans="1:40" hidden="1" x14ac:dyDescent="0.3">
      <c r="A18" s="258"/>
      <c r="B18" s="383" t="str">
        <f>B63&amp;" - hours"</f>
        <v>Nursing patient preparation time - hours</v>
      </c>
      <c r="C18" s="387"/>
      <c r="D18" s="363"/>
      <c r="E18" s="363"/>
      <c r="F18" s="363"/>
      <c r="G18" s="363"/>
      <c r="H18" s="363"/>
      <c r="I18" s="363"/>
      <c r="K18" s="460">
        <f>'Capacity inputs'!L16</f>
        <v>44.4</v>
      </c>
      <c r="L18" s="462">
        <f>$K18*D18/1000</f>
        <v>0</v>
      </c>
      <c r="M18" s="462">
        <f t="shared" ref="M18:Q18" si="8">$K18*E18/1000</f>
        <v>0</v>
      </c>
      <c r="N18" s="462">
        <f t="shared" si="8"/>
        <v>0</v>
      </c>
      <c r="O18" s="462">
        <f t="shared" si="8"/>
        <v>0</v>
      </c>
      <c r="P18" s="462">
        <f t="shared" si="8"/>
        <v>0</v>
      </c>
      <c r="Q18" s="462">
        <f t="shared" si="8"/>
        <v>0</v>
      </c>
      <c r="R18" s="121"/>
      <c r="S18" s="121"/>
      <c r="T18" s="121"/>
      <c r="U18" s="121"/>
      <c r="V18" s="121"/>
      <c r="W18" s="121"/>
      <c r="X18" s="121"/>
      <c r="Y18" s="121"/>
      <c r="Z18" s="121"/>
      <c r="AJ18" s="257"/>
      <c r="AK18" s="257"/>
      <c r="AL18" s="257"/>
      <c r="AM18" s="257"/>
      <c r="AN18" s="257"/>
    </row>
    <row r="19" spans="1:40" hidden="1" x14ac:dyDescent="0.3">
      <c r="A19" s="258"/>
      <c r="B19" s="383" t="str">
        <f>B69</f>
        <v>Post administration nursing time</v>
      </c>
      <c r="C19" s="387"/>
      <c r="D19" s="363"/>
      <c r="E19" s="364"/>
      <c r="F19" s="363"/>
      <c r="G19" s="363"/>
      <c r="H19" s="363"/>
      <c r="I19" s="363"/>
      <c r="K19" s="154"/>
      <c r="L19" s="224"/>
      <c r="M19" s="224"/>
      <c r="N19" s="224"/>
      <c r="O19" s="224"/>
      <c r="P19" s="224"/>
      <c r="Q19" s="224"/>
      <c r="R19" s="121"/>
      <c r="S19" s="121"/>
      <c r="T19" s="121"/>
      <c r="U19" s="121"/>
      <c r="V19" s="121"/>
      <c r="W19" s="121"/>
      <c r="X19" s="121"/>
      <c r="Y19" s="121"/>
      <c r="Z19" s="121"/>
      <c r="AJ19" s="257"/>
      <c r="AK19" s="257"/>
      <c r="AL19" s="257"/>
      <c r="AM19" s="257"/>
      <c r="AN19" s="257"/>
    </row>
    <row r="20" spans="1:40" hidden="1" x14ac:dyDescent="0.3">
      <c r="A20" s="258"/>
      <c r="B20" s="383" t="str">
        <f>B69&amp;" - hours"</f>
        <v>Post administration nursing time - hours</v>
      </c>
      <c r="C20" s="387"/>
      <c r="D20" s="363"/>
      <c r="E20" s="363"/>
      <c r="F20" s="363"/>
      <c r="G20" s="363"/>
      <c r="H20" s="363"/>
      <c r="I20" s="363"/>
      <c r="K20" s="460">
        <f>'Capacity inputs'!L17</f>
        <v>44.4</v>
      </c>
      <c r="L20" s="462">
        <f>$K20*D20/1000</f>
        <v>0</v>
      </c>
      <c r="M20" s="462">
        <f t="shared" ref="M20:Q20" si="9">$K20*E20/1000</f>
        <v>0</v>
      </c>
      <c r="N20" s="462">
        <f t="shared" si="9"/>
        <v>0</v>
      </c>
      <c r="O20" s="462">
        <f t="shared" si="9"/>
        <v>0</v>
      </c>
      <c r="P20" s="462">
        <f t="shared" si="9"/>
        <v>0</v>
      </c>
      <c r="Q20" s="462">
        <f t="shared" si="9"/>
        <v>0</v>
      </c>
      <c r="R20" s="121"/>
      <c r="S20" s="121"/>
      <c r="T20" s="121"/>
      <c r="U20" s="121"/>
      <c r="V20" s="121"/>
      <c r="W20" s="121"/>
      <c r="X20" s="121"/>
      <c r="Y20" s="121"/>
      <c r="Z20" s="121"/>
      <c r="AJ20" s="257"/>
      <c r="AK20" s="257"/>
      <c r="AL20" s="257"/>
      <c r="AM20" s="257"/>
      <c r="AN20" s="257"/>
    </row>
    <row r="21" spans="1:40" hidden="1" x14ac:dyDescent="0.3">
      <c r="A21" s="260"/>
      <c r="B21" s="384" t="str">
        <f>B76</f>
        <v>Pharmacy support</v>
      </c>
      <c r="C21" s="388"/>
      <c r="D21" s="365"/>
      <c r="E21" s="365"/>
      <c r="F21" s="365"/>
      <c r="G21" s="365"/>
      <c r="H21" s="365"/>
      <c r="I21" s="365"/>
      <c r="K21" s="154"/>
      <c r="L21" s="224"/>
      <c r="M21" s="224"/>
      <c r="N21" s="224"/>
      <c r="O21" s="224"/>
      <c r="P21" s="224"/>
      <c r="Q21" s="224"/>
      <c r="R21" s="121"/>
      <c r="S21" s="121"/>
      <c r="T21" s="121"/>
      <c r="U21" s="121"/>
      <c r="V21" s="121"/>
      <c r="W21" s="121"/>
      <c r="X21" s="121"/>
      <c r="Y21" s="121"/>
      <c r="Z21" s="121"/>
      <c r="AJ21" s="257"/>
      <c r="AK21" s="257"/>
      <c r="AL21" s="257"/>
      <c r="AM21" s="257"/>
      <c r="AN21" s="257"/>
    </row>
    <row r="22" spans="1:40" hidden="1" x14ac:dyDescent="0.3">
      <c r="A22" s="260"/>
      <c r="B22" s="384" t="str">
        <f>B76&amp;" - hours"</f>
        <v>Pharmacy support - hours</v>
      </c>
      <c r="C22" s="388"/>
      <c r="D22" s="365"/>
      <c r="E22" s="365"/>
      <c r="F22" s="365"/>
      <c r="G22" s="365"/>
      <c r="H22" s="365"/>
      <c r="I22" s="365"/>
      <c r="K22" s="460">
        <f>'Capacity inputs'!L18</f>
        <v>49.24</v>
      </c>
      <c r="L22" s="462">
        <f>$K22*D22/1000</f>
        <v>0</v>
      </c>
      <c r="M22" s="462">
        <f t="shared" ref="M22:Q22" si="10">$K22*E22/1000</f>
        <v>0</v>
      </c>
      <c r="N22" s="462">
        <f t="shared" si="10"/>
        <v>0</v>
      </c>
      <c r="O22" s="462">
        <f t="shared" si="10"/>
        <v>0</v>
      </c>
      <c r="P22" s="462">
        <f t="shared" si="10"/>
        <v>0</v>
      </c>
      <c r="Q22" s="462">
        <f t="shared" si="10"/>
        <v>0</v>
      </c>
      <c r="R22" s="121"/>
      <c r="S22" s="121"/>
      <c r="T22" s="121"/>
      <c r="U22" s="121"/>
      <c r="V22" s="121"/>
      <c r="W22" s="121"/>
      <c r="X22" s="121"/>
      <c r="Y22" s="121"/>
      <c r="Z22" s="121"/>
      <c r="AJ22" s="257"/>
      <c r="AK22" s="257"/>
      <c r="AL22" s="257"/>
      <c r="AM22" s="257"/>
      <c r="AN22" s="257"/>
    </row>
    <row r="23" spans="1:40" hidden="1" x14ac:dyDescent="0.3">
      <c r="A23" s="294"/>
      <c r="B23" s="385" t="str">
        <f>B83</f>
        <v>Appointments with supporting specialty x</v>
      </c>
      <c r="C23" s="337"/>
      <c r="D23" s="368">
        <f>D86</f>
        <v>0</v>
      </c>
      <c r="E23" s="368">
        <f t="shared" ref="E23:I23" si="11">E86</f>
        <v>0</v>
      </c>
      <c r="F23" s="368">
        <f t="shared" si="11"/>
        <v>0</v>
      </c>
      <c r="G23" s="368">
        <f t="shared" si="11"/>
        <v>0</v>
      </c>
      <c r="H23" s="368">
        <f t="shared" si="11"/>
        <v>0</v>
      </c>
      <c r="I23" s="368">
        <f t="shared" si="11"/>
        <v>0</v>
      </c>
      <c r="K23" s="154"/>
      <c r="L23" s="224"/>
      <c r="M23" s="224"/>
      <c r="N23" s="224"/>
      <c r="O23" s="224"/>
      <c r="P23" s="224"/>
      <c r="Q23" s="224"/>
      <c r="R23" s="121"/>
      <c r="S23" s="121"/>
      <c r="T23" s="121"/>
      <c r="U23" s="121"/>
      <c r="V23" s="121"/>
      <c r="W23" s="121"/>
      <c r="X23" s="121"/>
      <c r="Y23" s="121"/>
      <c r="Z23" s="121"/>
      <c r="AJ23" s="257"/>
      <c r="AK23" s="257"/>
      <c r="AL23" s="257"/>
      <c r="AM23" s="257"/>
      <c r="AN23" s="257"/>
    </row>
    <row r="24" spans="1:40" hidden="1" x14ac:dyDescent="0.3">
      <c r="A24" s="294"/>
      <c r="B24" s="385" t="str">
        <f>B83&amp;" - hours"</f>
        <v>Appointments with supporting specialty x - hours</v>
      </c>
      <c r="C24" s="680">
        <f>'Capacity inputs'!F19</f>
        <v>0</v>
      </c>
      <c r="D24" s="368">
        <f>$C24/60*D23</f>
        <v>0</v>
      </c>
      <c r="E24" s="368">
        <f t="shared" ref="E24:I24" si="12">$C24/60*E23</f>
        <v>0</v>
      </c>
      <c r="F24" s="368">
        <f t="shared" si="12"/>
        <v>0</v>
      </c>
      <c r="G24" s="368">
        <f t="shared" si="12"/>
        <v>0</v>
      </c>
      <c r="H24" s="368">
        <f t="shared" si="12"/>
        <v>0</v>
      </c>
      <c r="I24" s="368">
        <f t="shared" si="12"/>
        <v>0</v>
      </c>
      <c r="K24" s="460">
        <f>'Capacity inputs'!L19</f>
        <v>127.43</v>
      </c>
      <c r="L24" s="462">
        <f>$K24*D24/1000</f>
        <v>0</v>
      </c>
      <c r="M24" s="462">
        <f t="shared" ref="M24:Q24" si="13">$K24*E24/1000</f>
        <v>0</v>
      </c>
      <c r="N24" s="462">
        <f t="shared" si="13"/>
        <v>0</v>
      </c>
      <c r="O24" s="462">
        <f t="shared" si="13"/>
        <v>0</v>
      </c>
      <c r="P24" s="462">
        <f t="shared" si="13"/>
        <v>0</v>
      </c>
      <c r="Q24" s="462">
        <f t="shared" si="13"/>
        <v>0</v>
      </c>
      <c r="R24" s="121"/>
      <c r="S24" s="121"/>
      <c r="T24" s="121"/>
      <c r="U24" s="121"/>
      <c r="V24" s="121"/>
      <c r="W24" s="121"/>
      <c r="X24" s="121"/>
      <c r="Y24" s="121"/>
      <c r="Z24" s="121"/>
      <c r="AJ24" s="257"/>
      <c r="AK24" s="257"/>
      <c r="AL24" s="257"/>
      <c r="AM24" s="257"/>
      <c r="AN24" s="257"/>
    </row>
    <row r="25" spans="1:40" hidden="1" x14ac:dyDescent="0.3">
      <c r="A25" s="261"/>
      <c r="B25" s="386" t="str">
        <f>B90</f>
        <v>Imaging scans</v>
      </c>
      <c r="C25" s="377"/>
      <c r="D25" s="369"/>
      <c r="E25" s="369"/>
      <c r="F25" s="369"/>
      <c r="G25" s="369"/>
      <c r="H25" s="369"/>
      <c r="I25" s="369"/>
      <c r="K25" s="154"/>
      <c r="L25" s="224"/>
      <c r="M25" s="224"/>
      <c r="N25" s="224"/>
      <c r="O25" s="224"/>
      <c r="P25" s="224"/>
      <c r="Q25" s="224"/>
      <c r="R25" s="121"/>
      <c r="S25" s="121"/>
      <c r="T25" s="121"/>
      <c r="U25" s="121"/>
      <c r="V25" s="121"/>
      <c r="W25" s="121"/>
      <c r="X25" s="121"/>
      <c r="Y25" s="121"/>
      <c r="Z25" s="121"/>
      <c r="AJ25" s="257"/>
      <c r="AK25" s="257"/>
      <c r="AL25" s="257"/>
      <c r="AM25" s="257"/>
      <c r="AN25" s="257"/>
    </row>
    <row r="26" spans="1:40" hidden="1" x14ac:dyDescent="0.3">
      <c r="A26" s="261"/>
      <c r="B26" s="386" t="str">
        <f>B90&amp;" - hours"</f>
        <v>Imaging scans - hours</v>
      </c>
      <c r="C26" s="681">
        <f>'Capacity inputs'!F20</f>
        <v>0</v>
      </c>
      <c r="D26" s="369"/>
      <c r="E26" s="369"/>
      <c r="F26" s="369"/>
      <c r="G26" s="369"/>
      <c r="H26" s="369"/>
      <c r="I26" s="369"/>
      <c r="K26" s="460">
        <f>'Capacity inputs'!L20</f>
        <v>44.4</v>
      </c>
      <c r="L26" s="462">
        <f>$K26*D26/1000</f>
        <v>0</v>
      </c>
      <c r="M26" s="462">
        <f t="shared" ref="M26:Q26" si="14">$K26*E26/1000</f>
        <v>0</v>
      </c>
      <c r="N26" s="462">
        <f t="shared" si="14"/>
        <v>0</v>
      </c>
      <c r="O26" s="462">
        <f t="shared" si="14"/>
        <v>0</v>
      </c>
      <c r="P26" s="462">
        <f t="shared" si="14"/>
        <v>0</v>
      </c>
      <c r="Q26" s="462">
        <f t="shared" si="14"/>
        <v>0</v>
      </c>
      <c r="R26" s="121"/>
      <c r="S26" s="121"/>
      <c r="T26" s="121"/>
      <c r="U26" s="121"/>
      <c r="V26" s="121"/>
      <c r="W26" s="121"/>
      <c r="X26" s="121"/>
      <c r="Y26" s="121"/>
      <c r="Z26" s="121"/>
      <c r="AJ26" s="257"/>
      <c r="AK26" s="257"/>
      <c r="AL26" s="257"/>
      <c r="AM26" s="257"/>
      <c r="AN26" s="257"/>
    </row>
    <row r="27" spans="1:40" hidden="1" x14ac:dyDescent="0.3">
      <c r="A27" s="261"/>
      <c r="B27" s="386" t="str">
        <f>B97</f>
        <v>Diagnostic tests</v>
      </c>
      <c r="C27" s="377"/>
      <c r="D27" s="369"/>
      <c r="E27" s="369"/>
      <c r="F27" s="369"/>
      <c r="G27" s="369"/>
      <c r="H27" s="369"/>
      <c r="I27" s="369"/>
      <c r="K27" s="154"/>
      <c r="L27" s="224"/>
      <c r="M27" s="224"/>
      <c r="N27" s="224"/>
      <c r="O27" s="224"/>
      <c r="P27" s="224"/>
      <c r="Q27" s="224"/>
      <c r="R27" s="121"/>
      <c r="S27" s="121"/>
      <c r="T27" s="121"/>
      <c r="U27" s="121"/>
      <c r="V27" s="121"/>
      <c r="W27" s="121"/>
      <c r="X27" s="121"/>
      <c r="Y27" s="121"/>
      <c r="Z27" s="121"/>
      <c r="AJ27" s="257"/>
      <c r="AK27" s="257"/>
      <c r="AL27" s="257"/>
      <c r="AM27" s="257"/>
      <c r="AN27" s="257"/>
    </row>
    <row r="28" spans="1:40" hidden="1" x14ac:dyDescent="0.3">
      <c r="A28" s="261"/>
      <c r="B28" s="386" t="str">
        <f>B97&amp;" - hours"</f>
        <v>Diagnostic tests - hours</v>
      </c>
      <c r="C28" s="681">
        <f>'Capacity inputs'!F21</f>
        <v>0</v>
      </c>
      <c r="D28" s="369"/>
      <c r="E28" s="369"/>
      <c r="F28" s="369"/>
      <c r="G28" s="369"/>
      <c r="H28" s="369"/>
      <c r="I28" s="369"/>
      <c r="K28" s="460">
        <f>'Capacity inputs'!L21</f>
        <v>35.97</v>
      </c>
      <c r="L28" s="462">
        <f>$K28*D28/1000</f>
        <v>0</v>
      </c>
      <c r="M28" s="462">
        <f t="shared" ref="M28:Q28" si="15">$K28*E28/1000</f>
        <v>0</v>
      </c>
      <c r="N28" s="462">
        <f t="shared" si="15"/>
        <v>0</v>
      </c>
      <c r="O28" s="462">
        <f t="shared" si="15"/>
        <v>0</v>
      </c>
      <c r="P28" s="462">
        <f t="shared" si="15"/>
        <v>0</v>
      </c>
      <c r="Q28" s="462">
        <f t="shared" si="15"/>
        <v>0</v>
      </c>
      <c r="R28" s="121"/>
      <c r="S28" s="121"/>
      <c r="T28" s="121"/>
      <c r="U28" s="121"/>
      <c r="V28" s="121"/>
      <c r="W28" s="121"/>
      <c r="X28" s="121"/>
      <c r="Y28" s="121"/>
      <c r="Z28" s="121"/>
      <c r="AJ28" s="257"/>
      <c r="AK28" s="257"/>
      <c r="AL28" s="257"/>
      <c r="AM28" s="257"/>
      <c r="AN28" s="257"/>
    </row>
    <row r="29" spans="1:40" hidden="1" x14ac:dyDescent="0.3">
      <c r="A29" s="261"/>
      <c r="B29" s="386" t="str">
        <f>B106</f>
        <v>Genomic tests</v>
      </c>
      <c r="C29" s="377"/>
      <c r="D29" s="369"/>
      <c r="E29" s="369"/>
      <c r="F29" s="369"/>
      <c r="G29" s="369"/>
      <c r="H29" s="369"/>
      <c r="I29" s="369"/>
      <c r="K29" s="154"/>
      <c r="L29" s="224"/>
      <c r="M29" s="224"/>
      <c r="N29" s="224"/>
      <c r="O29" s="224"/>
      <c r="P29" s="224"/>
      <c r="Q29" s="224"/>
      <c r="R29" s="121"/>
      <c r="S29" s="121"/>
      <c r="T29" s="121"/>
      <c r="U29" s="121"/>
      <c r="V29" s="121"/>
      <c r="W29" s="121"/>
      <c r="X29" s="121"/>
      <c r="Y29" s="121"/>
      <c r="Z29" s="121"/>
      <c r="AJ29" s="257"/>
      <c r="AK29" s="257"/>
      <c r="AL29" s="257"/>
      <c r="AM29" s="257"/>
      <c r="AN29" s="257"/>
    </row>
    <row r="30" spans="1:40" hidden="1" x14ac:dyDescent="0.3">
      <c r="A30" s="261"/>
      <c r="B30" s="386" t="str">
        <f>B106&amp;" - hours"</f>
        <v>Genomic tests - hours</v>
      </c>
      <c r="C30" s="681">
        <f>'Capacity inputs'!F22</f>
        <v>0</v>
      </c>
      <c r="D30" s="369"/>
      <c r="E30" s="369"/>
      <c r="F30" s="369"/>
      <c r="G30" s="369"/>
      <c r="H30" s="369"/>
      <c r="I30" s="369"/>
      <c r="K30" s="460">
        <f>'Capacity inputs'!L22</f>
        <v>51.74</v>
      </c>
      <c r="L30" s="462">
        <f>$K30*D30/1000</f>
        <v>0</v>
      </c>
      <c r="M30" s="462">
        <f t="shared" ref="M30:Q30" si="16">$K30*E30/1000</f>
        <v>0</v>
      </c>
      <c r="N30" s="462">
        <f t="shared" si="16"/>
        <v>0</v>
      </c>
      <c r="O30" s="462">
        <f t="shared" si="16"/>
        <v>0</v>
      </c>
      <c r="P30" s="462">
        <f t="shared" si="16"/>
        <v>0</v>
      </c>
      <c r="Q30" s="462">
        <f t="shared" si="16"/>
        <v>0</v>
      </c>
      <c r="R30" s="121"/>
      <c r="S30" s="121"/>
      <c r="T30" s="121"/>
      <c r="U30" s="121"/>
      <c r="V30" s="121"/>
      <c r="W30" s="121"/>
      <c r="X30" s="121"/>
      <c r="Y30" s="121"/>
      <c r="Z30" s="121"/>
      <c r="AJ30" s="257"/>
      <c r="AK30" s="257"/>
      <c r="AL30" s="257"/>
      <c r="AM30" s="257"/>
      <c r="AN30" s="257"/>
    </row>
    <row r="31" spans="1:40" x14ac:dyDescent="0.3">
      <c r="B31" s="220"/>
      <c r="D31" s="257"/>
      <c r="F31" s="121"/>
      <c r="G31" s="121"/>
      <c r="H31" s="121"/>
      <c r="I31" s="121"/>
      <c r="J31" s="121"/>
      <c r="K31" s="145"/>
      <c r="L31" s="263">
        <f t="shared" ref="L31:Q31" si="17">SUM(L10:L30)</f>
        <v>169.52947017351445</v>
      </c>
      <c r="M31" s="263">
        <f t="shared" si="17"/>
        <v>162.46878448479865</v>
      </c>
      <c r="N31" s="263">
        <f t="shared" si="17"/>
        <v>156.55350768373447</v>
      </c>
      <c r="O31" s="263">
        <f t="shared" si="17"/>
        <v>150.88509229445143</v>
      </c>
      <c r="P31" s="263">
        <f t="shared" si="17"/>
        <v>145.45016481802702</v>
      </c>
      <c r="Q31" s="263">
        <f t="shared" si="17"/>
        <v>149.09166367366939</v>
      </c>
      <c r="R31" s="121"/>
      <c r="S31" s="121"/>
      <c r="T31" s="121"/>
      <c r="U31" s="121"/>
      <c r="V31" s="121"/>
      <c r="W31" s="121"/>
      <c r="X31" s="121"/>
      <c r="Y31" s="121"/>
      <c r="Z31" s="121"/>
    </row>
    <row r="32" spans="1:40" x14ac:dyDescent="0.3">
      <c r="B32" s="285"/>
      <c r="C32" s="285"/>
      <c r="D32" s="285"/>
      <c r="E32" s="285"/>
      <c r="F32" s="285"/>
      <c r="G32" s="285"/>
      <c r="H32" s="285"/>
      <c r="I32" s="285"/>
      <c r="J32" s="285"/>
      <c r="K32" s="285"/>
      <c r="L32" s="285"/>
      <c r="P32" s="121"/>
      <c r="Q32" s="121"/>
      <c r="R32" s="121"/>
      <c r="S32" s="121"/>
      <c r="V32" s="121"/>
      <c r="W32" s="121"/>
      <c r="X32" s="121"/>
      <c r="Y32" s="121"/>
      <c r="Z32" s="121"/>
      <c r="AJ32" s="257"/>
      <c r="AK32" s="257"/>
      <c r="AL32" s="257"/>
      <c r="AM32" s="257"/>
      <c r="AN32" s="257"/>
    </row>
    <row r="33" spans="1:40" x14ac:dyDescent="0.3">
      <c r="B33" s="323" t="s">
        <v>759</v>
      </c>
      <c r="C33" s="324"/>
      <c r="D33" s="324"/>
      <c r="E33" s="325"/>
      <c r="F33" s="324"/>
      <c r="G33" s="326"/>
      <c r="H33" s="327"/>
      <c r="I33" s="327"/>
      <c r="J33" s="327"/>
      <c r="K33" s="327"/>
      <c r="L33" s="327"/>
      <c r="M33" s="327"/>
      <c r="N33" s="327"/>
      <c r="O33" s="327"/>
      <c r="P33" s="327"/>
      <c r="Q33" s="328"/>
      <c r="R33" s="121"/>
      <c r="S33" s="121"/>
      <c r="T33" s="121"/>
      <c r="U33" s="121"/>
      <c r="V33" s="121"/>
      <c r="W33" s="121"/>
      <c r="X33" s="121"/>
      <c r="Y33" s="121"/>
      <c r="Z33" s="121"/>
      <c r="AJ33" s="257"/>
      <c r="AK33" s="257"/>
      <c r="AL33" s="257"/>
      <c r="AM33" s="257"/>
      <c r="AN33" s="257"/>
    </row>
    <row r="34" spans="1:40" x14ac:dyDescent="0.3">
      <c r="A34" s="259"/>
      <c r="B34" s="458" t="s">
        <v>2164</v>
      </c>
      <c r="C34" s="451"/>
      <c r="D34" s="452"/>
      <c r="E34" s="453"/>
      <c r="F34" s="259"/>
      <c r="G34" s="259"/>
      <c r="H34" s="196"/>
      <c r="I34" s="196"/>
      <c r="J34" s="196"/>
      <c r="K34" s="196"/>
      <c r="L34" s="196"/>
      <c r="M34" s="196"/>
      <c r="N34" s="196"/>
      <c r="O34" s="196"/>
      <c r="P34" s="196"/>
      <c r="Q34" s="196"/>
      <c r="R34" s="121"/>
      <c r="S34" s="121"/>
      <c r="T34" s="121"/>
      <c r="U34" s="121"/>
      <c r="V34" s="121"/>
      <c r="W34" s="121"/>
      <c r="X34" s="121"/>
      <c r="Y34" s="121"/>
      <c r="Z34" s="121"/>
      <c r="AJ34" s="257"/>
      <c r="AK34" s="257"/>
      <c r="AL34" s="257"/>
      <c r="AM34" s="257"/>
      <c r="AN34" s="257"/>
    </row>
    <row r="35" spans="1:40" x14ac:dyDescent="0.3">
      <c r="A35" s="449"/>
      <c r="B35" s="454" t="s">
        <v>2157</v>
      </c>
      <c r="C35" s="346"/>
      <c r="D35" s="346"/>
      <c r="E35" s="346"/>
      <c r="F35" s="346"/>
      <c r="G35" s="346"/>
      <c r="H35" s="346"/>
      <c r="I35" s="195"/>
      <c r="J35" s="196"/>
      <c r="K35" s="196"/>
      <c r="L35" s="196"/>
      <c r="M35" s="196"/>
      <c r="N35" s="196"/>
      <c r="O35" s="196"/>
      <c r="P35" s="196"/>
      <c r="Q35" s="196"/>
      <c r="R35" s="121"/>
      <c r="S35" s="121"/>
      <c r="T35" s="121"/>
      <c r="U35" s="121"/>
      <c r="V35" s="121"/>
      <c r="W35" s="121"/>
      <c r="X35" s="121"/>
      <c r="Y35" s="121"/>
      <c r="Z35" s="121"/>
      <c r="AJ35" s="257"/>
      <c r="AK35" s="257"/>
      <c r="AL35" s="257"/>
      <c r="AM35" s="257"/>
      <c r="AN35" s="257"/>
    </row>
    <row r="36" spans="1:40" ht="43.2" x14ac:dyDescent="0.3">
      <c r="A36" s="449"/>
      <c r="B36" s="284" t="s">
        <v>711</v>
      </c>
      <c r="C36" s="152" t="s">
        <v>760</v>
      </c>
      <c r="D36" s="796" t="s">
        <v>748</v>
      </c>
      <c r="E36" s="228" t="s">
        <v>591</v>
      </c>
      <c r="F36" s="228" t="s">
        <v>592</v>
      </c>
      <c r="G36" s="151" t="s">
        <v>722</v>
      </c>
      <c r="H36" s="151" t="s">
        <v>723</v>
      </c>
      <c r="I36" s="228" t="s">
        <v>724</v>
      </c>
      <c r="J36" s="457"/>
      <c r="K36" s="196"/>
      <c r="L36" s="196"/>
      <c r="M36" s="196"/>
      <c r="N36" s="196"/>
      <c r="O36" s="196"/>
      <c r="P36" s="196"/>
      <c r="Q36" s="196"/>
      <c r="R36" s="121"/>
      <c r="S36" s="121"/>
      <c r="T36" s="121"/>
      <c r="U36" s="121"/>
      <c r="V36" s="121"/>
      <c r="W36" s="121"/>
      <c r="X36" s="121"/>
      <c r="Y36" s="121"/>
      <c r="Z36" s="121"/>
      <c r="AJ36" s="257"/>
      <c r="AK36" s="257"/>
      <c r="AL36" s="257"/>
      <c r="AM36" s="257"/>
      <c r="AN36" s="257"/>
    </row>
    <row r="37" spans="1:40" x14ac:dyDescent="0.3">
      <c r="A37" s="449"/>
      <c r="B37" s="310" t="str">
        <f>'Capacity inputs'!G12</f>
        <v>Benralizumab</v>
      </c>
      <c r="C37" s="137">
        <f>'Capacity inputs'!G$13</f>
        <v>0</v>
      </c>
      <c r="D37" s="116">
        <f>SUM('Financial impact (cash)'!D13:D17)*$C37</f>
        <v>0</v>
      </c>
      <c r="E37" s="116">
        <f>SUM('Financial impact (cash)'!E13:E17)*$C37</f>
        <v>0</v>
      </c>
      <c r="F37" s="116">
        <f>SUM('Financial impact (cash)'!F13:F17)*$C37</f>
        <v>0</v>
      </c>
      <c r="G37" s="116">
        <f>SUM('Financial impact (cash)'!G13:G17)*$C37</f>
        <v>0</v>
      </c>
      <c r="H37" s="116">
        <f>SUM('Financial impact (cash)'!H13:H17)*$C37</f>
        <v>0</v>
      </c>
      <c r="I37" s="116">
        <f>SUM('Financial impact (cash)'!I13:I17)*$C37</f>
        <v>0</v>
      </c>
      <c r="J37" s="457"/>
      <c r="K37" s="196"/>
      <c r="L37" s="196"/>
      <c r="M37" s="196"/>
      <c r="N37" s="196"/>
      <c r="O37" s="196"/>
      <c r="P37" s="196"/>
      <c r="Q37" s="196"/>
      <c r="R37" s="121"/>
      <c r="S37" s="121"/>
      <c r="T37" s="121"/>
      <c r="U37" s="121"/>
      <c r="V37" s="121"/>
      <c r="W37" s="121"/>
      <c r="X37" s="121"/>
      <c r="Y37" s="121"/>
      <c r="Z37" s="121"/>
      <c r="AJ37" s="257"/>
      <c r="AK37" s="257"/>
      <c r="AL37" s="257"/>
      <c r="AM37" s="257"/>
      <c r="AN37" s="257"/>
    </row>
    <row r="38" spans="1:40" x14ac:dyDescent="0.3">
      <c r="A38" s="449"/>
      <c r="B38" s="310" t="str">
        <f>'Capacity inputs'!H12</f>
        <v>Standard of care</v>
      </c>
      <c r="C38" s="137">
        <f>'Capacity inputs'!H$13</f>
        <v>0</v>
      </c>
      <c r="D38" s="116">
        <f>SUM('Financial impact (cash)'!D18:D19)*$C38</f>
        <v>0</v>
      </c>
      <c r="E38" s="116">
        <f>SUM('Financial impact (cash)'!E18:E19)*$C38</f>
        <v>0</v>
      </c>
      <c r="F38" s="116">
        <f>SUM('Financial impact (cash)'!F18:F19)*$C38</f>
        <v>0</v>
      </c>
      <c r="G38" s="116">
        <f>SUM('Financial impact (cash)'!G18:G19)*$C38</f>
        <v>0</v>
      </c>
      <c r="H38" s="116">
        <f>SUM('Financial impact (cash)'!H18:H19)*$C38</f>
        <v>0</v>
      </c>
      <c r="I38" s="116">
        <f>SUM('Financial impact (cash)'!I18:I19)*$C38</f>
        <v>0</v>
      </c>
      <c r="J38" s="457"/>
      <c r="K38" s="196"/>
      <c r="L38" s="196"/>
      <c r="M38" s="196"/>
      <c r="N38" s="196"/>
      <c r="O38" s="196"/>
      <c r="P38" s="196"/>
      <c r="Q38" s="196"/>
      <c r="R38" s="121"/>
      <c r="S38" s="121"/>
      <c r="T38" s="121"/>
      <c r="U38" s="121"/>
      <c r="V38" s="121"/>
      <c r="W38" s="121"/>
      <c r="X38" s="121"/>
      <c r="Y38" s="121"/>
      <c r="Z38" s="121"/>
      <c r="AJ38" s="257"/>
      <c r="AK38" s="257"/>
      <c r="AL38" s="257"/>
      <c r="AM38" s="257"/>
      <c r="AN38" s="257"/>
    </row>
    <row r="39" spans="1:40" x14ac:dyDescent="0.3">
      <c r="A39" s="449"/>
      <c r="B39" s="437"/>
      <c r="C39" s="288"/>
      <c r="D39" s="167">
        <f t="shared" ref="D39:H39" si="18">SUM(D37:D38)</f>
        <v>0</v>
      </c>
      <c r="E39" s="167">
        <f t="shared" si="18"/>
        <v>0</v>
      </c>
      <c r="F39" s="167">
        <f t="shared" si="18"/>
        <v>0</v>
      </c>
      <c r="G39" s="167">
        <f t="shared" si="18"/>
        <v>0</v>
      </c>
      <c r="H39" s="167">
        <f t="shared" si="18"/>
        <v>0</v>
      </c>
      <c r="I39" s="167">
        <f>SUM(I37:I38)</f>
        <v>0</v>
      </c>
      <c r="J39" s="457"/>
      <c r="K39" s="196"/>
      <c r="L39" s="196"/>
      <c r="M39" s="196"/>
      <c r="N39" s="196"/>
      <c r="O39" s="196"/>
      <c r="P39" s="196"/>
      <c r="Q39" s="196"/>
      <c r="R39" s="121"/>
      <c r="S39" s="121"/>
      <c r="T39" s="121"/>
      <c r="U39" s="121"/>
      <c r="V39" s="121"/>
      <c r="W39" s="121"/>
      <c r="X39" s="121"/>
      <c r="Y39" s="121"/>
      <c r="Z39" s="121"/>
      <c r="AJ39" s="257"/>
      <c r="AK39" s="257"/>
      <c r="AL39" s="257"/>
      <c r="AM39" s="257"/>
      <c r="AN39" s="257"/>
    </row>
    <row r="40" spans="1:40" x14ac:dyDescent="0.3">
      <c r="A40" s="449"/>
      <c r="B40" s="229"/>
      <c r="C40" s="229"/>
      <c r="D40" s="256" t="s">
        <v>761</v>
      </c>
      <c r="E40" s="167">
        <f>E39-$D$39</f>
        <v>0</v>
      </c>
      <c r="F40" s="167">
        <f>F39-$D$39</f>
        <v>0</v>
      </c>
      <c r="G40" s="167">
        <f>G39-$D$39</f>
        <v>0</v>
      </c>
      <c r="H40" s="167">
        <f>H39-$D$39</f>
        <v>0</v>
      </c>
      <c r="I40" s="167">
        <f>I39-$D$39</f>
        <v>0</v>
      </c>
      <c r="J40" s="457"/>
      <c r="K40" s="196"/>
      <c r="L40" s="196"/>
      <c r="M40" s="196"/>
      <c r="N40" s="196"/>
      <c r="O40" s="196"/>
      <c r="P40" s="196"/>
      <c r="Q40" s="196"/>
      <c r="R40" s="121"/>
      <c r="S40" s="121"/>
      <c r="T40" s="121"/>
      <c r="U40" s="121"/>
      <c r="V40" s="121"/>
      <c r="W40" s="121"/>
      <c r="X40" s="121"/>
      <c r="Y40" s="121"/>
      <c r="Z40" s="121"/>
      <c r="AJ40" s="257"/>
      <c r="AK40" s="257"/>
      <c r="AL40" s="257"/>
      <c r="AM40" s="257"/>
      <c r="AN40" s="257"/>
    </row>
    <row r="41" spans="1:40" x14ac:dyDescent="0.3">
      <c r="A41" s="259"/>
      <c r="B41" s="450"/>
      <c r="C41" s="451"/>
      <c r="D41" s="452"/>
      <c r="E41" s="453"/>
      <c r="F41" s="259"/>
      <c r="G41" s="259"/>
      <c r="H41" s="259"/>
      <c r="I41" s="279"/>
      <c r="J41" s="196"/>
      <c r="K41" s="196"/>
      <c r="L41" s="196"/>
      <c r="M41" s="196"/>
      <c r="N41" s="196"/>
      <c r="O41" s="196"/>
      <c r="P41" s="196"/>
      <c r="Q41" s="196"/>
      <c r="R41" s="121"/>
      <c r="S41" s="121"/>
      <c r="T41" s="121"/>
      <c r="U41" s="121"/>
      <c r="V41" s="121"/>
      <c r="W41" s="121"/>
      <c r="X41" s="121"/>
      <c r="Y41" s="121"/>
      <c r="Z41" s="121"/>
      <c r="AJ41" s="257"/>
      <c r="AK41" s="257"/>
      <c r="AL41" s="257"/>
      <c r="AM41" s="257"/>
      <c r="AN41" s="257"/>
    </row>
    <row r="42" spans="1:40" x14ac:dyDescent="0.3">
      <c r="A42" s="259"/>
      <c r="B42" s="345" t="s">
        <v>762</v>
      </c>
      <c r="C42" s="346"/>
      <c r="D42" s="346"/>
      <c r="E42" s="346"/>
      <c r="F42" s="346"/>
      <c r="G42" s="346"/>
      <c r="H42" s="346"/>
      <c r="I42" s="195"/>
      <c r="J42" s="196"/>
      <c r="K42" s="196"/>
      <c r="L42" s="196"/>
      <c r="M42" s="196"/>
      <c r="N42" s="196"/>
      <c r="O42" s="196"/>
      <c r="P42" s="196"/>
      <c r="Q42" s="196"/>
      <c r="R42" s="121"/>
      <c r="S42" s="121"/>
      <c r="T42" s="121"/>
      <c r="U42" s="121"/>
      <c r="V42" s="121"/>
      <c r="W42" s="121"/>
      <c r="X42" s="121"/>
      <c r="Y42" s="121"/>
      <c r="Z42" s="121"/>
      <c r="AJ42" s="257"/>
      <c r="AK42" s="257"/>
      <c r="AL42" s="257"/>
      <c r="AM42" s="257"/>
      <c r="AN42" s="257"/>
    </row>
    <row r="43" spans="1:40" ht="43.2" x14ac:dyDescent="0.3">
      <c r="A43" s="259"/>
      <c r="B43" s="253" t="s">
        <v>711</v>
      </c>
      <c r="C43" s="152" t="s">
        <v>760</v>
      </c>
      <c r="D43" s="796" t="s">
        <v>748</v>
      </c>
      <c r="E43" s="228" t="s">
        <v>591</v>
      </c>
      <c r="F43" s="228" t="s">
        <v>592</v>
      </c>
      <c r="G43" s="151" t="s">
        <v>722</v>
      </c>
      <c r="H43" s="151" t="s">
        <v>723</v>
      </c>
      <c r="I43" s="228" t="s">
        <v>724</v>
      </c>
      <c r="J43" s="196"/>
      <c r="K43" s="196"/>
      <c r="L43" s="196"/>
      <c r="M43" s="196"/>
      <c r="N43" s="196"/>
      <c r="O43" s="196"/>
      <c r="P43" s="196"/>
      <c r="Q43" s="196"/>
      <c r="R43" s="121"/>
      <c r="S43" s="121"/>
      <c r="T43" s="121"/>
      <c r="U43" s="121"/>
      <c r="V43" s="121"/>
      <c r="W43" s="121"/>
      <c r="X43" s="121"/>
      <c r="Y43" s="121"/>
      <c r="Z43" s="121"/>
      <c r="AJ43" s="257"/>
      <c r="AK43" s="257"/>
      <c r="AL43" s="257"/>
      <c r="AM43" s="257"/>
      <c r="AN43" s="257"/>
    </row>
    <row r="44" spans="1:40" x14ac:dyDescent="0.3">
      <c r="A44" s="259"/>
      <c r="B44" s="309" t="str">
        <f>B37</f>
        <v>Benralizumab</v>
      </c>
      <c r="C44" s="137">
        <f>'Capacity inputs'!G$14</f>
        <v>3</v>
      </c>
      <c r="D44" s="116">
        <f>SUM('Financial impact (cash)'!D13:D17)*$C44</f>
        <v>0</v>
      </c>
      <c r="E44" s="116">
        <f>SUM('Financial impact (cash)'!E13:E17)*$C44</f>
        <v>805.24102554450269</v>
      </c>
      <c r="F44" s="116">
        <f>SUM('Financial impact (cash)'!F13:F17)*$C44</f>
        <v>1503.8533542398961</v>
      </c>
      <c r="G44" s="116">
        <f>SUM('Financial impact (cash)'!G13:G17)*$C44</f>
        <v>2180.4634612577165</v>
      </c>
      <c r="H44" s="116">
        <f>SUM('Financial impact (cash)'!H13:H17)*$C44</f>
        <v>2836.34166094172</v>
      </c>
      <c r="I44" s="116">
        <f>SUM('Financial impact (cash)'!I13:I17)*$C44</f>
        <v>2638.765245885133</v>
      </c>
      <c r="J44" s="196"/>
      <c r="K44" s="196"/>
      <c r="L44" s="196"/>
      <c r="M44" s="196"/>
      <c r="N44" s="196"/>
      <c r="O44" s="196"/>
      <c r="P44" s="196"/>
      <c r="Q44" s="196"/>
      <c r="R44" s="121"/>
      <c r="S44" s="121"/>
      <c r="T44" s="121"/>
      <c r="U44" s="121"/>
      <c r="V44" s="121"/>
      <c r="W44" s="121"/>
      <c r="X44" s="121"/>
      <c r="Y44" s="121"/>
      <c r="Z44" s="121"/>
      <c r="AJ44" s="257"/>
      <c r="AK44" s="257"/>
      <c r="AL44" s="257"/>
      <c r="AM44" s="257"/>
      <c r="AN44" s="257"/>
    </row>
    <row r="45" spans="1:40" x14ac:dyDescent="0.3">
      <c r="A45" s="259"/>
      <c r="B45" s="309" t="str">
        <f>B38</f>
        <v>Standard of care</v>
      </c>
      <c r="C45" s="137">
        <f>'Capacity inputs'!H$14</f>
        <v>4</v>
      </c>
      <c r="D45" s="116">
        <f>SUM('Financial impact (cash)'!D18:D19)*$C45</f>
        <v>5321.4932174060878</v>
      </c>
      <c r="E45" s="116">
        <f>SUM('Financial impact (cash)'!E18:E19)*$C45</f>
        <v>4294.618802904014</v>
      </c>
      <c r="F45" s="116">
        <f>SUM('Financial impact (cash)'!F18:F19)*$C45</f>
        <v>3410.3272212520433</v>
      </c>
      <c r="G45" s="116">
        <f>SUM('Financial impact (cash)'!G18:G19)*$C45</f>
        <v>2555.7867873321416</v>
      </c>
      <c r="H45" s="116">
        <f>SUM('Financial impact (cash)'!H18:H19)*$C45</f>
        <v>1729.3073955764316</v>
      </c>
      <c r="I45" s="116">
        <f>SUM('Financial impact (cash)'!I18:I19)*$C45</f>
        <v>2041.1896681435696</v>
      </c>
      <c r="J45" s="196"/>
      <c r="K45" s="196"/>
      <c r="L45" s="196"/>
      <c r="M45" s="196"/>
      <c r="N45" s="196"/>
      <c r="O45" s="196"/>
      <c r="P45" s="196"/>
      <c r="Q45" s="196"/>
      <c r="R45" s="121"/>
      <c r="S45" s="121"/>
      <c r="T45" s="121"/>
      <c r="U45" s="121"/>
      <c r="V45" s="121"/>
      <c r="W45" s="121"/>
      <c r="X45" s="121"/>
      <c r="Y45" s="121"/>
      <c r="Z45" s="121"/>
      <c r="AJ45" s="257"/>
      <c r="AK45" s="257"/>
      <c r="AL45" s="257"/>
      <c r="AM45" s="257"/>
      <c r="AN45" s="257"/>
    </row>
    <row r="46" spans="1:40" x14ac:dyDescent="0.3">
      <c r="A46" s="449"/>
      <c r="B46" s="437"/>
      <c r="C46" s="288"/>
      <c r="D46" s="167">
        <f t="shared" ref="D46:I46" si="19">SUM(D44:D45)</f>
        <v>5321.4932174060878</v>
      </c>
      <c r="E46" s="167">
        <f t="shared" si="19"/>
        <v>5099.859828448517</v>
      </c>
      <c r="F46" s="167">
        <f t="shared" si="19"/>
        <v>4914.1805754919396</v>
      </c>
      <c r="G46" s="167">
        <f t="shared" si="19"/>
        <v>4736.2502485898585</v>
      </c>
      <c r="H46" s="167">
        <f t="shared" si="19"/>
        <v>4565.6490565181521</v>
      </c>
      <c r="I46" s="167">
        <f t="shared" si="19"/>
        <v>4679.9549140287027</v>
      </c>
      <c r="J46" s="457"/>
      <c r="K46" s="196"/>
      <c r="L46" s="196"/>
      <c r="M46" s="196"/>
      <c r="N46" s="196"/>
      <c r="O46" s="196"/>
      <c r="P46" s="196"/>
      <c r="Q46" s="196"/>
      <c r="R46" s="121"/>
      <c r="S46" s="121"/>
      <c r="T46" s="121"/>
      <c r="U46" s="121"/>
      <c r="V46" s="121"/>
      <c r="W46" s="121"/>
      <c r="X46" s="121"/>
      <c r="Y46" s="121"/>
      <c r="Z46" s="121"/>
      <c r="AJ46" s="257"/>
      <c r="AK46" s="257"/>
      <c r="AL46" s="257"/>
      <c r="AM46" s="257"/>
      <c r="AN46" s="257"/>
    </row>
    <row r="47" spans="1:40" x14ac:dyDescent="0.3">
      <c r="A47" s="449"/>
      <c r="B47" s="229"/>
      <c r="C47" s="229"/>
      <c r="D47" s="256" t="s">
        <v>2166</v>
      </c>
      <c r="E47" s="167">
        <f>E46-$D$46</f>
        <v>-221.63338895757079</v>
      </c>
      <c r="F47" s="167">
        <f t="shared" ref="F47:I47" si="20">F46-$D$46</f>
        <v>-407.31264191414812</v>
      </c>
      <c r="G47" s="167">
        <f t="shared" si="20"/>
        <v>-585.24296881622922</v>
      </c>
      <c r="H47" s="167">
        <f t="shared" si="20"/>
        <v>-755.84416088793569</v>
      </c>
      <c r="I47" s="167">
        <f t="shared" si="20"/>
        <v>-641.53830337738509</v>
      </c>
      <c r="J47" s="457"/>
      <c r="K47" s="196"/>
      <c r="L47" s="196"/>
      <c r="M47" s="196"/>
      <c r="N47" s="196"/>
      <c r="O47" s="196"/>
      <c r="P47" s="196"/>
      <c r="Q47" s="196"/>
      <c r="R47" s="121"/>
      <c r="S47" s="121"/>
      <c r="T47" s="121"/>
      <c r="U47" s="121"/>
      <c r="V47" s="121"/>
      <c r="W47" s="121"/>
      <c r="X47" s="121"/>
      <c r="Y47" s="121"/>
      <c r="Z47" s="121"/>
      <c r="AJ47" s="257"/>
      <c r="AK47" s="257"/>
      <c r="AL47" s="257"/>
      <c r="AM47" s="257"/>
      <c r="AN47" s="257"/>
    </row>
    <row r="48" spans="1:40" x14ac:dyDescent="0.3">
      <c r="A48" s="259"/>
      <c r="B48" s="450"/>
      <c r="C48" s="451"/>
      <c r="D48" s="452"/>
      <c r="E48" s="453"/>
      <c r="F48" s="259"/>
      <c r="G48" s="259"/>
      <c r="H48" s="259"/>
      <c r="I48" s="259"/>
      <c r="J48" s="196"/>
      <c r="K48" s="196"/>
      <c r="L48" s="196"/>
      <c r="M48" s="196"/>
      <c r="N48" s="196"/>
      <c r="O48" s="196"/>
      <c r="P48" s="196"/>
      <c r="Q48" s="196"/>
      <c r="R48" s="121"/>
      <c r="S48" s="121"/>
      <c r="T48" s="121"/>
      <c r="U48" s="121"/>
      <c r="V48" s="121"/>
      <c r="W48" s="121"/>
      <c r="X48" s="121"/>
      <c r="Y48" s="121"/>
      <c r="Z48" s="121"/>
      <c r="AJ48" s="257"/>
      <c r="AK48" s="257"/>
      <c r="AL48" s="257"/>
      <c r="AM48" s="257"/>
      <c r="AN48" s="257"/>
    </row>
    <row r="49" spans="1:40" x14ac:dyDescent="0.3">
      <c r="A49" s="265"/>
      <c r="B49" s="286" t="s">
        <v>764</v>
      </c>
      <c r="C49" s="266"/>
      <c r="D49" s="266"/>
      <c r="E49" s="267"/>
      <c r="F49" s="268"/>
      <c r="G49" s="269"/>
      <c r="H49" s="269"/>
      <c r="I49" s="373"/>
      <c r="J49" s="374"/>
      <c r="K49" s="265"/>
      <c r="L49" s="265"/>
      <c r="M49" s="265"/>
      <c r="N49" s="265"/>
      <c r="O49" s="265"/>
      <c r="P49" s="265"/>
      <c r="Q49" s="192"/>
      <c r="R49" s="121"/>
      <c r="S49" s="121"/>
      <c r="V49" s="121"/>
    </row>
    <row r="50" spans="1:40" x14ac:dyDescent="0.3">
      <c r="A50" s="273"/>
      <c r="B50" s="338" t="s">
        <v>766</v>
      </c>
      <c r="C50" s="339"/>
      <c r="D50" s="339"/>
      <c r="E50" s="339"/>
      <c r="F50" s="339"/>
      <c r="G50" s="339"/>
      <c r="H50" s="339"/>
      <c r="I50" s="339"/>
      <c r="J50" s="370"/>
      <c r="K50" s="192"/>
      <c r="L50" s="192"/>
      <c r="M50" s="192"/>
      <c r="N50" s="192"/>
      <c r="O50" s="192"/>
      <c r="P50" s="192"/>
      <c r="Q50" s="192"/>
      <c r="R50" s="121"/>
      <c r="S50" s="121"/>
      <c r="T50" s="121"/>
      <c r="U50" s="121"/>
      <c r="V50" s="121"/>
      <c r="W50" s="121"/>
      <c r="X50" s="121"/>
      <c r="Y50" s="121"/>
      <c r="Z50" s="121"/>
      <c r="AJ50" s="257"/>
      <c r="AK50" s="257"/>
      <c r="AL50" s="257"/>
      <c r="AM50" s="257"/>
      <c r="AN50" s="257"/>
    </row>
    <row r="51" spans="1:40" ht="43.2" x14ac:dyDescent="0.3">
      <c r="A51" s="273"/>
      <c r="B51" s="284" t="s">
        <v>711</v>
      </c>
      <c r="C51" s="152" t="s">
        <v>766</v>
      </c>
      <c r="D51" s="796" t="s">
        <v>748</v>
      </c>
      <c r="E51" s="228" t="s">
        <v>591</v>
      </c>
      <c r="F51" s="228" t="s">
        <v>592</v>
      </c>
      <c r="G51" s="151" t="s">
        <v>722</v>
      </c>
      <c r="H51" s="151" t="s">
        <v>723</v>
      </c>
      <c r="I51" s="228" t="s">
        <v>724</v>
      </c>
      <c r="J51" s="370"/>
      <c r="K51" s="192"/>
      <c r="L51" s="192"/>
      <c r="M51" s="192"/>
      <c r="N51" s="192"/>
      <c r="O51" s="192"/>
      <c r="P51" s="192"/>
      <c r="Q51" s="192"/>
      <c r="R51" s="121"/>
      <c r="S51" s="121"/>
      <c r="T51" s="121"/>
      <c r="U51" s="121"/>
      <c r="V51" s="121"/>
      <c r="W51" s="121"/>
      <c r="X51" s="121"/>
      <c r="Y51" s="121"/>
      <c r="Z51" s="121"/>
      <c r="AJ51" s="257"/>
      <c r="AK51" s="257"/>
      <c r="AL51" s="257"/>
      <c r="AM51" s="257"/>
      <c r="AN51" s="257"/>
    </row>
    <row r="52" spans="1:40" x14ac:dyDescent="0.3">
      <c r="A52" s="273"/>
      <c r="B52" s="309" t="str">
        <f>B37</f>
        <v>Benralizumab</v>
      </c>
      <c r="C52" s="809">
        <v>12</v>
      </c>
      <c r="D52" s="116">
        <f>SUM('Financial impact (cash)'!D13:D17)*$C52</f>
        <v>0</v>
      </c>
      <c r="E52" s="116">
        <f>SUM('Financial impact (cash)'!E13:E17)*$C52</f>
        <v>3220.9641021780108</v>
      </c>
      <c r="F52" s="116">
        <f>SUM('Financial impact (cash)'!F13:F17)*$C52</f>
        <v>6015.4134169595845</v>
      </c>
      <c r="G52" s="116">
        <f>SUM('Financial impact (cash)'!G13:G17)*$C52</f>
        <v>8721.8538450308661</v>
      </c>
      <c r="H52" s="116">
        <f>SUM('Financial impact (cash)'!H13:H17)*$C52</f>
        <v>11345.36664376688</v>
      </c>
      <c r="I52" s="116">
        <f>SUM('Financial impact (cash)'!I13:I17)*$C52</f>
        <v>10555.060983540532</v>
      </c>
      <c r="J52" s="370"/>
      <c r="K52" s="192"/>
      <c r="L52" s="192"/>
      <c r="M52" s="192"/>
      <c r="N52" s="192"/>
      <c r="O52" s="192"/>
      <c r="P52" s="192"/>
      <c r="Q52" s="192"/>
      <c r="R52" s="121"/>
      <c r="S52" s="121"/>
      <c r="T52" s="121"/>
      <c r="U52" s="121"/>
      <c r="V52" s="121"/>
      <c r="W52" s="121"/>
      <c r="X52" s="121"/>
      <c r="Y52" s="121"/>
      <c r="Z52" s="121"/>
      <c r="AJ52" s="257"/>
      <c r="AK52" s="257"/>
      <c r="AL52" s="257"/>
      <c r="AM52" s="257"/>
      <c r="AN52" s="257"/>
    </row>
    <row r="53" spans="1:40" x14ac:dyDescent="0.3">
      <c r="A53" s="273"/>
      <c r="B53" s="437"/>
      <c r="C53" s="288"/>
      <c r="D53" s="167">
        <f t="shared" ref="D53:I53" si="21">SUM(D52:D52)</f>
        <v>0</v>
      </c>
      <c r="E53" s="167">
        <f t="shared" si="21"/>
        <v>3220.9641021780108</v>
      </c>
      <c r="F53" s="167">
        <f t="shared" si="21"/>
        <v>6015.4134169595845</v>
      </c>
      <c r="G53" s="167">
        <f t="shared" si="21"/>
        <v>8721.8538450308661</v>
      </c>
      <c r="H53" s="167">
        <f t="shared" si="21"/>
        <v>11345.36664376688</v>
      </c>
      <c r="I53" s="167">
        <f t="shared" si="21"/>
        <v>10555.060983540532</v>
      </c>
      <c r="J53" s="370"/>
      <c r="K53" s="192"/>
      <c r="L53" s="192"/>
      <c r="M53" s="192"/>
      <c r="N53" s="192"/>
      <c r="O53" s="192"/>
      <c r="P53" s="192"/>
      <c r="Q53" s="192"/>
      <c r="R53" s="121"/>
      <c r="S53" s="121"/>
      <c r="T53" s="121"/>
      <c r="U53" s="121"/>
      <c r="V53" s="121"/>
      <c r="W53" s="121"/>
      <c r="X53" s="121"/>
      <c r="Y53" s="121"/>
      <c r="Z53" s="121"/>
      <c r="AJ53" s="257"/>
      <c r="AK53" s="257"/>
      <c r="AL53" s="257"/>
      <c r="AM53" s="257"/>
      <c r="AN53" s="257"/>
    </row>
    <row r="54" spans="1:40" x14ac:dyDescent="0.3">
      <c r="A54" s="273"/>
      <c r="B54" s="229"/>
      <c r="C54" s="229"/>
      <c r="D54" s="677" t="s">
        <v>2167</v>
      </c>
      <c r="E54" s="167">
        <f>E53-$D$53</f>
        <v>3220.9641021780108</v>
      </c>
      <c r="F54" s="167">
        <f>F53-$D$53</f>
        <v>6015.4134169595845</v>
      </c>
      <c r="G54" s="167">
        <f>G53-$D$53</f>
        <v>8721.8538450308661</v>
      </c>
      <c r="H54" s="167">
        <f>H53-$D$53</f>
        <v>11345.36664376688</v>
      </c>
      <c r="I54" s="167">
        <f>I53-$D$53</f>
        <v>10555.060983540532</v>
      </c>
      <c r="J54" s="370"/>
      <c r="K54" s="192"/>
      <c r="L54" s="192"/>
      <c r="M54" s="192"/>
      <c r="N54" s="192"/>
      <c r="O54" s="192"/>
      <c r="P54" s="192"/>
      <c r="Q54" s="192"/>
      <c r="R54" s="121"/>
      <c r="S54" s="121"/>
      <c r="T54" s="121"/>
      <c r="U54" s="121"/>
      <c r="V54" s="121"/>
      <c r="W54" s="121"/>
      <c r="X54" s="121"/>
      <c r="Y54" s="121"/>
      <c r="Z54" s="121"/>
      <c r="AJ54" s="257"/>
      <c r="AK54" s="257"/>
      <c r="AL54" s="257"/>
      <c r="AM54" s="257"/>
      <c r="AN54" s="257"/>
    </row>
    <row r="55" spans="1:40" x14ac:dyDescent="0.3">
      <c r="A55" s="192"/>
      <c r="B55" s="192"/>
      <c r="C55" s="192"/>
      <c r="D55" s="192"/>
      <c r="E55" s="192"/>
      <c r="F55" s="192"/>
      <c r="G55" s="192"/>
      <c r="H55" s="192"/>
      <c r="I55" s="192"/>
      <c r="J55" s="192"/>
      <c r="K55" s="192"/>
      <c r="L55" s="192"/>
      <c r="M55" s="192"/>
      <c r="N55" s="192"/>
      <c r="O55" s="192"/>
      <c r="P55" s="192"/>
      <c r="Q55" s="192"/>
      <c r="R55" s="121"/>
      <c r="S55" s="121"/>
      <c r="T55" s="121"/>
      <c r="U55" s="121"/>
      <c r="V55" s="121"/>
      <c r="W55" s="121"/>
      <c r="X55" s="121"/>
      <c r="Y55" s="121"/>
      <c r="Z55" s="121"/>
      <c r="AJ55" s="257"/>
      <c r="AK55" s="257"/>
      <c r="AL55" s="257"/>
      <c r="AM55" s="257"/>
      <c r="AN55" s="257"/>
    </row>
    <row r="56" spans="1:40" hidden="1" x14ac:dyDescent="0.3">
      <c r="A56" s="258"/>
      <c r="B56" s="289" t="s">
        <v>768</v>
      </c>
      <c r="C56" s="274"/>
      <c r="D56" s="274"/>
      <c r="E56" s="275"/>
      <c r="F56" s="276"/>
      <c r="G56" s="277"/>
      <c r="H56" s="277"/>
      <c r="I56" s="277"/>
      <c r="J56" s="375"/>
      <c r="K56" s="194"/>
      <c r="L56" s="194"/>
      <c r="M56" s="194"/>
      <c r="N56" s="194"/>
      <c r="O56" s="194"/>
      <c r="P56" s="194"/>
      <c r="Q56" s="194"/>
      <c r="R56" s="121"/>
      <c r="V56" s="121"/>
    </row>
    <row r="57" spans="1:40" hidden="1" x14ac:dyDescent="0.3">
      <c r="A57" s="258"/>
      <c r="B57" s="340" t="s">
        <v>769</v>
      </c>
      <c r="C57" s="341"/>
      <c r="D57" s="341"/>
      <c r="E57" s="341"/>
      <c r="F57" s="341"/>
      <c r="G57" s="341"/>
      <c r="H57" s="341"/>
      <c r="I57" s="193"/>
      <c r="J57" s="371"/>
      <c r="K57" s="194"/>
      <c r="L57" s="194"/>
      <c r="M57" s="194"/>
      <c r="N57" s="194"/>
      <c r="O57" s="194"/>
      <c r="P57" s="194"/>
      <c r="Q57" s="194"/>
      <c r="R57" s="121"/>
      <c r="V57" s="121"/>
    </row>
    <row r="58" spans="1:40" ht="43.2" hidden="1" x14ac:dyDescent="0.3">
      <c r="A58" s="258"/>
      <c r="B58" s="253" t="s">
        <v>711</v>
      </c>
      <c r="C58" s="358" t="s">
        <v>757</v>
      </c>
      <c r="D58" s="796" t="s">
        <v>748</v>
      </c>
      <c r="E58" s="228" t="s">
        <v>591</v>
      </c>
      <c r="F58" s="228" t="s">
        <v>592</v>
      </c>
      <c r="G58" s="151" t="s">
        <v>722</v>
      </c>
      <c r="H58" s="151" t="s">
        <v>723</v>
      </c>
      <c r="I58" s="228" t="s">
        <v>724</v>
      </c>
      <c r="J58" s="258"/>
      <c r="K58" s="194"/>
      <c r="L58" s="194"/>
      <c r="M58" s="194"/>
      <c r="N58" s="194"/>
      <c r="O58" s="194"/>
      <c r="P58" s="194"/>
      <c r="Q58" s="194"/>
      <c r="R58" s="121"/>
      <c r="V58" s="121"/>
    </row>
    <row r="59" spans="1:40" hidden="1" x14ac:dyDescent="0.3">
      <c r="A59" s="258"/>
      <c r="B59" s="310" t="str">
        <f>'Inputs and population'!C35</f>
        <v>Benralizumab</v>
      </c>
      <c r="C59" s="137">
        <f>'Capacity inputs'!F15*'Capacity inputs'!G15</f>
        <v>0</v>
      </c>
      <c r="D59" s="116" t="e">
        <f>#REF!</f>
        <v>#REF!</v>
      </c>
      <c r="E59" s="116" t="e">
        <f>#REF!</f>
        <v>#REF!</v>
      </c>
      <c r="F59" s="116" t="e">
        <f>#REF!</f>
        <v>#REF!</v>
      </c>
      <c r="G59" s="116" t="e">
        <f>#REF!</f>
        <v>#REF!</v>
      </c>
      <c r="H59" s="116" t="e">
        <f>#REF!</f>
        <v>#REF!</v>
      </c>
      <c r="I59" s="116" t="e">
        <f>#REF!</f>
        <v>#REF!</v>
      </c>
      <c r="J59" s="258"/>
      <c r="K59" s="194"/>
      <c r="L59" s="194"/>
      <c r="M59" s="194"/>
      <c r="N59" s="194"/>
      <c r="O59" s="194"/>
      <c r="P59" s="194"/>
      <c r="Q59" s="194"/>
      <c r="R59" s="121"/>
      <c r="S59" s="121"/>
      <c r="T59" s="121"/>
      <c r="U59" s="121"/>
      <c r="V59" s="121"/>
      <c r="W59" s="121"/>
      <c r="X59" s="121"/>
      <c r="Y59" s="121"/>
      <c r="Z59" s="121"/>
      <c r="AJ59" s="257"/>
      <c r="AK59" s="257"/>
      <c r="AL59" s="257"/>
      <c r="AM59" s="257"/>
      <c r="AN59" s="257"/>
    </row>
    <row r="60" spans="1:40" hidden="1" x14ac:dyDescent="0.3">
      <c r="A60" s="258"/>
      <c r="B60" s="251"/>
      <c r="C60" s="288"/>
      <c r="D60" s="167" t="e">
        <f t="shared" ref="D60:I60" si="22">SUM(D59:D59)</f>
        <v>#REF!</v>
      </c>
      <c r="E60" s="167" t="e">
        <f t="shared" si="22"/>
        <v>#REF!</v>
      </c>
      <c r="F60" s="167" t="e">
        <f t="shared" si="22"/>
        <v>#REF!</v>
      </c>
      <c r="G60" s="167" t="e">
        <f t="shared" si="22"/>
        <v>#REF!</v>
      </c>
      <c r="H60" s="167" t="e">
        <f t="shared" si="22"/>
        <v>#REF!</v>
      </c>
      <c r="I60" s="167" t="e">
        <f t="shared" si="22"/>
        <v>#REF!</v>
      </c>
      <c r="J60" s="258"/>
      <c r="K60" s="194"/>
      <c r="L60" s="194"/>
      <c r="M60" s="194"/>
      <c r="N60" s="194"/>
      <c r="O60" s="194"/>
      <c r="P60" s="194"/>
      <c r="Q60" s="194"/>
      <c r="R60" s="121"/>
      <c r="S60" s="121"/>
      <c r="T60" s="121"/>
      <c r="U60" s="121"/>
      <c r="V60" s="121"/>
      <c r="W60" s="121"/>
      <c r="X60" s="121"/>
      <c r="Y60" s="121"/>
      <c r="Z60" s="121"/>
      <c r="AJ60" s="257"/>
      <c r="AK60" s="257"/>
      <c r="AL60" s="257"/>
      <c r="AM60" s="257"/>
      <c r="AN60" s="257"/>
    </row>
    <row r="61" spans="1:40" hidden="1" x14ac:dyDescent="0.3">
      <c r="A61" s="258"/>
      <c r="B61" s="278"/>
      <c r="C61" s="229"/>
      <c r="D61" s="256" t="s">
        <v>770</v>
      </c>
      <c r="E61" s="167" t="e">
        <f>E60-$D$60</f>
        <v>#REF!</v>
      </c>
      <c r="F61" s="167" t="e">
        <f>F60-$D$60</f>
        <v>#REF!</v>
      </c>
      <c r="G61" s="167" t="e">
        <f>G60-$D$60</f>
        <v>#REF!</v>
      </c>
      <c r="H61" s="167" t="e">
        <f>H60-$D$60</f>
        <v>#REF!</v>
      </c>
      <c r="I61" s="167" t="e">
        <f>I60-$D$60</f>
        <v>#REF!</v>
      </c>
      <c r="J61" s="258"/>
      <c r="K61" s="194"/>
      <c r="L61" s="194"/>
      <c r="M61" s="194"/>
      <c r="N61" s="194"/>
      <c r="O61" s="194"/>
      <c r="P61" s="194"/>
      <c r="Q61" s="194"/>
      <c r="R61" s="121"/>
      <c r="S61" s="121"/>
      <c r="T61" s="121"/>
      <c r="U61" s="121"/>
      <c r="V61" s="121"/>
      <c r="W61" s="121"/>
      <c r="X61" s="121"/>
      <c r="Y61" s="121"/>
      <c r="Z61" s="121"/>
      <c r="AJ61" s="257"/>
      <c r="AK61" s="257"/>
      <c r="AL61" s="257"/>
      <c r="AM61" s="257"/>
      <c r="AN61" s="257"/>
    </row>
    <row r="62" spans="1:40" hidden="1" x14ac:dyDescent="0.3">
      <c r="A62" s="258"/>
      <c r="B62" s="290"/>
      <c r="C62" s="194"/>
      <c r="D62" s="194"/>
      <c r="E62" s="194"/>
      <c r="F62" s="194"/>
      <c r="G62" s="194"/>
      <c r="H62" s="194"/>
      <c r="I62" s="194"/>
      <c r="J62" s="194"/>
      <c r="K62" s="194"/>
      <c r="L62" s="194"/>
      <c r="M62" s="194"/>
      <c r="N62" s="194"/>
      <c r="O62" s="194"/>
      <c r="P62" s="194"/>
      <c r="Q62" s="194"/>
      <c r="R62" s="121"/>
      <c r="S62" s="121"/>
      <c r="T62" s="121"/>
      <c r="U62" s="121"/>
      <c r="V62" s="121"/>
      <c r="W62" s="121"/>
      <c r="X62" s="121"/>
      <c r="Y62" s="121"/>
      <c r="Z62" s="121"/>
      <c r="AJ62" s="257"/>
      <c r="AK62" s="257"/>
      <c r="AL62" s="257"/>
      <c r="AM62" s="257"/>
      <c r="AN62" s="257"/>
    </row>
    <row r="63" spans="1:40" hidden="1" x14ac:dyDescent="0.3">
      <c r="A63" s="258"/>
      <c r="B63" s="342" t="s">
        <v>771</v>
      </c>
      <c r="C63" s="341"/>
      <c r="D63" s="341"/>
      <c r="E63" s="341"/>
      <c r="F63" s="341"/>
      <c r="G63" s="341"/>
      <c r="H63" s="341"/>
      <c r="I63" s="193"/>
      <c r="J63" s="371"/>
      <c r="K63" s="194"/>
      <c r="L63" s="194"/>
      <c r="M63" s="194"/>
      <c r="N63" s="194"/>
      <c r="O63" s="194"/>
      <c r="P63" s="194"/>
      <c r="Q63" s="194"/>
      <c r="R63" s="121"/>
      <c r="S63" s="121"/>
      <c r="T63" s="121"/>
      <c r="U63" s="121"/>
      <c r="V63" s="121"/>
      <c r="W63" s="121"/>
      <c r="X63" s="121"/>
      <c r="Y63" s="121"/>
      <c r="Z63" s="121"/>
      <c r="AJ63" s="257"/>
      <c r="AK63" s="257"/>
      <c r="AL63" s="257"/>
      <c r="AM63" s="257"/>
      <c r="AN63" s="257"/>
    </row>
    <row r="64" spans="1:40" ht="43.2" hidden="1" x14ac:dyDescent="0.3">
      <c r="A64" s="258"/>
      <c r="B64" s="253" t="s">
        <v>711</v>
      </c>
      <c r="C64" s="358" t="s">
        <v>757</v>
      </c>
      <c r="D64" s="796" t="s">
        <v>748</v>
      </c>
      <c r="E64" s="228" t="s">
        <v>591</v>
      </c>
      <c r="F64" s="228" t="s">
        <v>592</v>
      </c>
      <c r="G64" s="151" t="s">
        <v>722</v>
      </c>
      <c r="H64" s="151" t="s">
        <v>723</v>
      </c>
      <c r="I64" s="228" t="s">
        <v>724</v>
      </c>
      <c r="J64" s="258"/>
      <c r="K64" s="194"/>
      <c r="L64" s="194"/>
      <c r="M64" s="194"/>
      <c r="N64" s="194"/>
      <c r="O64" s="194"/>
      <c r="P64" s="194"/>
      <c r="Q64" s="194"/>
      <c r="R64" s="121"/>
      <c r="S64" s="121"/>
      <c r="T64" s="121"/>
      <c r="U64" s="121"/>
      <c r="V64" s="121"/>
      <c r="W64" s="121"/>
      <c r="X64" s="121"/>
      <c r="Y64" s="121"/>
      <c r="Z64" s="121"/>
      <c r="AJ64" s="257"/>
      <c r="AK64" s="257"/>
      <c r="AL64" s="257"/>
      <c r="AM64" s="257"/>
      <c r="AN64" s="257"/>
    </row>
    <row r="65" spans="1:40" hidden="1" x14ac:dyDescent="0.3">
      <c r="A65" s="258"/>
      <c r="B65" s="310" t="str">
        <f>B59</f>
        <v>Benralizumab</v>
      </c>
      <c r="C65" s="137">
        <f>'Capacity inputs'!F16*'Capacity inputs'!G16</f>
        <v>0</v>
      </c>
      <c r="D65" s="116" t="e">
        <f>#REF!</f>
        <v>#REF!</v>
      </c>
      <c r="E65" s="116" t="e">
        <f>#REF!</f>
        <v>#REF!</v>
      </c>
      <c r="F65" s="116" t="e">
        <f>#REF!</f>
        <v>#REF!</v>
      </c>
      <c r="G65" s="116" t="e">
        <f>#REF!</f>
        <v>#REF!</v>
      </c>
      <c r="H65" s="116" t="e">
        <f>#REF!</f>
        <v>#REF!</v>
      </c>
      <c r="I65" s="116" t="e">
        <f>#REF!</f>
        <v>#REF!</v>
      </c>
      <c r="J65" s="258"/>
      <c r="K65" s="194"/>
      <c r="L65" s="194"/>
      <c r="M65" s="194"/>
      <c r="N65" s="194"/>
      <c r="O65" s="194"/>
      <c r="P65" s="194"/>
      <c r="Q65" s="194"/>
      <c r="R65" s="121"/>
      <c r="S65" s="121"/>
      <c r="T65" s="121"/>
      <c r="U65" s="121"/>
      <c r="V65" s="121"/>
      <c r="W65" s="121"/>
      <c r="X65" s="121"/>
      <c r="Y65" s="121"/>
      <c r="Z65" s="121"/>
      <c r="AJ65" s="257"/>
      <c r="AK65" s="257"/>
      <c r="AL65" s="257"/>
      <c r="AM65" s="257"/>
      <c r="AN65" s="257"/>
    </row>
    <row r="66" spans="1:40" hidden="1" x14ac:dyDescent="0.3">
      <c r="A66" s="258"/>
      <c r="B66" s="251"/>
      <c r="C66" s="288"/>
      <c r="D66" s="167" t="e">
        <f t="shared" ref="D66:I66" si="23">SUM(D65:D65)</f>
        <v>#REF!</v>
      </c>
      <c r="E66" s="167" t="e">
        <f t="shared" si="23"/>
        <v>#REF!</v>
      </c>
      <c r="F66" s="167" t="e">
        <f t="shared" si="23"/>
        <v>#REF!</v>
      </c>
      <c r="G66" s="167" t="e">
        <f t="shared" si="23"/>
        <v>#REF!</v>
      </c>
      <c r="H66" s="167" t="e">
        <f t="shared" si="23"/>
        <v>#REF!</v>
      </c>
      <c r="I66" s="167" t="e">
        <f t="shared" si="23"/>
        <v>#REF!</v>
      </c>
      <c r="J66" s="258"/>
      <c r="K66" s="194"/>
      <c r="L66" s="194"/>
      <c r="M66" s="194"/>
      <c r="N66" s="194"/>
      <c r="O66" s="194"/>
      <c r="P66" s="194"/>
      <c r="Q66" s="194"/>
      <c r="R66" s="121"/>
      <c r="S66" s="121"/>
      <c r="T66" s="121"/>
      <c r="U66" s="121"/>
      <c r="V66" s="121"/>
      <c r="W66" s="121"/>
      <c r="X66" s="121"/>
      <c r="Y66" s="121"/>
      <c r="Z66" s="121"/>
      <c r="AJ66" s="257"/>
      <c r="AK66" s="257"/>
      <c r="AL66" s="257"/>
      <c r="AM66" s="257"/>
      <c r="AN66" s="257"/>
    </row>
    <row r="67" spans="1:40" hidden="1" x14ac:dyDescent="0.3">
      <c r="A67" s="258"/>
      <c r="B67" s="254"/>
      <c r="C67" s="254"/>
      <c r="D67" s="256" t="s">
        <v>772</v>
      </c>
      <c r="E67" s="167" t="e">
        <f>E66-$D$66</f>
        <v>#REF!</v>
      </c>
      <c r="F67" s="167" t="e">
        <f>F66-$D$66</f>
        <v>#REF!</v>
      </c>
      <c r="G67" s="167" t="e">
        <f>G66-$D$66</f>
        <v>#REF!</v>
      </c>
      <c r="H67" s="167" t="e">
        <f>H66-$D$66</f>
        <v>#REF!</v>
      </c>
      <c r="I67" s="167" t="e">
        <f>I66-$D$66</f>
        <v>#REF!</v>
      </c>
      <c r="J67" s="258"/>
      <c r="K67" s="194"/>
      <c r="L67" s="194"/>
      <c r="M67" s="194"/>
      <c r="N67" s="194"/>
      <c r="O67" s="194"/>
      <c r="P67" s="194"/>
      <c r="Q67" s="194"/>
      <c r="R67" s="121"/>
      <c r="S67" s="121"/>
      <c r="T67" s="121"/>
      <c r="U67" s="121"/>
      <c r="V67" s="121"/>
      <c r="W67" s="121"/>
      <c r="X67" s="121"/>
      <c r="Y67" s="121"/>
      <c r="Z67" s="121"/>
      <c r="AJ67" s="257"/>
      <c r="AK67" s="257"/>
      <c r="AL67" s="257"/>
      <c r="AM67" s="257"/>
      <c r="AN67" s="257"/>
    </row>
    <row r="68" spans="1:40" hidden="1" x14ac:dyDescent="0.3">
      <c r="A68" s="258"/>
      <c r="B68" s="290"/>
      <c r="C68" s="194"/>
      <c r="D68" s="194"/>
      <c r="E68" s="194"/>
      <c r="F68" s="194"/>
      <c r="G68" s="194"/>
      <c r="H68" s="194"/>
      <c r="I68" s="194"/>
      <c r="J68" s="194"/>
      <c r="K68" s="194"/>
      <c r="L68" s="194"/>
      <c r="M68" s="194"/>
      <c r="N68" s="194"/>
      <c r="O68" s="194"/>
      <c r="P68" s="194"/>
      <c r="Q68" s="194"/>
      <c r="R68" s="121"/>
      <c r="S68" s="121"/>
      <c r="T68" s="121"/>
      <c r="U68" s="121"/>
      <c r="V68" s="121"/>
      <c r="W68" s="121"/>
      <c r="X68" s="121"/>
      <c r="Y68" s="121"/>
      <c r="Z68" s="121"/>
      <c r="AJ68" s="257"/>
      <c r="AK68" s="257"/>
      <c r="AL68" s="257"/>
      <c r="AM68" s="257"/>
      <c r="AN68" s="257"/>
    </row>
    <row r="69" spans="1:40" hidden="1" x14ac:dyDescent="0.3">
      <c r="A69" s="258"/>
      <c r="B69" s="342" t="s">
        <v>773</v>
      </c>
      <c r="C69" s="341"/>
      <c r="D69" s="341"/>
      <c r="E69" s="341"/>
      <c r="F69" s="341"/>
      <c r="G69" s="341"/>
      <c r="H69" s="341"/>
      <c r="I69" s="193"/>
      <c r="J69" s="371"/>
      <c r="K69" s="194"/>
      <c r="L69" s="194"/>
      <c r="M69" s="194"/>
      <c r="N69" s="194"/>
      <c r="O69" s="194"/>
      <c r="P69" s="194"/>
      <c r="Q69" s="194"/>
      <c r="R69" s="121"/>
      <c r="V69" s="121"/>
      <c r="AJ69" s="257"/>
      <c r="AK69" s="257"/>
      <c r="AL69" s="257"/>
      <c r="AM69" s="257"/>
      <c r="AN69" s="257"/>
    </row>
    <row r="70" spans="1:40" ht="43.2" hidden="1" x14ac:dyDescent="0.3">
      <c r="A70" s="258"/>
      <c r="B70" s="253" t="s">
        <v>711</v>
      </c>
      <c r="C70" s="358" t="s">
        <v>757</v>
      </c>
      <c r="D70" s="796" t="s">
        <v>748</v>
      </c>
      <c r="E70" s="228" t="s">
        <v>591</v>
      </c>
      <c r="F70" s="228" t="s">
        <v>592</v>
      </c>
      <c r="G70" s="151" t="s">
        <v>722</v>
      </c>
      <c r="H70" s="151" t="s">
        <v>723</v>
      </c>
      <c r="I70" s="228" t="s">
        <v>724</v>
      </c>
      <c r="J70" s="258"/>
      <c r="K70" s="194"/>
      <c r="L70" s="194"/>
      <c r="M70" s="194"/>
      <c r="N70" s="194"/>
      <c r="O70" s="194"/>
      <c r="P70" s="194"/>
      <c r="Q70" s="194"/>
      <c r="R70" s="121"/>
      <c r="V70" s="121"/>
      <c r="AJ70" s="257"/>
      <c r="AK70" s="257"/>
      <c r="AL70" s="257"/>
      <c r="AM70" s="257"/>
      <c r="AN70" s="257"/>
    </row>
    <row r="71" spans="1:40" hidden="1" x14ac:dyDescent="0.3">
      <c r="A71" s="258"/>
      <c r="B71" s="310" t="str">
        <f>B65</f>
        <v>Benralizumab</v>
      </c>
      <c r="C71" s="137">
        <f>'Capacity inputs'!F17*'Capacity inputs'!G17</f>
        <v>0</v>
      </c>
      <c r="D71" s="116" t="e">
        <f>#REF!</f>
        <v>#REF!</v>
      </c>
      <c r="E71" s="116" t="e">
        <f>#REF!</f>
        <v>#REF!</v>
      </c>
      <c r="F71" s="116" t="e">
        <f>#REF!</f>
        <v>#REF!</v>
      </c>
      <c r="G71" s="116" t="e">
        <f>#REF!</f>
        <v>#REF!</v>
      </c>
      <c r="H71" s="116" t="e">
        <f>#REF!</f>
        <v>#REF!</v>
      </c>
      <c r="I71" s="116" t="e">
        <f>#REF!</f>
        <v>#REF!</v>
      </c>
      <c r="J71" s="258"/>
      <c r="K71" s="194"/>
      <c r="L71" s="194"/>
      <c r="M71" s="194"/>
      <c r="N71" s="194"/>
      <c r="O71" s="194"/>
      <c r="P71" s="194"/>
      <c r="Q71" s="194"/>
      <c r="R71" s="121"/>
      <c r="V71" s="121"/>
      <c r="AJ71" s="257"/>
      <c r="AK71" s="257"/>
      <c r="AL71" s="257"/>
      <c r="AM71" s="257"/>
      <c r="AN71" s="257"/>
    </row>
    <row r="72" spans="1:40" hidden="1" x14ac:dyDescent="0.3">
      <c r="A72" s="258"/>
      <c r="B72" s="251"/>
      <c r="C72" s="288"/>
      <c r="D72" s="167" t="e">
        <f t="shared" ref="D72:I72" si="24">SUM(D71:D71)</f>
        <v>#REF!</v>
      </c>
      <c r="E72" s="167" t="e">
        <f t="shared" si="24"/>
        <v>#REF!</v>
      </c>
      <c r="F72" s="167" t="e">
        <f t="shared" si="24"/>
        <v>#REF!</v>
      </c>
      <c r="G72" s="167" t="e">
        <f t="shared" si="24"/>
        <v>#REF!</v>
      </c>
      <c r="H72" s="167" t="e">
        <f t="shared" si="24"/>
        <v>#REF!</v>
      </c>
      <c r="I72" s="167" t="e">
        <f t="shared" si="24"/>
        <v>#REF!</v>
      </c>
      <c r="J72" s="258"/>
      <c r="K72" s="194"/>
      <c r="L72" s="194"/>
      <c r="M72" s="194"/>
      <c r="N72" s="194"/>
      <c r="O72" s="194"/>
      <c r="P72" s="194"/>
      <c r="Q72" s="194"/>
      <c r="R72" s="121"/>
      <c r="S72" s="121"/>
      <c r="T72" s="121"/>
      <c r="U72" s="121"/>
      <c r="V72" s="121"/>
      <c r="W72" s="121"/>
      <c r="X72" s="121"/>
      <c r="Y72" s="121"/>
      <c r="Z72" s="121"/>
      <c r="AJ72" s="257"/>
      <c r="AK72" s="257"/>
      <c r="AL72" s="257"/>
      <c r="AM72" s="257"/>
      <c r="AN72" s="257"/>
    </row>
    <row r="73" spans="1:40" hidden="1" x14ac:dyDescent="0.3">
      <c r="A73" s="258"/>
      <c r="B73" s="278"/>
      <c r="C73" s="254"/>
      <c r="D73" s="256" t="s">
        <v>774</v>
      </c>
      <c r="E73" s="167" t="e">
        <f>E72-$D$72</f>
        <v>#REF!</v>
      </c>
      <c r="F73" s="167" t="e">
        <f>F72-$D$72</f>
        <v>#REF!</v>
      </c>
      <c r="G73" s="167" t="e">
        <f>G72-$D$72</f>
        <v>#REF!</v>
      </c>
      <c r="H73" s="167" t="e">
        <f>H72-$D$72</f>
        <v>#REF!</v>
      </c>
      <c r="I73" s="167" t="e">
        <f>I72-$D$72</f>
        <v>#REF!</v>
      </c>
      <c r="J73" s="258"/>
      <c r="K73" s="194"/>
      <c r="L73" s="194"/>
      <c r="M73" s="194"/>
      <c r="N73" s="194"/>
      <c r="O73" s="194"/>
      <c r="P73" s="194"/>
      <c r="Q73" s="194"/>
      <c r="R73" s="121"/>
      <c r="S73" s="121"/>
      <c r="T73" s="121"/>
      <c r="U73" s="121"/>
      <c r="V73" s="121"/>
      <c r="W73" s="121"/>
      <c r="X73" s="121"/>
      <c r="Y73" s="121"/>
      <c r="Z73" s="121"/>
      <c r="AJ73" s="257"/>
      <c r="AK73" s="257"/>
      <c r="AL73" s="257"/>
      <c r="AM73" s="257"/>
      <c r="AN73" s="257"/>
    </row>
    <row r="74" spans="1:40" hidden="1" x14ac:dyDescent="0.3">
      <c r="A74" s="258"/>
      <c r="B74" s="290"/>
      <c r="C74" s="194"/>
      <c r="D74" s="194"/>
      <c r="E74" s="194"/>
      <c r="F74" s="194"/>
      <c r="G74" s="194"/>
      <c r="H74" s="194"/>
      <c r="I74" s="194"/>
      <c r="J74" s="258"/>
      <c r="K74" s="258"/>
      <c r="L74" s="194"/>
      <c r="M74" s="194"/>
      <c r="N74" s="194"/>
      <c r="O74" s="194"/>
      <c r="P74" s="194"/>
      <c r="Q74" s="194"/>
      <c r="R74" s="121"/>
      <c r="S74" s="121"/>
      <c r="T74" s="121"/>
      <c r="U74" s="121"/>
      <c r="V74" s="121"/>
      <c r="W74" s="121"/>
      <c r="X74" s="121"/>
      <c r="Y74" s="121"/>
      <c r="Z74" s="121"/>
      <c r="AJ74" s="257"/>
      <c r="AK74" s="257"/>
      <c r="AL74" s="257"/>
      <c r="AM74" s="257"/>
      <c r="AN74" s="257"/>
    </row>
    <row r="75" spans="1:40" hidden="1" x14ac:dyDescent="0.3">
      <c r="A75" s="542"/>
      <c r="B75" s="548" t="s">
        <v>775</v>
      </c>
      <c r="C75" s="543"/>
      <c r="D75" s="544"/>
      <c r="E75" s="543"/>
      <c r="F75" s="545"/>
      <c r="G75" s="546"/>
      <c r="H75" s="546"/>
      <c r="I75" s="547"/>
      <c r="J75" s="542"/>
      <c r="K75" s="542"/>
      <c r="L75" s="542"/>
      <c r="M75" s="542"/>
      <c r="N75" s="542"/>
      <c r="O75" s="542"/>
      <c r="P75" s="542"/>
      <c r="Q75" s="542"/>
      <c r="R75" s="121"/>
      <c r="S75" s="121"/>
      <c r="T75" s="121"/>
      <c r="U75" s="121"/>
      <c r="V75" s="121"/>
      <c r="W75" s="121"/>
      <c r="X75" s="121"/>
      <c r="Y75" s="121"/>
      <c r="Z75" s="121"/>
      <c r="AJ75" s="257"/>
      <c r="AK75" s="257"/>
      <c r="AL75" s="257"/>
      <c r="AM75" s="257"/>
      <c r="AN75" s="257"/>
    </row>
    <row r="76" spans="1:40" hidden="1" x14ac:dyDescent="0.3">
      <c r="A76" s="260"/>
      <c r="B76" s="343" t="s">
        <v>776</v>
      </c>
      <c r="C76" s="344"/>
      <c r="D76" s="344"/>
      <c r="E76" s="344"/>
      <c r="F76" s="344"/>
      <c r="G76" s="344"/>
      <c r="H76" s="344"/>
      <c r="I76" s="197"/>
      <c r="J76" s="260"/>
      <c r="K76" s="260"/>
      <c r="L76" s="260"/>
      <c r="M76" s="260"/>
      <c r="N76" s="260"/>
      <c r="O76" s="260"/>
      <c r="P76" s="260"/>
      <c r="Q76" s="260"/>
      <c r="R76" s="121"/>
      <c r="V76" s="121"/>
    </row>
    <row r="77" spans="1:40" ht="43.2" hidden="1" x14ac:dyDescent="0.3">
      <c r="A77" s="260"/>
      <c r="B77" s="250" t="s">
        <v>711</v>
      </c>
      <c r="C77" s="358" t="s">
        <v>757</v>
      </c>
      <c r="D77" s="796" t="s">
        <v>748</v>
      </c>
      <c r="E77" s="228" t="s">
        <v>591</v>
      </c>
      <c r="F77" s="228" t="s">
        <v>592</v>
      </c>
      <c r="G77" s="151" t="s">
        <v>722</v>
      </c>
      <c r="H77" s="151" t="s">
        <v>723</v>
      </c>
      <c r="I77" s="228" t="s">
        <v>724</v>
      </c>
      <c r="J77" s="260"/>
      <c r="K77" s="260"/>
      <c r="L77" s="260"/>
      <c r="M77" s="260"/>
      <c r="N77" s="260"/>
      <c r="O77" s="260"/>
      <c r="P77" s="260"/>
      <c r="Q77" s="260"/>
      <c r="R77" s="121"/>
      <c r="V77" s="121"/>
    </row>
    <row r="78" spans="1:40" hidden="1" x14ac:dyDescent="0.3">
      <c r="A78" s="260"/>
      <c r="B78" s="310" t="str">
        <f>'Capacity inputs'!G12</f>
        <v>Benralizumab</v>
      </c>
      <c r="C78" s="137">
        <f>'Capacity inputs'!F18</f>
        <v>0</v>
      </c>
      <c r="D78" s="116" t="e">
        <f>#REF!*'Capacity inputs'!$G18</f>
        <v>#REF!</v>
      </c>
      <c r="E78" s="116" t="e">
        <f>#REF!*'Capacity inputs'!$G18</f>
        <v>#REF!</v>
      </c>
      <c r="F78" s="116" t="e">
        <f>#REF!*'Capacity inputs'!$G18</f>
        <v>#REF!</v>
      </c>
      <c r="G78" s="116" t="e">
        <f>#REF!*'Capacity inputs'!$G18</f>
        <v>#REF!</v>
      </c>
      <c r="H78" s="116" t="e">
        <f>#REF!*'Capacity inputs'!$G18</f>
        <v>#REF!</v>
      </c>
      <c r="I78" s="116" t="e">
        <f>#REF!*'Capacity inputs'!$G18</f>
        <v>#REF!</v>
      </c>
      <c r="J78" s="260"/>
      <c r="K78" s="260"/>
      <c r="L78" s="260"/>
      <c r="M78" s="260"/>
      <c r="N78" s="260"/>
      <c r="O78" s="260"/>
      <c r="P78" s="260"/>
      <c r="Q78" s="260"/>
      <c r="R78" s="121"/>
      <c r="V78" s="121"/>
    </row>
    <row r="79" spans="1:40" hidden="1" x14ac:dyDescent="0.3">
      <c r="A79" s="260"/>
      <c r="B79" s="251"/>
      <c r="C79" s="187"/>
      <c r="D79" s="167" t="e">
        <f t="shared" ref="D79:I79" si="25">SUM(D78:D78)</f>
        <v>#REF!</v>
      </c>
      <c r="E79" s="167" t="e">
        <f t="shared" si="25"/>
        <v>#REF!</v>
      </c>
      <c r="F79" s="167" t="e">
        <f t="shared" si="25"/>
        <v>#REF!</v>
      </c>
      <c r="G79" s="167" t="e">
        <f t="shared" si="25"/>
        <v>#REF!</v>
      </c>
      <c r="H79" s="167" t="e">
        <f t="shared" si="25"/>
        <v>#REF!</v>
      </c>
      <c r="I79" s="167" t="e">
        <f t="shared" si="25"/>
        <v>#REF!</v>
      </c>
      <c r="J79" s="260"/>
      <c r="K79" s="260"/>
      <c r="L79" s="260"/>
      <c r="M79" s="260"/>
      <c r="N79" s="260"/>
      <c r="O79" s="260"/>
      <c r="P79" s="260"/>
      <c r="Q79" s="260"/>
      <c r="R79" s="121"/>
      <c r="V79" s="121"/>
    </row>
    <row r="80" spans="1:40" hidden="1" x14ac:dyDescent="0.3">
      <c r="A80" s="260"/>
      <c r="B80" s="278"/>
      <c r="C80" s="201"/>
      <c r="D80" s="256" t="s">
        <v>777</v>
      </c>
      <c r="E80" s="167" t="e">
        <f>E79-$D$79</f>
        <v>#REF!</v>
      </c>
      <c r="F80" s="167" t="e">
        <f>F79-$D$79</f>
        <v>#REF!</v>
      </c>
      <c r="G80" s="167" t="e">
        <f>G79-$D$79</f>
        <v>#REF!</v>
      </c>
      <c r="H80" s="167" t="e">
        <f>H79-$D$79</f>
        <v>#REF!</v>
      </c>
      <c r="I80" s="167" t="e">
        <f>I79-$D$79</f>
        <v>#REF!</v>
      </c>
      <c r="J80" s="260"/>
      <c r="K80" s="260"/>
      <c r="L80" s="260"/>
      <c r="M80" s="260"/>
      <c r="N80" s="260"/>
      <c r="O80" s="260"/>
      <c r="P80" s="260"/>
      <c r="Q80" s="260"/>
      <c r="R80" s="121"/>
      <c r="V80" s="121"/>
    </row>
    <row r="81" spans="1:40" hidden="1" x14ac:dyDescent="0.3">
      <c r="A81" s="260"/>
      <c r="B81" s="291"/>
      <c r="C81" s="344"/>
      <c r="D81" s="198"/>
      <c r="E81" s="198"/>
      <c r="F81" s="198"/>
      <c r="G81" s="198"/>
      <c r="H81" s="198"/>
      <c r="I81" s="198"/>
      <c r="J81" s="198"/>
      <c r="K81" s="198"/>
      <c r="L81" s="198"/>
      <c r="M81" s="198"/>
      <c r="N81" s="198"/>
      <c r="O81" s="198"/>
      <c r="P81" s="198"/>
      <c r="Q81" s="198"/>
      <c r="R81" s="121"/>
      <c r="S81" s="121"/>
      <c r="T81" s="121"/>
      <c r="U81" s="121"/>
      <c r="V81" s="121"/>
      <c r="W81" s="121"/>
      <c r="X81" s="121"/>
      <c r="Y81" s="121"/>
      <c r="Z81" s="121"/>
      <c r="AJ81" s="257"/>
      <c r="AK81" s="257"/>
      <c r="AL81" s="257"/>
      <c r="AM81" s="257"/>
      <c r="AN81" s="257"/>
    </row>
    <row r="82" spans="1:40" hidden="1" x14ac:dyDescent="0.3">
      <c r="A82" s="294"/>
      <c r="B82" s="295" t="s">
        <v>778</v>
      </c>
      <c r="C82" s="296"/>
      <c r="D82" s="296"/>
      <c r="E82" s="297"/>
      <c r="F82" s="298"/>
      <c r="G82" s="299"/>
      <c r="H82" s="299"/>
      <c r="I82" s="337"/>
      <c r="J82" s="294"/>
      <c r="K82" s="294"/>
      <c r="L82" s="294"/>
      <c r="M82" s="294"/>
      <c r="N82" s="294"/>
      <c r="O82" s="294"/>
      <c r="P82" s="294"/>
      <c r="Q82" s="355"/>
      <c r="R82" s="121"/>
      <c r="S82" s="121"/>
      <c r="T82" s="121"/>
      <c r="U82" s="121"/>
      <c r="V82" s="121"/>
      <c r="W82" s="121"/>
      <c r="X82" s="121"/>
      <c r="Y82" s="121"/>
      <c r="Z82" s="121"/>
      <c r="AJ82" s="257"/>
      <c r="AK82" s="257"/>
      <c r="AL82" s="257"/>
      <c r="AM82" s="257"/>
      <c r="AN82" s="257"/>
    </row>
    <row r="83" spans="1:40" hidden="1" x14ac:dyDescent="0.3">
      <c r="A83" s="294"/>
      <c r="B83" s="347" t="s">
        <v>779</v>
      </c>
      <c r="C83" s="348"/>
      <c r="D83" s="348"/>
      <c r="E83" s="348"/>
      <c r="F83" s="348"/>
      <c r="G83" s="348"/>
      <c r="H83" s="348"/>
      <c r="I83" s="300"/>
      <c r="J83" s="355"/>
      <c r="K83" s="355"/>
      <c r="L83" s="294"/>
      <c r="M83" s="294"/>
      <c r="N83" s="294"/>
      <c r="O83" s="294"/>
      <c r="P83" s="294"/>
      <c r="Q83" s="355"/>
      <c r="R83" s="121"/>
      <c r="S83" s="121"/>
      <c r="T83" s="121"/>
      <c r="U83" s="121"/>
      <c r="V83" s="121"/>
      <c r="W83" s="121"/>
      <c r="X83" s="121"/>
      <c r="Y83" s="121"/>
      <c r="Z83" s="121"/>
      <c r="AJ83" s="257"/>
      <c r="AK83" s="257"/>
      <c r="AL83" s="257"/>
      <c r="AM83" s="257"/>
      <c r="AN83" s="257"/>
    </row>
    <row r="84" spans="1:40" ht="43.2" hidden="1" x14ac:dyDescent="0.3">
      <c r="A84" s="294"/>
      <c r="B84" s="250" t="s">
        <v>711</v>
      </c>
      <c r="C84" s="152" t="s">
        <v>760</v>
      </c>
      <c r="D84" s="796" t="s">
        <v>748</v>
      </c>
      <c r="E84" s="228" t="s">
        <v>591</v>
      </c>
      <c r="F84" s="228" t="s">
        <v>592</v>
      </c>
      <c r="G84" s="151" t="s">
        <v>722</v>
      </c>
      <c r="H84" s="151" t="s">
        <v>723</v>
      </c>
      <c r="I84" s="228" t="s">
        <v>724</v>
      </c>
      <c r="J84" s="294"/>
      <c r="K84" s="355"/>
      <c r="L84" s="294"/>
      <c r="M84" s="294"/>
      <c r="N84" s="294"/>
      <c r="O84" s="294"/>
      <c r="P84" s="294"/>
      <c r="Q84" s="355"/>
      <c r="R84" s="121"/>
      <c r="S84" s="121"/>
      <c r="T84" s="121"/>
      <c r="U84" s="121"/>
      <c r="V84" s="121"/>
      <c r="W84" s="121"/>
      <c r="X84" s="121"/>
      <c r="Y84" s="121"/>
      <c r="Z84" s="121"/>
      <c r="AJ84" s="257"/>
      <c r="AK84" s="257"/>
      <c r="AL84" s="257"/>
      <c r="AM84" s="257"/>
      <c r="AN84" s="257"/>
    </row>
    <row r="85" spans="1:40" hidden="1" x14ac:dyDescent="0.3">
      <c r="A85" s="294"/>
      <c r="B85" s="310" t="str">
        <f>'Capacity inputs'!G12</f>
        <v>Benralizumab</v>
      </c>
      <c r="C85" s="137">
        <f>'Capacity inputs'!G19</f>
        <v>0</v>
      </c>
      <c r="D85" s="116">
        <f>$C85*'Financial impact (cash)'!D13</f>
        <v>0</v>
      </c>
      <c r="E85" s="116">
        <f>$C85*'Financial impact (cash)'!E13</f>
        <v>0</v>
      </c>
      <c r="F85" s="116">
        <f>$C85*'Financial impact (cash)'!F13</f>
        <v>0</v>
      </c>
      <c r="G85" s="116">
        <f>$C85*'Financial impact (cash)'!G13</f>
        <v>0</v>
      </c>
      <c r="H85" s="116">
        <f>$C85*'Financial impact (cash)'!H13</f>
        <v>0</v>
      </c>
      <c r="I85" s="116">
        <f>$C85*'Financial impact (cash)'!I13</f>
        <v>0</v>
      </c>
      <c r="J85" s="294"/>
      <c r="K85" s="355"/>
      <c r="L85" s="294"/>
      <c r="M85" s="294"/>
      <c r="N85" s="294"/>
      <c r="O85" s="294"/>
      <c r="P85" s="294"/>
      <c r="Q85" s="355"/>
      <c r="R85" s="121"/>
      <c r="S85" s="121"/>
      <c r="T85" s="121"/>
      <c r="U85" s="121"/>
      <c r="V85" s="121"/>
      <c r="W85" s="121"/>
      <c r="X85" s="121"/>
      <c r="Y85" s="121"/>
      <c r="Z85" s="121"/>
      <c r="AJ85" s="257"/>
      <c r="AK85" s="257"/>
      <c r="AL85" s="257"/>
      <c r="AM85" s="257"/>
      <c r="AN85" s="257"/>
    </row>
    <row r="86" spans="1:40" hidden="1" x14ac:dyDescent="0.3">
      <c r="A86" s="294"/>
      <c r="B86" s="251"/>
      <c r="C86" s="187"/>
      <c r="D86" s="167">
        <f t="shared" ref="D86:I86" si="26">SUM(D85:D85)</f>
        <v>0</v>
      </c>
      <c r="E86" s="167">
        <f t="shared" si="26"/>
        <v>0</v>
      </c>
      <c r="F86" s="167">
        <f t="shared" si="26"/>
        <v>0</v>
      </c>
      <c r="G86" s="167">
        <f t="shared" si="26"/>
        <v>0</v>
      </c>
      <c r="H86" s="167">
        <f t="shared" si="26"/>
        <v>0</v>
      </c>
      <c r="I86" s="167">
        <f t="shared" si="26"/>
        <v>0</v>
      </c>
      <c r="J86" s="294"/>
      <c r="K86" s="355"/>
      <c r="L86" s="294"/>
      <c r="M86" s="294"/>
      <c r="N86" s="294"/>
      <c r="O86" s="294"/>
      <c r="P86" s="294"/>
      <c r="Q86" s="355"/>
      <c r="R86" s="121"/>
      <c r="S86" s="121"/>
      <c r="T86" s="121"/>
      <c r="U86" s="121"/>
      <c r="V86" s="121"/>
      <c r="W86" s="121"/>
      <c r="X86" s="121"/>
      <c r="Y86" s="121"/>
      <c r="Z86" s="121"/>
      <c r="AJ86" s="257"/>
      <c r="AK86" s="257"/>
      <c r="AL86" s="257"/>
      <c r="AM86" s="257"/>
      <c r="AN86" s="257"/>
    </row>
    <row r="87" spans="1:40" hidden="1" x14ac:dyDescent="0.3">
      <c r="A87" s="294"/>
      <c r="B87" s="278"/>
      <c r="C87" s="229"/>
      <c r="D87" s="256" t="s">
        <v>780</v>
      </c>
      <c r="E87" s="167">
        <f>E86-$D$86</f>
        <v>0</v>
      </c>
      <c r="F87" s="167">
        <f>F86-$D$86</f>
        <v>0</v>
      </c>
      <c r="G87" s="167">
        <f>G86-$D$86</f>
        <v>0</v>
      </c>
      <c r="H87" s="167">
        <f>H86-$D$86</f>
        <v>0</v>
      </c>
      <c r="I87" s="167">
        <f>I86-$D$86</f>
        <v>0</v>
      </c>
      <c r="J87" s="294"/>
      <c r="K87" s="355"/>
      <c r="L87" s="294"/>
      <c r="M87" s="294"/>
      <c r="N87" s="294"/>
      <c r="O87" s="294"/>
      <c r="P87" s="294"/>
      <c r="Q87" s="355"/>
      <c r="R87" s="121"/>
      <c r="V87" s="121"/>
    </row>
    <row r="88" spans="1:40" hidden="1" x14ac:dyDescent="0.3">
      <c r="A88" s="294"/>
      <c r="B88" s="294"/>
      <c r="C88" s="294"/>
      <c r="D88" s="294"/>
      <c r="E88" s="294"/>
      <c r="F88" s="294"/>
      <c r="G88" s="294"/>
      <c r="H88" s="294"/>
      <c r="I88" s="294"/>
      <c r="J88" s="294"/>
      <c r="K88" s="355"/>
      <c r="L88" s="294"/>
      <c r="M88" s="294"/>
      <c r="N88" s="294"/>
      <c r="O88" s="294"/>
      <c r="P88" s="294"/>
      <c r="Q88" s="355"/>
      <c r="R88" s="121"/>
      <c r="V88" s="121"/>
    </row>
    <row r="89" spans="1:40" hidden="1" x14ac:dyDescent="0.3">
      <c r="A89" s="261"/>
      <c r="B89" s="292" t="s">
        <v>781</v>
      </c>
      <c r="C89" s="280"/>
      <c r="D89" s="281"/>
      <c r="E89" s="282"/>
      <c r="F89" s="283"/>
      <c r="G89" s="283"/>
      <c r="H89" s="283"/>
      <c r="I89" s="377"/>
      <c r="J89" s="261"/>
      <c r="K89" s="261"/>
      <c r="L89" s="261"/>
      <c r="M89" s="261"/>
      <c r="N89" s="261"/>
      <c r="O89" s="261"/>
      <c r="P89" s="261"/>
      <c r="Q89" s="200"/>
      <c r="R89" s="121"/>
      <c r="S89" s="121"/>
      <c r="T89" s="121"/>
      <c r="U89" s="121"/>
      <c r="V89" s="121"/>
      <c r="W89" s="121"/>
      <c r="X89" s="121"/>
      <c r="Y89" s="121"/>
      <c r="Z89" s="121"/>
      <c r="AJ89" s="257"/>
      <c r="AK89" s="257"/>
      <c r="AL89" s="257"/>
      <c r="AM89" s="257"/>
      <c r="AN89" s="257"/>
    </row>
    <row r="90" spans="1:40" hidden="1" x14ac:dyDescent="0.3">
      <c r="A90" s="261"/>
      <c r="B90" s="349" t="s">
        <v>782</v>
      </c>
      <c r="C90" s="350"/>
      <c r="D90" s="350"/>
      <c r="E90" s="350"/>
      <c r="F90" s="350"/>
      <c r="G90" s="350"/>
      <c r="H90" s="350"/>
      <c r="I90" s="199"/>
      <c r="J90" s="200"/>
      <c r="K90" s="261"/>
      <c r="L90" s="261"/>
      <c r="M90" s="261"/>
      <c r="N90" s="261"/>
      <c r="O90" s="261"/>
      <c r="P90" s="261"/>
      <c r="Q90" s="200"/>
      <c r="R90" s="121"/>
      <c r="S90" s="121"/>
      <c r="T90" s="121"/>
      <c r="U90" s="121"/>
      <c r="V90" s="121"/>
      <c r="W90" s="121"/>
      <c r="X90" s="121"/>
      <c r="Y90" s="121"/>
      <c r="Z90" s="121"/>
      <c r="AJ90" s="257"/>
      <c r="AK90" s="257"/>
      <c r="AL90" s="257"/>
      <c r="AM90" s="257"/>
      <c r="AN90" s="257"/>
    </row>
    <row r="91" spans="1:40" ht="43.2" hidden="1" x14ac:dyDescent="0.3">
      <c r="A91" s="261"/>
      <c r="B91" s="250" t="s">
        <v>711</v>
      </c>
      <c r="C91" s="152" t="s">
        <v>760</v>
      </c>
      <c r="D91" s="796" t="s">
        <v>748</v>
      </c>
      <c r="E91" s="228" t="s">
        <v>591</v>
      </c>
      <c r="F91" s="228" t="s">
        <v>592</v>
      </c>
      <c r="G91" s="151" t="s">
        <v>722</v>
      </c>
      <c r="H91" s="151" t="s">
        <v>723</v>
      </c>
      <c r="I91" s="228" t="s">
        <v>724</v>
      </c>
      <c r="J91" s="261"/>
      <c r="K91" s="261"/>
      <c r="L91" s="261"/>
      <c r="M91" s="261"/>
      <c r="N91" s="261"/>
      <c r="O91" s="261"/>
      <c r="P91" s="261"/>
      <c r="Q91" s="200"/>
      <c r="R91" s="121"/>
      <c r="S91" s="121"/>
      <c r="T91" s="121"/>
      <c r="U91" s="121"/>
      <c r="V91" s="121"/>
      <c r="W91" s="121"/>
      <c r="X91" s="121"/>
      <c r="Y91" s="121"/>
      <c r="Z91" s="121"/>
      <c r="AJ91" s="257"/>
      <c r="AK91" s="257"/>
      <c r="AL91" s="257"/>
      <c r="AM91" s="257"/>
      <c r="AN91" s="257"/>
    </row>
    <row r="92" spans="1:40" hidden="1" x14ac:dyDescent="0.3">
      <c r="A92" s="261"/>
      <c r="B92" s="310" t="str">
        <f>'Capacity inputs'!G12</f>
        <v>Benralizumab</v>
      </c>
      <c r="C92" s="137">
        <f>'Capacity inputs'!G20</f>
        <v>0</v>
      </c>
      <c r="D92" s="116">
        <f>$C92*'Financial impact (cash)'!D13</f>
        <v>0</v>
      </c>
      <c r="E92" s="116">
        <f>$C92*'Financial impact (cash)'!E13</f>
        <v>0</v>
      </c>
      <c r="F92" s="116">
        <f>$C92*'Financial impact (cash)'!F13</f>
        <v>0</v>
      </c>
      <c r="G92" s="116">
        <f>$C92*'Financial impact (cash)'!G13</f>
        <v>0</v>
      </c>
      <c r="H92" s="116">
        <f>$C92*'Financial impact (cash)'!H13</f>
        <v>0</v>
      </c>
      <c r="I92" s="116">
        <f>$C92*'Financial impact (cash)'!I13</f>
        <v>0</v>
      </c>
      <c r="J92" s="261"/>
      <c r="K92" s="261"/>
      <c r="L92" s="261"/>
      <c r="M92" s="261"/>
      <c r="N92" s="261"/>
      <c r="O92" s="261"/>
      <c r="P92" s="261"/>
      <c r="Q92" s="200"/>
      <c r="R92" s="121"/>
      <c r="S92" s="121"/>
      <c r="T92" s="121"/>
      <c r="U92" s="121"/>
      <c r="V92" s="121"/>
      <c r="W92" s="121"/>
      <c r="X92" s="121"/>
      <c r="Y92" s="121"/>
      <c r="Z92" s="121"/>
      <c r="AJ92" s="257"/>
      <c r="AK92" s="257"/>
      <c r="AL92" s="257"/>
      <c r="AM92" s="257"/>
      <c r="AN92" s="257"/>
    </row>
    <row r="93" spans="1:40" hidden="1" x14ac:dyDescent="0.3">
      <c r="A93" s="261"/>
      <c r="B93" s="310" t="str">
        <f>'Capacity inputs'!H12</f>
        <v>Standard of care</v>
      </c>
      <c r="C93" s="137">
        <f>'Capacity inputs'!H20</f>
        <v>0</v>
      </c>
      <c r="D93" s="116" t="e">
        <f>$C93*'Financial impact (cash)'!#REF!</f>
        <v>#REF!</v>
      </c>
      <c r="E93" s="116" t="e">
        <f>$C93*'Financial impact (cash)'!#REF!</f>
        <v>#REF!</v>
      </c>
      <c r="F93" s="116" t="e">
        <f>$C93*'Financial impact (cash)'!#REF!</f>
        <v>#REF!</v>
      </c>
      <c r="G93" s="116" t="e">
        <f>$C93*'Financial impact (cash)'!#REF!</f>
        <v>#REF!</v>
      </c>
      <c r="H93" s="116" t="e">
        <f>$C93*'Financial impact (cash)'!#REF!</f>
        <v>#REF!</v>
      </c>
      <c r="I93" s="116" t="e">
        <f>$C93*'Financial impact (cash)'!#REF!</f>
        <v>#REF!</v>
      </c>
      <c r="J93" s="261"/>
      <c r="K93" s="261"/>
      <c r="L93" s="261"/>
      <c r="M93" s="261"/>
      <c r="N93" s="261"/>
      <c r="O93" s="261"/>
      <c r="P93" s="261"/>
      <c r="Q93" s="200"/>
      <c r="R93" s="121"/>
      <c r="S93" s="121"/>
      <c r="T93" s="121"/>
      <c r="U93" s="121"/>
      <c r="V93" s="121"/>
      <c r="W93" s="121"/>
      <c r="X93" s="121"/>
      <c r="Y93" s="121"/>
      <c r="Z93" s="121"/>
      <c r="AJ93" s="257"/>
      <c r="AK93" s="257"/>
      <c r="AL93" s="257"/>
      <c r="AM93" s="257"/>
      <c r="AN93" s="257"/>
    </row>
    <row r="94" spans="1:40" hidden="1" x14ac:dyDescent="0.3">
      <c r="A94" s="261"/>
      <c r="B94" s="251"/>
      <c r="C94" s="187"/>
      <c r="D94" s="167" t="e">
        <f t="shared" ref="D94:I94" si="27">SUM(D92:D93)</f>
        <v>#REF!</v>
      </c>
      <c r="E94" s="167" t="e">
        <f t="shared" si="27"/>
        <v>#REF!</v>
      </c>
      <c r="F94" s="167" t="e">
        <f t="shared" si="27"/>
        <v>#REF!</v>
      </c>
      <c r="G94" s="167" t="e">
        <f t="shared" si="27"/>
        <v>#REF!</v>
      </c>
      <c r="H94" s="167" t="e">
        <f t="shared" si="27"/>
        <v>#REF!</v>
      </c>
      <c r="I94" s="167" t="e">
        <f t="shared" si="27"/>
        <v>#REF!</v>
      </c>
      <c r="J94" s="261"/>
      <c r="K94" s="261"/>
      <c r="L94" s="261"/>
      <c r="M94" s="261"/>
      <c r="N94" s="261"/>
      <c r="O94" s="261"/>
      <c r="P94" s="261"/>
      <c r="Q94" s="200"/>
      <c r="R94" s="121"/>
      <c r="S94" s="121"/>
      <c r="T94" s="121"/>
      <c r="U94" s="121"/>
      <c r="V94" s="121"/>
      <c r="W94" s="121"/>
      <c r="X94" s="121"/>
      <c r="Y94" s="121"/>
      <c r="Z94" s="121"/>
      <c r="AJ94" s="257"/>
      <c r="AK94" s="257"/>
      <c r="AL94" s="257"/>
      <c r="AM94" s="257"/>
      <c r="AN94" s="257"/>
    </row>
    <row r="95" spans="1:40" hidden="1" x14ac:dyDescent="0.3">
      <c r="A95" s="261"/>
      <c r="B95" s="278"/>
      <c r="C95" s="229"/>
      <c r="D95" s="256" t="s">
        <v>783</v>
      </c>
      <c r="E95" s="167" t="e">
        <f>E94-$D$94</f>
        <v>#REF!</v>
      </c>
      <c r="F95" s="167" t="e">
        <f>F94-$D$94</f>
        <v>#REF!</v>
      </c>
      <c r="G95" s="167" t="e">
        <f>G94-$D$94</f>
        <v>#REF!</v>
      </c>
      <c r="H95" s="167" t="e">
        <f>H94-$D$94</f>
        <v>#REF!</v>
      </c>
      <c r="I95" s="167" t="e">
        <f>I94-$D$94</f>
        <v>#REF!</v>
      </c>
      <c r="J95" s="261"/>
      <c r="K95" s="261"/>
      <c r="L95" s="261"/>
      <c r="M95" s="261"/>
      <c r="N95" s="261"/>
      <c r="O95" s="261"/>
      <c r="P95" s="261"/>
      <c r="Q95" s="200"/>
      <c r="R95" s="121"/>
      <c r="V95" s="121"/>
    </row>
    <row r="96" spans="1:40" hidden="1" x14ac:dyDescent="0.3">
      <c r="A96" s="261"/>
      <c r="B96" s="293"/>
      <c r="C96" s="200"/>
      <c r="D96" s="200"/>
      <c r="E96" s="200"/>
      <c r="F96" s="200"/>
      <c r="G96" s="200"/>
      <c r="H96" s="200"/>
      <c r="I96" s="200"/>
      <c r="J96" s="261"/>
      <c r="K96" s="261"/>
      <c r="L96" s="261"/>
      <c r="M96" s="261"/>
      <c r="N96" s="261"/>
      <c r="O96" s="261"/>
      <c r="P96" s="261"/>
      <c r="Q96" s="200"/>
      <c r="R96" s="121"/>
      <c r="V96" s="121"/>
    </row>
    <row r="97" spans="1:40" hidden="1" x14ac:dyDescent="0.3">
      <c r="A97" s="261"/>
      <c r="B97" s="349" t="s">
        <v>2162</v>
      </c>
      <c r="C97" s="350"/>
      <c r="D97" s="350"/>
      <c r="E97" s="350"/>
      <c r="F97" s="350"/>
      <c r="G97" s="350"/>
      <c r="H97" s="350"/>
      <c r="I97" s="199"/>
      <c r="J97" s="261"/>
      <c r="K97" s="261"/>
      <c r="L97" s="261"/>
      <c r="M97" s="261"/>
      <c r="N97" s="261"/>
      <c r="O97" s="261"/>
      <c r="P97" s="261"/>
      <c r="Q97" s="200"/>
      <c r="R97" s="121"/>
      <c r="S97" s="121"/>
      <c r="T97" s="121"/>
      <c r="U97" s="121"/>
      <c r="V97" s="121"/>
      <c r="W97" s="121"/>
      <c r="X97" s="121"/>
      <c r="Y97" s="121"/>
      <c r="Z97" s="121"/>
      <c r="AJ97" s="257"/>
      <c r="AK97" s="257"/>
      <c r="AL97" s="257"/>
      <c r="AM97" s="257"/>
      <c r="AN97" s="257"/>
    </row>
    <row r="98" spans="1:40" ht="43.2" hidden="1" x14ac:dyDescent="0.3">
      <c r="A98" s="261"/>
      <c r="B98" s="250" t="s">
        <v>711</v>
      </c>
      <c r="C98" s="152" t="s">
        <v>760</v>
      </c>
      <c r="D98" s="796" t="s">
        <v>748</v>
      </c>
      <c r="E98" s="228" t="s">
        <v>591</v>
      </c>
      <c r="F98" s="228" t="s">
        <v>592</v>
      </c>
      <c r="G98" s="151" t="s">
        <v>722</v>
      </c>
      <c r="H98" s="151" t="s">
        <v>723</v>
      </c>
      <c r="I98" s="228" t="s">
        <v>724</v>
      </c>
      <c r="J98" s="261"/>
      <c r="K98" s="261"/>
      <c r="L98" s="261"/>
      <c r="M98" s="261"/>
      <c r="N98" s="261"/>
      <c r="O98" s="261"/>
      <c r="P98" s="261"/>
      <c r="Q98" s="200"/>
      <c r="R98" s="121"/>
      <c r="S98" s="121"/>
      <c r="T98" s="121"/>
      <c r="U98" s="121"/>
      <c r="V98" s="121"/>
      <c r="W98" s="121"/>
      <c r="X98" s="121"/>
      <c r="Y98" s="121"/>
      <c r="Z98" s="121"/>
      <c r="AJ98" s="257"/>
      <c r="AK98" s="257"/>
      <c r="AL98" s="257"/>
      <c r="AM98" s="257"/>
      <c r="AN98" s="257"/>
    </row>
    <row r="99" spans="1:40" hidden="1" x14ac:dyDescent="0.3">
      <c r="A99" s="261"/>
      <c r="B99" s="310"/>
      <c r="C99" s="137"/>
      <c r="D99" s="116"/>
      <c r="E99" s="116"/>
      <c r="F99" s="116"/>
      <c r="G99" s="116"/>
      <c r="H99" s="116"/>
      <c r="I99" s="116"/>
      <c r="J99" s="261"/>
      <c r="K99" s="261"/>
      <c r="L99" s="261"/>
      <c r="M99" s="261"/>
      <c r="N99" s="261"/>
      <c r="O99" s="261"/>
      <c r="P99" s="261"/>
      <c r="Q99" s="200"/>
      <c r="R99" s="121"/>
      <c r="S99" s="121"/>
      <c r="T99" s="121"/>
      <c r="U99" s="121"/>
      <c r="V99" s="121"/>
      <c r="W99" s="121"/>
      <c r="X99" s="121"/>
      <c r="Y99" s="121"/>
      <c r="Z99" s="121"/>
      <c r="AJ99" s="257"/>
      <c r="AK99" s="257"/>
      <c r="AL99" s="257"/>
      <c r="AM99" s="257"/>
      <c r="AN99" s="257"/>
    </row>
    <row r="100" spans="1:40" hidden="1" x14ac:dyDescent="0.3">
      <c r="A100" s="261"/>
      <c r="B100" s="310"/>
      <c r="C100" s="137"/>
      <c r="D100" s="116"/>
      <c r="E100" s="116"/>
      <c r="F100" s="116"/>
      <c r="G100" s="116"/>
      <c r="H100" s="116"/>
      <c r="I100" s="116"/>
      <c r="J100" s="261"/>
      <c r="K100" s="261"/>
      <c r="L100" s="261"/>
      <c r="M100" s="261"/>
      <c r="N100" s="261"/>
      <c r="O100" s="261"/>
      <c r="P100" s="261"/>
      <c r="Q100" s="200"/>
      <c r="R100" s="121"/>
      <c r="S100" s="121"/>
      <c r="T100" s="121"/>
      <c r="U100" s="121"/>
      <c r="V100" s="121"/>
      <c r="W100" s="121"/>
      <c r="X100" s="121"/>
      <c r="Y100" s="121"/>
      <c r="Z100" s="121"/>
      <c r="AJ100" s="257"/>
      <c r="AK100" s="257"/>
      <c r="AL100" s="257"/>
      <c r="AM100" s="257"/>
      <c r="AN100" s="257"/>
    </row>
    <row r="101" spans="1:40" hidden="1" x14ac:dyDescent="0.3">
      <c r="A101" s="261"/>
      <c r="B101" s="310"/>
      <c r="C101" s="137"/>
      <c r="D101" s="116"/>
      <c r="E101" s="116"/>
      <c r="F101" s="116"/>
      <c r="G101" s="116"/>
      <c r="H101" s="116"/>
      <c r="I101" s="116"/>
      <c r="J101" s="261"/>
      <c r="K101" s="261"/>
      <c r="L101" s="261"/>
      <c r="M101" s="261"/>
      <c r="N101" s="261"/>
      <c r="O101" s="261"/>
      <c r="P101" s="261"/>
      <c r="Q101" s="200"/>
      <c r="R101" s="121"/>
      <c r="S101" s="121"/>
      <c r="T101" s="121"/>
      <c r="U101" s="121"/>
      <c r="V101" s="121"/>
      <c r="W101" s="121"/>
      <c r="X101" s="121"/>
      <c r="Y101" s="121"/>
      <c r="Z101" s="121"/>
      <c r="AJ101" s="257"/>
      <c r="AK101" s="257"/>
      <c r="AL101" s="257"/>
      <c r="AM101" s="257"/>
      <c r="AN101" s="257"/>
    </row>
    <row r="102" spans="1:40" hidden="1" x14ac:dyDescent="0.3">
      <c r="A102" s="261"/>
      <c r="B102" s="310"/>
      <c r="C102" s="137"/>
      <c r="D102" s="116"/>
      <c r="E102" s="116"/>
      <c r="F102" s="116"/>
      <c r="G102" s="116"/>
      <c r="H102" s="116"/>
      <c r="I102" s="116"/>
      <c r="J102" s="261"/>
      <c r="K102" s="261"/>
      <c r="L102" s="261"/>
      <c r="M102" s="261"/>
      <c r="N102" s="261"/>
      <c r="O102" s="261"/>
      <c r="P102" s="261"/>
      <c r="Q102" s="200"/>
      <c r="R102" s="121"/>
      <c r="S102" s="121"/>
      <c r="T102" s="121"/>
      <c r="U102" s="121"/>
      <c r="V102" s="121"/>
      <c r="W102" s="121"/>
      <c r="X102" s="121"/>
      <c r="Y102" s="121"/>
      <c r="Z102" s="121"/>
      <c r="AJ102" s="257"/>
      <c r="AK102" s="257"/>
      <c r="AL102" s="257"/>
      <c r="AM102" s="257"/>
      <c r="AN102" s="257"/>
    </row>
    <row r="103" spans="1:40" hidden="1" x14ac:dyDescent="0.3">
      <c r="A103" s="261"/>
      <c r="B103" s="251"/>
      <c r="C103" s="187"/>
      <c r="D103" s="167">
        <f t="shared" ref="D103:I103" si="28">SUM(D99:D102)</f>
        <v>0</v>
      </c>
      <c r="E103" s="167">
        <f t="shared" si="28"/>
        <v>0</v>
      </c>
      <c r="F103" s="167">
        <f t="shared" si="28"/>
        <v>0</v>
      </c>
      <c r="G103" s="167">
        <f t="shared" si="28"/>
        <v>0</v>
      </c>
      <c r="H103" s="167">
        <f t="shared" si="28"/>
        <v>0</v>
      </c>
      <c r="I103" s="167">
        <f t="shared" si="28"/>
        <v>0</v>
      </c>
      <c r="J103" s="261"/>
      <c r="K103" s="261"/>
      <c r="L103" s="261"/>
      <c r="M103" s="261"/>
      <c r="N103" s="261"/>
      <c r="O103" s="261"/>
      <c r="P103" s="261"/>
      <c r="Q103" s="200"/>
      <c r="R103" s="121"/>
      <c r="S103" s="121"/>
      <c r="T103" s="121"/>
      <c r="U103" s="121"/>
      <c r="V103" s="121"/>
      <c r="W103" s="121"/>
      <c r="X103" s="121"/>
      <c r="Y103" s="121"/>
      <c r="Z103" s="121"/>
      <c r="AJ103" s="257"/>
      <c r="AK103" s="257"/>
      <c r="AL103" s="257"/>
      <c r="AM103" s="257"/>
      <c r="AN103" s="257"/>
    </row>
    <row r="104" spans="1:40" hidden="1" x14ac:dyDescent="0.3">
      <c r="A104" s="261"/>
      <c r="B104" s="278"/>
      <c r="C104" s="229"/>
      <c r="D104" s="256" t="s">
        <v>2163</v>
      </c>
      <c r="E104" s="167">
        <f>E103-$D$103</f>
        <v>0</v>
      </c>
      <c r="F104" s="167">
        <f>F103-$D$103</f>
        <v>0</v>
      </c>
      <c r="G104" s="167">
        <f>G103-$D$103</f>
        <v>0</v>
      </c>
      <c r="H104" s="167">
        <f>H103-$D$103</f>
        <v>0</v>
      </c>
      <c r="I104" s="167">
        <f>I103-$D$103</f>
        <v>0</v>
      </c>
      <c r="J104" s="261"/>
      <c r="K104" s="261"/>
      <c r="L104" s="261"/>
      <c r="M104" s="261"/>
      <c r="N104" s="261"/>
      <c r="O104" s="261"/>
      <c r="P104" s="261"/>
      <c r="Q104" s="200"/>
      <c r="R104" s="121"/>
      <c r="V104" s="121"/>
    </row>
    <row r="105" spans="1:40" hidden="1" x14ac:dyDescent="0.3">
      <c r="A105" s="261"/>
      <c r="B105" s="293"/>
      <c r="C105" s="200"/>
      <c r="D105" s="200"/>
      <c r="E105" s="200"/>
      <c r="F105" s="200"/>
      <c r="G105" s="200"/>
      <c r="H105" s="200"/>
      <c r="I105" s="200"/>
      <c r="J105" s="200"/>
      <c r="K105" s="200"/>
      <c r="L105" s="200"/>
      <c r="M105" s="200"/>
      <c r="N105" s="200"/>
      <c r="O105" s="200"/>
      <c r="P105" s="200"/>
      <c r="Q105" s="200"/>
      <c r="R105" s="121"/>
      <c r="V105" s="121"/>
    </row>
    <row r="106" spans="1:40" hidden="1" x14ac:dyDescent="0.3">
      <c r="A106" s="261"/>
      <c r="B106" s="349" t="s">
        <v>675</v>
      </c>
      <c r="C106" s="350"/>
      <c r="D106" s="350"/>
      <c r="E106" s="350"/>
      <c r="F106" s="350"/>
      <c r="G106" s="350"/>
      <c r="H106" s="350"/>
      <c r="I106" s="199"/>
      <c r="J106" s="200"/>
      <c r="K106" s="200"/>
      <c r="L106" s="200"/>
      <c r="M106" s="200"/>
      <c r="N106" s="200"/>
      <c r="O106" s="200"/>
      <c r="P106" s="200"/>
      <c r="Q106" s="200"/>
      <c r="R106" s="121"/>
      <c r="S106" s="121"/>
      <c r="T106" s="121"/>
      <c r="U106" s="121"/>
      <c r="V106" s="121"/>
      <c r="W106" s="121"/>
      <c r="X106" s="121"/>
      <c r="Y106" s="121"/>
      <c r="Z106" s="121"/>
      <c r="AJ106" s="257"/>
      <c r="AK106" s="257"/>
      <c r="AL106" s="257"/>
      <c r="AM106" s="257"/>
      <c r="AN106" s="257"/>
    </row>
    <row r="107" spans="1:40" ht="43.2" hidden="1" x14ac:dyDescent="0.3">
      <c r="A107" s="261"/>
      <c r="B107" s="250" t="s">
        <v>711</v>
      </c>
      <c r="C107" s="152" t="s">
        <v>760</v>
      </c>
      <c r="D107" s="796" t="s">
        <v>748</v>
      </c>
      <c r="E107" s="228" t="s">
        <v>591</v>
      </c>
      <c r="F107" s="228" t="s">
        <v>592</v>
      </c>
      <c r="G107" s="151" t="s">
        <v>722</v>
      </c>
      <c r="H107" s="151" t="s">
        <v>723</v>
      </c>
      <c r="I107" s="228" t="s">
        <v>724</v>
      </c>
      <c r="J107" s="261"/>
      <c r="K107" s="261"/>
      <c r="L107" s="200"/>
      <c r="M107" s="200"/>
      <c r="N107" s="200"/>
      <c r="O107" s="200"/>
      <c r="P107" s="200"/>
      <c r="Q107" s="200"/>
      <c r="R107" s="121"/>
      <c r="S107" s="121"/>
      <c r="T107" s="121"/>
      <c r="U107" s="121"/>
      <c r="V107" s="121"/>
      <c r="W107" s="121"/>
      <c r="X107" s="121"/>
      <c r="Y107" s="121"/>
      <c r="Z107" s="121"/>
      <c r="AJ107" s="257"/>
      <c r="AK107" s="257"/>
      <c r="AL107" s="257"/>
      <c r="AM107" s="257"/>
      <c r="AN107" s="257"/>
    </row>
    <row r="108" spans="1:40" hidden="1" x14ac:dyDescent="0.3">
      <c r="A108" s="261"/>
      <c r="B108" s="310" t="str">
        <f>'Capacity inputs'!G12</f>
        <v>Benralizumab</v>
      </c>
      <c r="C108" s="137">
        <f>'Capacity inputs'!G22</f>
        <v>0</v>
      </c>
      <c r="D108" s="116">
        <f>'Financial impact (cash)'!D13*'Capacity (local prices)'!$C108</f>
        <v>0</v>
      </c>
      <c r="E108" s="116">
        <f>'Financial impact (cash)'!E13*'Capacity (local prices)'!$C108</f>
        <v>0</v>
      </c>
      <c r="F108" s="116">
        <f>'Financial impact (cash)'!F13*'Capacity (local prices)'!$C108</f>
        <v>0</v>
      </c>
      <c r="G108" s="116">
        <f>'Financial impact (cash)'!G13*'Capacity (local prices)'!$C108</f>
        <v>0</v>
      </c>
      <c r="H108" s="116">
        <f>'Financial impact (cash)'!H13*'Capacity (local prices)'!$C108</f>
        <v>0</v>
      </c>
      <c r="I108" s="116">
        <f>'Financial impact (cash)'!I13*'Capacity (local prices)'!$C108</f>
        <v>0</v>
      </c>
      <c r="J108" s="261"/>
      <c r="K108" s="261"/>
      <c r="L108" s="200"/>
      <c r="M108" s="200"/>
      <c r="N108" s="200"/>
      <c r="O108" s="200"/>
      <c r="P108" s="200"/>
      <c r="Q108" s="200"/>
      <c r="R108" s="121"/>
      <c r="S108" s="121"/>
      <c r="T108" s="121"/>
      <c r="U108" s="121"/>
      <c r="V108" s="121"/>
      <c r="W108" s="121"/>
      <c r="X108" s="121"/>
      <c r="Y108" s="121"/>
      <c r="Z108" s="121"/>
      <c r="AJ108" s="257"/>
      <c r="AK108" s="257"/>
      <c r="AL108" s="257"/>
      <c r="AM108" s="257"/>
      <c r="AN108" s="257"/>
    </row>
    <row r="109" spans="1:40" hidden="1" x14ac:dyDescent="0.3">
      <c r="A109" s="261"/>
      <c r="B109" s="310" t="str">
        <f>'Capacity inputs'!H12</f>
        <v>Standard of care</v>
      </c>
      <c r="C109" s="137">
        <f>'Capacity inputs'!H22</f>
        <v>0</v>
      </c>
      <c r="D109" s="116" t="e">
        <f>'Financial impact (cash)'!#REF!*'Capacity (local prices)'!$C109</f>
        <v>#REF!</v>
      </c>
      <c r="E109" s="116" t="e">
        <f>'Financial impact (cash)'!#REF!*'Capacity (local prices)'!$C109</f>
        <v>#REF!</v>
      </c>
      <c r="F109" s="116" t="e">
        <f>'Financial impact (cash)'!#REF!*'Capacity (local prices)'!$C109</f>
        <v>#REF!</v>
      </c>
      <c r="G109" s="116" t="e">
        <f>'Financial impact (cash)'!#REF!*'Capacity (local prices)'!$C109</f>
        <v>#REF!</v>
      </c>
      <c r="H109" s="116" t="e">
        <f>'Financial impact (cash)'!#REF!*'Capacity (local prices)'!$C109</f>
        <v>#REF!</v>
      </c>
      <c r="I109" s="116" t="e">
        <f>'Financial impact (cash)'!#REF!*'Capacity (local prices)'!$C109</f>
        <v>#REF!</v>
      </c>
      <c r="J109" s="261"/>
      <c r="K109" s="261"/>
      <c r="L109" s="200"/>
      <c r="M109" s="200"/>
      <c r="N109" s="200"/>
      <c r="O109" s="200"/>
      <c r="P109" s="200"/>
      <c r="Q109" s="200"/>
      <c r="R109" s="121"/>
      <c r="S109" s="121"/>
      <c r="T109" s="121"/>
      <c r="U109" s="121"/>
      <c r="V109" s="121"/>
      <c r="W109" s="121"/>
      <c r="X109" s="121"/>
      <c r="Y109" s="121"/>
      <c r="Z109" s="121"/>
      <c r="AJ109" s="257"/>
      <c r="AK109" s="257"/>
      <c r="AL109" s="257"/>
      <c r="AM109" s="257"/>
      <c r="AN109" s="257"/>
    </row>
    <row r="110" spans="1:40" hidden="1" x14ac:dyDescent="0.3">
      <c r="A110" s="261"/>
      <c r="B110" s="251"/>
      <c r="C110" s="187"/>
      <c r="D110" s="167" t="e">
        <f t="shared" ref="D110:I110" si="29">SUM(D108:D109)</f>
        <v>#REF!</v>
      </c>
      <c r="E110" s="167" t="e">
        <f t="shared" si="29"/>
        <v>#REF!</v>
      </c>
      <c r="F110" s="167" t="e">
        <f t="shared" si="29"/>
        <v>#REF!</v>
      </c>
      <c r="G110" s="167" t="e">
        <f t="shared" si="29"/>
        <v>#REF!</v>
      </c>
      <c r="H110" s="167" t="e">
        <f t="shared" si="29"/>
        <v>#REF!</v>
      </c>
      <c r="I110" s="167" t="e">
        <f t="shared" si="29"/>
        <v>#REF!</v>
      </c>
      <c r="J110" s="261"/>
      <c r="K110" s="261"/>
      <c r="L110" s="200"/>
      <c r="M110" s="200"/>
      <c r="N110" s="200"/>
      <c r="O110" s="200"/>
      <c r="P110" s="200"/>
      <c r="Q110" s="200"/>
      <c r="R110" s="121"/>
      <c r="S110" s="121"/>
      <c r="T110" s="121"/>
      <c r="U110" s="121"/>
      <c r="V110" s="121"/>
      <c r="W110" s="121"/>
      <c r="X110" s="121"/>
      <c r="Y110" s="121"/>
      <c r="Z110" s="121"/>
      <c r="AJ110" s="257"/>
      <c r="AK110" s="257"/>
      <c r="AL110" s="257"/>
      <c r="AM110" s="257"/>
      <c r="AN110" s="257"/>
    </row>
    <row r="111" spans="1:40" hidden="1" x14ac:dyDescent="0.3">
      <c r="A111" s="261"/>
      <c r="B111" s="278"/>
      <c r="C111" s="229"/>
      <c r="D111" s="256" t="s">
        <v>784</v>
      </c>
      <c r="E111" s="167" t="e">
        <f>E110-$D$110</f>
        <v>#REF!</v>
      </c>
      <c r="F111" s="167" t="e">
        <f>F110-$D$110</f>
        <v>#REF!</v>
      </c>
      <c r="G111" s="167" t="e">
        <f>G110-$D$110</f>
        <v>#REF!</v>
      </c>
      <c r="H111" s="167" t="e">
        <f>H110-$D$110</f>
        <v>#REF!</v>
      </c>
      <c r="I111" s="167" t="e">
        <f>I110-$D$110</f>
        <v>#REF!</v>
      </c>
      <c r="J111" s="261"/>
      <c r="K111" s="261"/>
      <c r="L111" s="200"/>
      <c r="M111" s="200"/>
      <c r="N111" s="200"/>
      <c r="O111" s="200"/>
      <c r="P111" s="200"/>
      <c r="Q111" s="200"/>
      <c r="R111" s="121"/>
      <c r="V111" s="121"/>
    </row>
    <row r="112" spans="1:40" hidden="1" x14ac:dyDescent="0.3">
      <c r="A112" s="261"/>
      <c r="B112" s="261"/>
      <c r="C112" s="200"/>
      <c r="D112" s="261"/>
      <c r="E112" s="261"/>
      <c r="F112" s="261"/>
      <c r="G112" s="261"/>
      <c r="H112" s="261"/>
      <c r="I112" s="200"/>
      <c r="J112" s="200"/>
      <c r="K112" s="200"/>
      <c r="L112" s="200"/>
      <c r="M112" s="200"/>
      <c r="N112" s="200"/>
      <c r="O112" s="200"/>
      <c r="P112" s="200"/>
      <c r="Q112" s="200"/>
      <c r="R112" s="121"/>
      <c r="V112" s="121"/>
    </row>
    <row r="113" spans="2:2" x14ac:dyDescent="0.3">
      <c r="B113"/>
    </row>
    <row r="114" spans="2:2" x14ac:dyDescent="0.3">
      <c r="B114"/>
    </row>
    <row r="115" spans="2:2" x14ac:dyDescent="0.3">
      <c r="B115"/>
    </row>
    <row r="116" spans="2:2" x14ac:dyDescent="0.3">
      <c r="B116"/>
    </row>
    <row r="117" spans="2:2" x14ac:dyDescent="0.3">
      <c r="B117"/>
    </row>
  </sheetData>
  <sheetProtection algorithmName="SHA-512" hashValue="DYP+GwcQmSi4WPg5ytVQ69Zc3/BJPLptuGRXAPz7UuqXtRDnH+/2SIbfYLPwdJQ8xfXeXJYcXcBmVX19APYFog==" saltValue="vKkBFBNVzSJAbUiQrsgAj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81"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25"/>
  <sheetViews>
    <sheetView showGridLines="0" zoomScale="60" zoomScaleNormal="60" zoomScaleSheetLayoutView="30" workbookViewId="0">
      <selection activeCell="E35" sqref="E35"/>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46" t="str">
        <f>'Inputs and population'!B1</f>
        <v>Benralizumab for treating relapsing or refractory eosinophilic granulomatosis with polyangiitis</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3">
      <c r="B2" s="191" t="s">
        <v>785</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55" customHeight="1" x14ac:dyDescent="0.3">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55" customHeight="1" x14ac:dyDescent="0.3">
      <c r="B4" t="s">
        <v>786</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15"/>
      <c r="T5" s="115"/>
      <c r="U5" s="115"/>
      <c r="V5" s="115"/>
      <c r="W5" s="115"/>
      <c r="X5" s="115"/>
      <c r="Y5" s="121"/>
      <c r="Z5" s="121"/>
    </row>
    <row r="6" spans="1:40" ht="43.2" x14ac:dyDescent="0.3">
      <c r="B6" s="230" t="s">
        <v>725</v>
      </c>
      <c r="C6" s="187"/>
      <c r="D6" s="796" t="s">
        <v>748</v>
      </c>
      <c r="E6" s="228" t="s">
        <v>591</v>
      </c>
      <c r="F6" s="228" t="s">
        <v>592</v>
      </c>
      <c r="G6" s="151" t="s">
        <v>722</v>
      </c>
      <c r="H6" s="151" t="s">
        <v>723</v>
      </c>
      <c r="I6" s="228" t="s">
        <v>724</v>
      </c>
      <c r="L6" s="796" t="s">
        <v>748</v>
      </c>
      <c r="M6" s="228" t="s">
        <v>591</v>
      </c>
      <c r="N6" s="228" t="s">
        <v>592</v>
      </c>
      <c r="O6" s="151" t="s">
        <v>722</v>
      </c>
      <c r="P6" s="151" t="s">
        <v>723</v>
      </c>
      <c r="Q6" s="228" t="s">
        <v>724</v>
      </c>
      <c r="R6" s="121"/>
      <c r="S6" s="115"/>
      <c r="T6" s="115"/>
      <c r="U6" s="115"/>
      <c r="V6" s="115"/>
      <c r="W6" s="115"/>
      <c r="X6" s="115"/>
      <c r="Y6" s="121"/>
      <c r="Z6" s="121"/>
      <c r="AJ6" s="257"/>
      <c r="AK6" s="257"/>
      <c r="AL6" s="257"/>
      <c r="AM6" s="257"/>
      <c r="AN6" s="257"/>
    </row>
    <row r="7" spans="1:40" ht="14.55" customHeight="1" x14ac:dyDescent="0.3">
      <c r="B7" s="202" t="s">
        <v>725</v>
      </c>
      <c r="C7" s="154"/>
      <c r="D7" s="331">
        <f>'Inputs and population'!E30</f>
        <v>1330.3733043515219</v>
      </c>
      <c r="E7" s="331">
        <f>'Inputs and population'!F30</f>
        <v>1342.0683759075043</v>
      </c>
      <c r="F7" s="331">
        <f>'Inputs and population'!G30</f>
        <v>1353.8662567263095</v>
      </c>
      <c r="G7" s="331">
        <f>'Inputs and population'!H30</f>
        <v>1365.7678505856074</v>
      </c>
      <c r="H7" s="331">
        <f>'Inputs and population'!I30</f>
        <v>1377.7740692080147</v>
      </c>
      <c r="I7" s="331">
        <f>'Inputs and population'!J30</f>
        <v>1389.8858323309369</v>
      </c>
      <c r="P7" s="121"/>
      <c r="Q7" s="121"/>
      <c r="R7" s="121"/>
      <c r="S7" s="115"/>
      <c r="T7" s="115"/>
      <c r="U7" s="115"/>
      <c r="V7" s="115"/>
      <c r="W7" s="115"/>
      <c r="X7" s="115"/>
      <c r="Y7" s="121"/>
      <c r="Z7" s="121"/>
      <c r="AJ7" s="257"/>
      <c r="AK7" s="257"/>
      <c r="AL7" s="257"/>
      <c r="AM7" s="257"/>
      <c r="AN7" s="257"/>
    </row>
    <row r="8" spans="1:40" ht="14.55" customHeight="1" x14ac:dyDescent="0.3">
      <c r="B8"/>
      <c r="P8" s="121"/>
      <c r="Q8" s="121"/>
      <c r="R8" s="121"/>
      <c r="S8" s="115"/>
      <c r="T8" s="115"/>
      <c r="U8" s="115"/>
      <c r="V8" s="115"/>
      <c r="W8" s="115"/>
      <c r="X8" s="115"/>
      <c r="Y8" s="121"/>
      <c r="Z8" s="121"/>
      <c r="AJ8" s="257"/>
      <c r="AK8" s="257"/>
      <c r="AL8" s="257"/>
      <c r="AM8" s="257"/>
      <c r="AN8" s="257"/>
    </row>
    <row r="9" spans="1:40" ht="14.55" customHeight="1" x14ac:dyDescent="0.3">
      <c r="B9" s="250" t="s">
        <v>756</v>
      </c>
      <c r="C9" s="358" t="s">
        <v>757</v>
      </c>
      <c r="D9" s="378"/>
      <c r="E9" s="379"/>
      <c r="F9" s="378"/>
      <c r="G9" s="380"/>
      <c r="H9" s="381"/>
      <c r="I9" s="381"/>
      <c r="J9" s="466"/>
      <c r="K9" s="683"/>
      <c r="L9" s="537" t="s">
        <v>728</v>
      </c>
      <c r="M9" s="537" t="s">
        <v>728</v>
      </c>
      <c r="N9" s="537" t="s">
        <v>728</v>
      </c>
      <c r="O9" s="537" t="s">
        <v>728</v>
      </c>
      <c r="P9" s="537" t="s">
        <v>728</v>
      </c>
      <c r="Q9" s="537" t="s">
        <v>728</v>
      </c>
      <c r="R9" s="121"/>
      <c r="S9" s="115"/>
      <c r="T9" s="115"/>
      <c r="U9" s="115"/>
      <c r="V9" s="115"/>
      <c r="W9" s="115"/>
      <c r="X9" s="115"/>
      <c r="Y9" s="121"/>
      <c r="Z9" s="121"/>
      <c r="AJ9" s="257"/>
      <c r="AK9" s="257"/>
      <c r="AL9" s="257"/>
      <c r="AM9" s="257"/>
      <c r="AN9" s="257"/>
    </row>
    <row r="10" spans="1:40" ht="14.55" customHeight="1" x14ac:dyDescent="0.3">
      <c r="A10" s="259"/>
      <c r="B10" s="461" t="str">
        <f>B35</f>
        <v>GP appointments</v>
      </c>
      <c r="C10" s="336"/>
      <c r="D10" s="367">
        <f>D39</f>
        <v>0</v>
      </c>
      <c r="E10" s="367">
        <f t="shared" ref="E10:I10" si="0">E39</f>
        <v>0</v>
      </c>
      <c r="F10" s="367">
        <f t="shared" si="0"/>
        <v>0</v>
      </c>
      <c r="G10" s="367">
        <f t="shared" si="0"/>
        <v>0</v>
      </c>
      <c r="H10" s="367">
        <f t="shared" si="0"/>
        <v>0</v>
      </c>
      <c r="I10" s="367">
        <f t="shared" si="0"/>
        <v>0</v>
      </c>
      <c r="L10" s="676"/>
      <c r="M10" s="676"/>
      <c r="N10" s="676"/>
      <c r="O10" s="676"/>
      <c r="P10" s="676"/>
      <c r="Q10" s="676"/>
      <c r="R10" s="121"/>
      <c r="S10" s="121"/>
      <c r="T10" s="121"/>
      <c r="U10" s="121"/>
      <c r="V10" s="121"/>
      <c r="W10" s="121"/>
      <c r="X10" s="121"/>
      <c r="Y10" s="121"/>
      <c r="Z10" s="121"/>
      <c r="AJ10" s="257"/>
      <c r="AK10" s="257"/>
      <c r="AL10" s="257"/>
      <c r="AM10" s="257"/>
      <c r="AN10" s="257"/>
    </row>
    <row r="11" spans="1:40" ht="14.55" customHeight="1" x14ac:dyDescent="0.3">
      <c r="A11" s="259"/>
      <c r="B11" s="461" t="str">
        <f>B35&amp;" - hours"</f>
        <v>GP appointments - hours</v>
      </c>
      <c r="C11" s="675">
        <f>'Capacity inputs'!F13</f>
        <v>10</v>
      </c>
      <c r="D11" s="367">
        <f>D10*$C11/60</f>
        <v>0</v>
      </c>
      <c r="E11" s="367">
        <f t="shared" ref="E11:I11" si="1">E10*$C11/60</f>
        <v>0</v>
      </c>
      <c r="F11" s="367">
        <f t="shared" si="1"/>
        <v>0</v>
      </c>
      <c r="G11" s="367">
        <f t="shared" si="1"/>
        <v>0</v>
      </c>
      <c r="H11" s="367">
        <f t="shared" si="1"/>
        <v>0</v>
      </c>
      <c r="I11" s="367">
        <f t="shared" si="1"/>
        <v>0</v>
      </c>
      <c r="L11" s="676"/>
      <c r="M11" s="676"/>
      <c r="N11" s="676"/>
      <c r="O11" s="676"/>
      <c r="P11" s="676"/>
      <c r="Q11" s="676"/>
      <c r="R11" s="121"/>
      <c r="S11" s="121"/>
      <c r="T11" s="121"/>
      <c r="U11" s="121"/>
      <c r="V11" s="121"/>
      <c r="W11" s="121"/>
      <c r="X11" s="121"/>
      <c r="Y11" s="121"/>
      <c r="Z11" s="121"/>
      <c r="AJ11" s="257"/>
      <c r="AK11" s="257"/>
      <c r="AL11" s="257"/>
      <c r="AM11" s="257"/>
      <c r="AN11" s="257"/>
    </row>
    <row r="12" spans="1:40" ht="14.55" customHeight="1" x14ac:dyDescent="0.3">
      <c r="A12" s="259"/>
      <c r="B12" s="461" t="str">
        <f>B42</f>
        <v>Follow up attendances</v>
      </c>
      <c r="C12" s="336"/>
      <c r="D12" s="367">
        <f>D46</f>
        <v>5321.4932174060878</v>
      </c>
      <c r="E12" s="367">
        <f t="shared" ref="E12:I12" si="2">E46</f>
        <v>5099.859828448517</v>
      </c>
      <c r="F12" s="367">
        <f t="shared" si="2"/>
        <v>4914.1805754919396</v>
      </c>
      <c r="G12" s="367">
        <f t="shared" si="2"/>
        <v>4736.2502485898585</v>
      </c>
      <c r="H12" s="367">
        <f t="shared" si="2"/>
        <v>4565.6490565181521</v>
      </c>
      <c r="I12" s="367">
        <f t="shared" si="2"/>
        <v>4679.9549140287027</v>
      </c>
      <c r="L12" s="262">
        <f>L46</f>
        <v>606.65022678429398</v>
      </c>
      <c r="M12" s="262">
        <f t="shared" ref="M12:Q12" si="3">M46</f>
        <v>581.38402044313091</v>
      </c>
      <c r="N12" s="262">
        <f t="shared" si="3"/>
        <v>560.21658560608103</v>
      </c>
      <c r="O12" s="262">
        <f t="shared" si="3"/>
        <v>539.93252833924385</v>
      </c>
      <c r="P12" s="262">
        <f t="shared" si="3"/>
        <v>520.48399244306938</v>
      </c>
      <c r="Q12" s="262">
        <f t="shared" si="3"/>
        <v>533.51486019927211</v>
      </c>
      <c r="R12" s="121"/>
      <c r="S12" s="121"/>
      <c r="T12" s="121"/>
      <c r="U12" s="121"/>
      <c r="V12" s="121"/>
      <c r="W12" s="121"/>
      <c r="X12" s="121"/>
      <c r="Y12" s="121"/>
      <c r="Z12" s="121"/>
      <c r="AJ12" s="257"/>
      <c r="AK12" s="257"/>
      <c r="AL12" s="257"/>
      <c r="AM12" s="257"/>
      <c r="AN12" s="257"/>
    </row>
    <row r="13" spans="1:40" ht="14.55" customHeight="1" x14ac:dyDescent="0.3">
      <c r="A13" s="259"/>
      <c r="B13" s="461" t="str">
        <f>B42&amp;" - hours"</f>
        <v>Follow up attendances - hours</v>
      </c>
      <c r="C13" s="675">
        <f>'Capacity inputs'!F14</f>
        <v>15</v>
      </c>
      <c r="D13" s="367">
        <f>$C13/60*D12</f>
        <v>1330.3733043515219</v>
      </c>
      <c r="E13" s="367">
        <f t="shared" ref="E13:I13" si="4">$C13/60*E12</f>
        <v>1274.9649571121292</v>
      </c>
      <c r="F13" s="367">
        <f t="shared" si="4"/>
        <v>1228.5451438729849</v>
      </c>
      <c r="G13" s="367">
        <f t="shared" si="4"/>
        <v>1184.0625621474646</v>
      </c>
      <c r="H13" s="367">
        <f t="shared" si="4"/>
        <v>1141.412264129538</v>
      </c>
      <c r="I13" s="367">
        <f t="shared" si="4"/>
        <v>1169.9887285071757</v>
      </c>
      <c r="L13" s="676"/>
      <c r="M13" s="676"/>
      <c r="N13" s="676"/>
      <c r="O13" s="676"/>
      <c r="P13" s="676"/>
      <c r="Q13" s="676"/>
      <c r="R13" s="121"/>
      <c r="S13" s="121"/>
      <c r="T13" s="121"/>
      <c r="U13" s="121"/>
      <c r="V13" s="121"/>
      <c r="W13" s="121"/>
      <c r="X13" s="121"/>
      <c r="Y13" s="121"/>
      <c r="Z13" s="121"/>
      <c r="AJ13" s="257"/>
      <c r="AK13" s="257"/>
      <c r="AL13" s="257"/>
      <c r="AM13" s="257"/>
      <c r="AN13" s="257"/>
    </row>
    <row r="14" spans="1:40" ht="14.55" customHeight="1" x14ac:dyDescent="0.3">
      <c r="A14" s="265"/>
      <c r="B14" s="382" t="str">
        <f>B50</f>
        <v>Number of administrations</v>
      </c>
      <c r="C14" s="362"/>
      <c r="D14" s="361">
        <f>D53</f>
        <v>0</v>
      </c>
      <c r="E14" s="361">
        <f t="shared" ref="E14:I14" si="5">E53</f>
        <v>3220.9641021780108</v>
      </c>
      <c r="F14" s="361">
        <f t="shared" si="5"/>
        <v>6015.4134169595845</v>
      </c>
      <c r="G14" s="361">
        <f t="shared" si="5"/>
        <v>8721.8538450308661</v>
      </c>
      <c r="H14" s="361">
        <f t="shared" si="5"/>
        <v>11345.36664376688</v>
      </c>
      <c r="I14" s="361">
        <f t="shared" si="5"/>
        <v>10555.060983540532</v>
      </c>
      <c r="L14" s="262">
        <f t="shared" ref="L14:Q14" si="6">L53</f>
        <v>0</v>
      </c>
      <c r="M14" s="262">
        <f t="shared" si="6"/>
        <v>161.04820510890053</v>
      </c>
      <c r="N14" s="262">
        <f t="shared" si="6"/>
        <v>300.7706708479792</v>
      </c>
      <c r="O14" s="262">
        <f t="shared" si="6"/>
        <v>436.09269225154327</v>
      </c>
      <c r="P14" s="262">
        <f t="shared" si="6"/>
        <v>567.26833218834395</v>
      </c>
      <c r="Q14" s="262">
        <f t="shared" si="6"/>
        <v>527.75304917702658</v>
      </c>
      <c r="R14" s="121"/>
      <c r="S14" s="121"/>
      <c r="T14" s="121"/>
      <c r="U14" s="121"/>
      <c r="V14" s="121"/>
      <c r="W14" s="121"/>
      <c r="X14" s="121"/>
      <c r="Y14" s="121"/>
      <c r="Z14" s="121"/>
      <c r="AJ14" s="257"/>
      <c r="AK14" s="257"/>
      <c r="AL14" s="257"/>
      <c r="AM14" s="257"/>
      <c r="AN14" s="257"/>
    </row>
    <row r="15" spans="1:40" ht="14.55" hidden="1" customHeight="1" x14ac:dyDescent="0.3">
      <c r="A15" s="258"/>
      <c r="B15" s="383" t="str">
        <f>B65</f>
        <v>Nursing - administrations</v>
      </c>
      <c r="C15" s="387"/>
      <c r="D15" s="363">
        <f>D68</f>
        <v>0</v>
      </c>
      <c r="E15" s="363">
        <f t="shared" ref="E15:I15" si="7">E68</f>
        <v>3220.9641021780108</v>
      </c>
      <c r="F15" s="363">
        <f t="shared" si="7"/>
        <v>6015.4134169595845</v>
      </c>
      <c r="G15" s="363">
        <f t="shared" si="7"/>
        <v>8721.8538450308661</v>
      </c>
      <c r="H15" s="363">
        <f t="shared" si="7"/>
        <v>11345.36664376688</v>
      </c>
      <c r="I15" s="363">
        <f t="shared" si="7"/>
        <v>10555.060983540532</v>
      </c>
      <c r="L15" s="186"/>
      <c r="M15" s="186"/>
      <c r="N15" s="186"/>
      <c r="O15" s="186"/>
      <c r="P15" s="360"/>
      <c r="Q15" s="360"/>
      <c r="R15" s="121"/>
      <c r="S15" s="121"/>
      <c r="T15" s="121"/>
      <c r="U15" s="121"/>
      <c r="V15" s="121"/>
      <c r="W15" s="121"/>
      <c r="X15" s="121"/>
      <c r="Y15" s="121"/>
      <c r="Z15" s="121"/>
      <c r="AJ15" s="257"/>
      <c r="AK15" s="257"/>
      <c r="AL15" s="257"/>
      <c r="AM15" s="257"/>
      <c r="AN15" s="257"/>
    </row>
    <row r="16" spans="1:40" ht="14.55" hidden="1" customHeight="1" x14ac:dyDescent="0.3">
      <c r="A16" s="258"/>
      <c r="B16" s="383" t="str">
        <f>B65&amp;" - hours"</f>
        <v>Nursing - administrations - hours</v>
      </c>
      <c r="C16" s="387"/>
      <c r="D16" s="363">
        <f>($C67*D67)</f>
        <v>0</v>
      </c>
      <c r="E16" s="363">
        <f t="shared" ref="E16:I16" si="8">($C67*E67)</f>
        <v>0</v>
      </c>
      <c r="F16" s="363">
        <f t="shared" si="8"/>
        <v>0</v>
      </c>
      <c r="G16" s="363">
        <f t="shared" si="8"/>
        <v>0</v>
      </c>
      <c r="H16" s="363">
        <f t="shared" si="8"/>
        <v>0</v>
      </c>
      <c r="I16" s="363">
        <f t="shared" si="8"/>
        <v>0</v>
      </c>
      <c r="L16" s="186"/>
      <c r="M16" s="186"/>
      <c r="N16" s="186"/>
      <c r="O16" s="186"/>
      <c r="P16" s="360"/>
      <c r="Q16" s="360"/>
      <c r="R16" s="121"/>
      <c r="S16" s="121"/>
      <c r="T16" s="121"/>
      <c r="U16" s="121"/>
      <c r="V16" s="121"/>
      <c r="W16" s="121"/>
      <c r="X16" s="121"/>
      <c r="Y16" s="121"/>
      <c r="Z16" s="121"/>
      <c r="AJ16" s="257"/>
      <c r="AK16" s="257"/>
      <c r="AL16" s="257"/>
      <c r="AM16" s="257"/>
      <c r="AN16" s="257"/>
    </row>
    <row r="17" spans="1:40" ht="14.55" hidden="1" customHeight="1" x14ac:dyDescent="0.3">
      <c r="A17" s="258"/>
      <c r="B17" s="383" t="str">
        <f>B71</f>
        <v>Nursing patient preparation time</v>
      </c>
      <c r="C17" s="387"/>
      <c r="D17" s="363">
        <f>D74</f>
        <v>0</v>
      </c>
      <c r="E17" s="363">
        <f t="shared" ref="E17:I17" si="9">E74</f>
        <v>3220.9641021780108</v>
      </c>
      <c r="F17" s="363">
        <f t="shared" si="9"/>
        <v>6015.4134169595845</v>
      </c>
      <c r="G17" s="363">
        <f t="shared" si="9"/>
        <v>8721.8538450308661</v>
      </c>
      <c r="H17" s="363">
        <f t="shared" si="9"/>
        <v>11345.36664376688</v>
      </c>
      <c r="I17" s="363">
        <f t="shared" si="9"/>
        <v>10555.060983540532</v>
      </c>
      <c r="L17" s="186"/>
      <c r="M17" s="186"/>
      <c r="N17" s="186"/>
      <c r="O17" s="186"/>
      <c r="P17" s="360"/>
      <c r="Q17" s="360"/>
      <c r="R17" s="121"/>
      <c r="S17" s="121"/>
      <c r="T17" s="121"/>
      <c r="U17" s="121"/>
      <c r="V17" s="121"/>
      <c r="W17" s="121"/>
      <c r="X17" s="121"/>
      <c r="Y17" s="121"/>
      <c r="Z17" s="121"/>
      <c r="AJ17" s="257"/>
      <c r="AK17" s="257"/>
      <c r="AL17" s="257"/>
      <c r="AM17" s="257"/>
      <c r="AN17" s="257"/>
    </row>
    <row r="18" spans="1:40" ht="14.55" hidden="1" customHeight="1" x14ac:dyDescent="0.3">
      <c r="A18" s="258"/>
      <c r="B18" s="383" t="str">
        <f>B71&amp;" - hours"</f>
        <v>Nursing patient preparation time - hours</v>
      </c>
      <c r="C18" s="387"/>
      <c r="D18" s="363">
        <f>($C73*D73)</f>
        <v>0</v>
      </c>
      <c r="E18" s="363">
        <f t="shared" ref="E18:I18" si="10">($C73*E73)</f>
        <v>0</v>
      </c>
      <c r="F18" s="363">
        <f t="shared" si="10"/>
        <v>0</v>
      </c>
      <c r="G18" s="363">
        <f t="shared" si="10"/>
        <v>0</v>
      </c>
      <c r="H18" s="363">
        <f t="shared" si="10"/>
        <v>0</v>
      </c>
      <c r="I18" s="363">
        <f t="shared" si="10"/>
        <v>0</v>
      </c>
      <c r="L18" s="186"/>
      <c r="M18" s="186"/>
      <c r="N18" s="186"/>
      <c r="O18" s="186"/>
      <c r="P18" s="360"/>
      <c r="Q18" s="360"/>
      <c r="R18" s="121"/>
      <c r="S18" s="121"/>
      <c r="T18" s="121"/>
      <c r="U18" s="121"/>
      <c r="V18" s="121"/>
      <c r="W18" s="121"/>
      <c r="X18" s="121"/>
      <c r="Y18" s="121"/>
      <c r="Z18" s="121"/>
      <c r="AJ18" s="257"/>
      <c r="AK18" s="257"/>
      <c r="AL18" s="257"/>
      <c r="AM18" s="257"/>
      <c r="AN18" s="257"/>
    </row>
    <row r="19" spans="1:40" ht="14.55" hidden="1" customHeight="1" x14ac:dyDescent="0.3">
      <c r="A19" s="258"/>
      <c r="B19" s="383" t="str">
        <f>B77</f>
        <v>Post administration nursing time</v>
      </c>
      <c r="C19" s="387"/>
      <c r="D19" s="363">
        <f>D80</f>
        <v>0</v>
      </c>
      <c r="E19" s="364">
        <f t="shared" ref="E19:I19" si="11">E80</f>
        <v>3220.9641021780108</v>
      </c>
      <c r="F19" s="363">
        <f t="shared" si="11"/>
        <v>6015.4134169595845</v>
      </c>
      <c r="G19" s="363">
        <f t="shared" si="11"/>
        <v>8721.8538450308661</v>
      </c>
      <c r="H19" s="363">
        <f t="shared" si="11"/>
        <v>11345.36664376688</v>
      </c>
      <c r="I19" s="363">
        <f t="shared" si="11"/>
        <v>10555.060983540532</v>
      </c>
      <c r="L19" s="186"/>
      <c r="M19" s="186"/>
      <c r="N19" s="186"/>
      <c r="O19" s="186"/>
      <c r="P19" s="360"/>
      <c r="Q19" s="360"/>
      <c r="R19" s="121"/>
      <c r="S19" s="121"/>
      <c r="T19" s="121"/>
      <c r="U19" s="121"/>
      <c r="V19" s="121"/>
      <c r="W19" s="121"/>
      <c r="X19" s="121"/>
      <c r="Y19" s="121"/>
      <c r="Z19" s="121"/>
      <c r="AJ19" s="257"/>
      <c r="AK19" s="257"/>
      <c r="AL19" s="257"/>
      <c r="AM19" s="257"/>
      <c r="AN19" s="257"/>
    </row>
    <row r="20" spans="1:40" ht="14.55" hidden="1" customHeight="1" x14ac:dyDescent="0.3">
      <c r="A20" s="258"/>
      <c r="B20" s="383" t="str">
        <f>B77&amp;" - hours"</f>
        <v>Post administration nursing time - hours</v>
      </c>
      <c r="C20" s="387"/>
      <c r="D20" s="363">
        <f>($C79*D79)</f>
        <v>0</v>
      </c>
      <c r="E20" s="363">
        <f t="shared" ref="E20:I20" si="12">($C79*E79)</f>
        <v>0</v>
      </c>
      <c r="F20" s="363">
        <f t="shared" si="12"/>
        <v>0</v>
      </c>
      <c r="G20" s="363">
        <f t="shared" si="12"/>
        <v>0</v>
      </c>
      <c r="H20" s="363">
        <f t="shared" si="12"/>
        <v>0</v>
      </c>
      <c r="I20" s="363">
        <f t="shared" si="12"/>
        <v>0</v>
      </c>
      <c r="L20" s="186"/>
      <c r="M20" s="186"/>
      <c r="N20" s="186"/>
      <c r="O20" s="186"/>
      <c r="P20" s="360"/>
      <c r="Q20" s="360"/>
      <c r="R20" s="121"/>
      <c r="S20" s="121"/>
      <c r="T20" s="121"/>
      <c r="U20" s="121"/>
      <c r="V20" s="121"/>
      <c r="W20" s="121"/>
      <c r="X20" s="121"/>
      <c r="Y20" s="121"/>
      <c r="Z20" s="121"/>
      <c r="AJ20" s="257"/>
      <c r="AK20" s="257"/>
      <c r="AL20" s="257"/>
      <c r="AM20" s="257"/>
      <c r="AN20" s="257"/>
    </row>
    <row r="21" spans="1:40" ht="14.55" hidden="1" customHeight="1" x14ac:dyDescent="0.3">
      <c r="A21" s="260"/>
      <c r="B21" s="384" t="str">
        <f>B84</f>
        <v>Pharmacy support</v>
      </c>
      <c r="C21" s="388"/>
      <c r="D21" s="365">
        <f>D87</f>
        <v>0</v>
      </c>
      <c r="E21" s="365">
        <f t="shared" ref="E21:I21" si="13">E87</f>
        <v>0</v>
      </c>
      <c r="F21" s="365">
        <f t="shared" si="13"/>
        <v>0</v>
      </c>
      <c r="G21" s="365">
        <f t="shared" si="13"/>
        <v>0</v>
      </c>
      <c r="H21" s="365">
        <f t="shared" si="13"/>
        <v>0</v>
      </c>
      <c r="I21" s="365">
        <f t="shared" si="13"/>
        <v>0</v>
      </c>
      <c r="L21" s="186"/>
      <c r="M21" s="186"/>
      <c r="N21" s="186"/>
      <c r="O21" s="186"/>
      <c r="P21" s="360"/>
      <c r="Q21" s="360"/>
      <c r="R21" s="121"/>
      <c r="S21" s="121"/>
      <c r="T21" s="121"/>
      <c r="U21" s="121"/>
      <c r="V21" s="121"/>
      <c r="W21" s="121"/>
      <c r="X21" s="121"/>
      <c r="Y21" s="121"/>
      <c r="Z21" s="121"/>
      <c r="AJ21" s="257"/>
      <c r="AK21" s="257"/>
      <c r="AL21" s="257"/>
      <c r="AM21" s="257"/>
      <c r="AN21" s="257"/>
    </row>
    <row r="22" spans="1:40" ht="14.55" hidden="1" customHeight="1" x14ac:dyDescent="0.3">
      <c r="A22" s="260"/>
      <c r="B22" s="384" t="str">
        <f>B84&amp;" - hours"</f>
        <v>Pharmacy support - hours</v>
      </c>
      <c r="C22" s="388"/>
      <c r="D22" s="365">
        <f>($C86*D86)</f>
        <v>0</v>
      </c>
      <c r="E22" s="365">
        <f t="shared" ref="E22:I22" si="14">($C86*E86)</f>
        <v>0</v>
      </c>
      <c r="F22" s="365">
        <f t="shared" si="14"/>
        <v>0</v>
      </c>
      <c r="G22" s="365">
        <f t="shared" si="14"/>
        <v>0</v>
      </c>
      <c r="H22" s="365">
        <f t="shared" si="14"/>
        <v>0</v>
      </c>
      <c r="I22" s="365">
        <f t="shared" si="14"/>
        <v>0</v>
      </c>
      <c r="L22" s="186"/>
      <c r="M22" s="186"/>
      <c r="N22" s="186"/>
      <c r="O22" s="186"/>
      <c r="P22" s="360"/>
      <c r="Q22" s="360"/>
      <c r="R22" s="121"/>
      <c r="S22" s="121"/>
      <c r="T22" s="121"/>
      <c r="U22" s="121"/>
      <c r="V22" s="121"/>
      <c r="W22" s="121"/>
      <c r="X22" s="121"/>
      <c r="Y22" s="121"/>
      <c r="Z22" s="121"/>
      <c r="AJ22" s="257"/>
      <c r="AK22" s="257"/>
      <c r="AL22" s="257"/>
      <c r="AM22" s="257"/>
      <c r="AN22" s="257"/>
    </row>
    <row r="23" spans="1:40" ht="14.55" hidden="1" customHeight="1" x14ac:dyDescent="0.3">
      <c r="A23" s="294"/>
      <c r="B23" s="385" t="str">
        <f>B91</f>
        <v>Appointments with supporting specialty x</v>
      </c>
      <c r="C23" s="389"/>
      <c r="D23" s="368">
        <f>D94</f>
        <v>0</v>
      </c>
      <c r="E23" s="368">
        <f t="shared" ref="E23:I23" si="15">E94</f>
        <v>0</v>
      </c>
      <c r="F23" s="368">
        <f t="shared" si="15"/>
        <v>0</v>
      </c>
      <c r="G23" s="368">
        <f t="shared" si="15"/>
        <v>0</v>
      </c>
      <c r="H23" s="368">
        <f t="shared" si="15"/>
        <v>0</v>
      </c>
      <c r="I23" s="368">
        <f t="shared" si="15"/>
        <v>0</v>
      </c>
      <c r="L23" s="262">
        <f>L94</f>
        <v>0</v>
      </c>
      <c r="M23" s="262">
        <f t="shared" ref="M23:Q23" si="16">M94</f>
        <v>0</v>
      </c>
      <c r="N23" s="262">
        <f t="shared" si="16"/>
        <v>0</v>
      </c>
      <c r="O23" s="262">
        <f t="shared" si="16"/>
        <v>0</v>
      </c>
      <c r="P23" s="262">
        <f t="shared" si="16"/>
        <v>0</v>
      </c>
      <c r="Q23" s="262">
        <f t="shared" si="16"/>
        <v>0</v>
      </c>
      <c r="R23" s="121"/>
      <c r="S23" s="121"/>
      <c r="T23" s="121"/>
      <c r="U23" s="121"/>
      <c r="V23" s="121"/>
      <c r="W23" s="121"/>
      <c r="X23" s="121"/>
      <c r="Y23" s="121"/>
      <c r="Z23" s="121"/>
      <c r="AJ23" s="257"/>
      <c r="AK23" s="257"/>
      <c r="AL23" s="257"/>
      <c r="AM23" s="257"/>
      <c r="AN23" s="257"/>
    </row>
    <row r="24" spans="1:40" ht="14.55" hidden="1" customHeight="1" x14ac:dyDescent="0.3">
      <c r="A24" s="294"/>
      <c r="B24" s="385" t="str">
        <f>B91&amp;" - hours"</f>
        <v>Appointments with supporting specialty x - hours</v>
      </c>
      <c r="C24" s="368">
        <f>'Capacity inputs'!F19</f>
        <v>0</v>
      </c>
      <c r="D24" s="368">
        <f>$C24/60*D23</f>
        <v>0</v>
      </c>
      <c r="E24" s="368">
        <f t="shared" ref="E24:I24" si="17">$C24/60*E23</f>
        <v>0</v>
      </c>
      <c r="F24" s="368">
        <f t="shared" si="17"/>
        <v>0</v>
      </c>
      <c r="G24" s="368">
        <f t="shared" si="17"/>
        <v>0</v>
      </c>
      <c r="H24" s="368">
        <f t="shared" si="17"/>
        <v>0</v>
      </c>
      <c r="I24" s="368">
        <f t="shared" si="17"/>
        <v>0</v>
      </c>
      <c r="L24" s="186"/>
      <c r="M24" s="186"/>
      <c r="N24" s="186"/>
      <c r="O24" s="186"/>
      <c r="P24" s="360"/>
      <c r="Q24" s="360"/>
      <c r="R24" s="121"/>
      <c r="S24" s="121"/>
      <c r="T24" s="121"/>
      <c r="U24" s="121"/>
      <c r="V24" s="121"/>
      <c r="W24" s="121"/>
      <c r="X24" s="121"/>
      <c r="Y24" s="121"/>
      <c r="Z24" s="121"/>
      <c r="AJ24" s="257"/>
      <c r="AK24" s="257"/>
      <c r="AL24" s="257"/>
      <c r="AM24" s="257"/>
      <c r="AN24" s="257"/>
    </row>
    <row r="25" spans="1:40" ht="14.55" hidden="1" customHeight="1" x14ac:dyDescent="0.3">
      <c r="A25" s="261"/>
      <c r="B25" s="386" t="str">
        <f>B98</f>
        <v>Imaging scans</v>
      </c>
      <c r="C25" s="390"/>
      <c r="D25" s="369"/>
      <c r="E25" s="369"/>
      <c r="F25" s="369"/>
      <c r="G25" s="369"/>
      <c r="H25" s="369"/>
      <c r="I25" s="369"/>
      <c r="L25" s="262"/>
      <c r="M25" s="262"/>
      <c r="N25" s="262"/>
      <c r="O25" s="262"/>
      <c r="P25" s="262"/>
      <c r="Q25" s="262"/>
      <c r="R25" s="121"/>
      <c r="S25" s="121"/>
      <c r="T25" s="121"/>
      <c r="U25" s="121"/>
      <c r="V25" s="121"/>
      <c r="W25" s="121"/>
      <c r="X25" s="121"/>
      <c r="Y25" s="121"/>
      <c r="Z25" s="121"/>
      <c r="AJ25" s="257"/>
      <c r="AK25" s="257"/>
      <c r="AL25" s="257"/>
      <c r="AM25" s="257"/>
      <c r="AN25" s="257"/>
    </row>
    <row r="26" spans="1:40" ht="14.55" hidden="1" customHeight="1" x14ac:dyDescent="0.3">
      <c r="A26" s="261"/>
      <c r="B26" s="386" t="str">
        <f>B98&amp;" - hours"</f>
        <v>Imaging scans - hours</v>
      </c>
      <c r="C26" s="369">
        <f>'Capacity inputs'!F20</f>
        <v>0</v>
      </c>
      <c r="D26" s="369"/>
      <c r="E26" s="369"/>
      <c r="F26" s="369"/>
      <c r="G26" s="369"/>
      <c r="H26" s="369"/>
      <c r="I26" s="369"/>
      <c r="L26" s="676"/>
      <c r="M26" s="676"/>
      <c r="N26" s="676"/>
      <c r="O26" s="676"/>
      <c r="P26" s="676"/>
      <c r="Q26" s="676"/>
      <c r="R26" s="121"/>
      <c r="S26" s="121"/>
      <c r="T26" s="121"/>
      <c r="U26" s="121"/>
      <c r="V26" s="121"/>
      <c r="W26" s="121"/>
      <c r="X26" s="121"/>
      <c r="Y26" s="121"/>
      <c r="Z26" s="121"/>
      <c r="AJ26" s="257"/>
      <c r="AK26" s="257"/>
      <c r="AL26" s="257"/>
      <c r="AM26" s="257"/>
      <c r="AN26" s="257"/>
    </row>
    <row r="27" spans="1:40" ht="14.55" hidden="1" customHeight="1" x14ac:dyDescent="0.3">
      <c r="A27" s="261"/>
      <c r="B27" s="386" t="str">
        <f>B105</f>
        <v>Diagnostic tests</v>
      </c>
      <c r="C27" s="390"/>
      <c r="D27" s="369"/>
      <c r="E27" s="369"/>
      <c r="F27" s="369"/>
      <c r="G27" s="369"/>
      <c r="H27" s="369"/>
      <c r="I27" s="369"/>
      <c r="L27" s="186"/>
      <c r="M27" s="186"/>
      <c r="N27" s="186"/>
      <c r="O27" s="186"/>
      <c r="P27" s="360"/>
      <c r="Q27" s="360"/>
      <c r="R27" s="121"/>
      <c r="S27" s="121"/>
      <c r="T27" s="121"/>
      <c r="U27" s="121"/>
      <c r="V27" s="121"/>
      <c r="W27" s="121"/>
      <c r="X27" s="121"/>
      <c r="Y27" s="121"/>
      <c r="Z27" s="121"/>
      <c r="AJ27" s="257"/>
      <c r="AK27" s="257"/>
      <c r="AL27" s="257"/>
      <c r="AM27" s="257"/>
      <c r="AN27" s="257"/>
    </row>
    <row r="28" spans="1:40" ht="14.55" hidden="1" customHeight="1" x14ac:dyDescent="0.3">
      <c r="A28" s="261"/>
      <c r="B28" s="386" t="str">
        <f>B105&amp;" - hours"</f>
        <v>Diagnostic tests - hours</v>
      </c>
      <c r="C28" s="369">
        <f>'Capacity inputs'!F21</f>
        <v>0</v>
      </c>
      <c r="D28" s="369"/>
      <c r="E28" s="369"/>
      <c r="F28" s="369"/>
      <c r="G28" s="369"/>
      <c r="H28" s="369"/>
      <c r="I28" s="369"/>
      <c r="L28" s="186"/>
      <c r="M28" s="186"/>
      <c r="N28" s="186"/>
      <c r="O28" s="186"/>
      <c r="P28" s="360"/>
      <c r="Q28" s="360"/>
      <c r="R28" s="121"/>
      <c r="S28" s="121"/>
      <c r="T28" s="121"/>
      <c r="U28" s="121"/>
      <c r="V28" s="121"/>
      <c r="W28" s="121"/>
      <c r="X28" s="121"/>
      <c r="Y28" s="121"/>
      <c r="Z28" s="121"/>
      <c r="AJ28" s="257"/>
      <c r="AK28" s="257"/>
      <c r="AL28" s="257"/>
      <c r="AM28" s="257"/>
      <c r="AN28" s="257"/>
    </row>
    <row r="29" spans="1:40" ht="14.55" hidden="1" customHeight="1" x14ac:dyDescent="0.3">
      <c r="A29" s="261"/>
      <c r="B29" s="386" t="str">
        <f>B114</f>
        <v>Genomic tests</v>
      </c>
      <c r="C29" s="390"/>
      <c r="D29" s="369"/>
      <c r="E29" s="369"/>
      <c r="F29" s="369"/>
      <c r="G29" s="369"/>
      <c r="H29" s="369"/>
      <c r="I29" s="369"/>
      <c r="L29" s="186"/>
      <c r="M29" s="186"/>
      <c r="N29" s="186"/>
      <c r="O29" s="186"/>
      <c r="P29" s="360"/>
      <c r="Q29" s="360"/>
      <c r="R29" s="121"/>
      <c r="S29" s="121"/>
      <c r="T29" s="121"/>
      <c r="U29" s="121"/>
      <c r="V29" s="121"/>
      <c r="W29" s="121"/>
      <c r="X29" s="121"/>
      <c r="Y29" s="121"/>
      <c r="Z29" s="121"/>
      <c r="AJ29" s="257"/>
      <c r="AK29" s="257"/>
      <c r="AL29" s="257"/>
      <c r="AM29" s="257"/>
      <c r="AN29" s="257"/>
    </row>
    <row r="30" spans="1:40" ht="14.55" hidden="1" customHeight="1" x14ac:dyDescent="0.3">
      <c r="A30" s="261"/>
      <c r="B30" s="386" t="str">
        <f>B114&amp;" - hours"</f>
        <v>Genomic tests - hours</v>
      </c>
      <c r="C30" s="682">
        <f>'Capacity inputs'!F22</f>
        <v>0</v>
      </c>
      <c r="D30" s="369"/>
      <c r="E30" s="369"/>
      <c r="F30" s="369"/>
      <c r="G30" s="369"/>
      <c r="H30" s="369"/>
      <c r="I30" s="369"/>
      <c r="L30" s="186"/>
      <c r="M30" s="186"/>
      <c r="N30" s="186"/>
      <c r="O30" s="186"/>
      <c r="P30" s="360"/>
      <c r="Q30" s="360"/>
      <c r="R30" s="121"/>
      <c r="S30" s="121"/>
      <c r="T30" s="121"/>
      <c r="U30" s="121"/>
      <c r="V30" s="121"/>
      <c r="W30" s="121"/>
      <c r="X30" s="121"/>
      <c r="Y30" s="121"/>
      <c r="Z30" s="121"/>
      <c r="AJ30" s="257"/>
      <c r="AK30" s="257"/>
      <c r="AL30" s="257"/>
      <c r="AM30" s="257"/>
      <c r="AN30" s="257"/>
    </row>
    <row r="31" spans="1:40" ht="14.55" customHeight="1" x14ac:dyDescent="0.3">
      <c r="B31" s="220"/>
      <c r="D31" s="257"/>
      <c r="F31" s="121"/>
      <c r="G31" s="121"/>
      <c r="H31" s="121"/>
      <c r="I31" s="121"/>
      <c r="J31" s="121"/>
      <c r="K31" s="121"/>
      <c r="L31" s="263">
        <f t="shared" ref="L31:Q31" si="18">SUM(L10:L30)</f>
        <v>606.65022678429398</v>
      </c>
      <c r="M31" s="263">
        <f t="shared" si="18"/>
        <v>742.43222555203147</v>
      </c>
      <c r="N31" s="263">
        <f t="shared" si="18"/>
        <v>860.98725645406023</v>
      </c>
      <c r="O31" s="263">
        <f t="shared" si="18"/>
        <v>976.02522059078706</v>
      </c>
      <c r="P31" s="263">
        <f t="shared" si="18"/>
        <v>1087.7523246314133</v>
      </c>
      <c r="Q31" s="263">
        <f t="shared" si="18"/>
        <v>1061.2679093762986</v>
      </c>
      <c r="R31" s="121"/>
      <c r="S31" s="121"/>
      <c r="T31" s="121"/>
      <c r="U31" s="121"/>
      <c r="V31" s="121"/>
      <c r="W31" s="121"/>
      <c r="X31" s="121"/>
      <c r="Y31" s="121"/>
      <c r="Z31" s="121"/>
    </row>
    <row r="32" spans="1:40" x14ac:dyDescent="0.3">
      <c r="B32" s="285"/>
      <c r="C32" s="285"/>
      <c r="D32" s="285"/>
      <c r="E32" s="285"/>
      <c r="F32" s="285"/>
      <c r="G32" s="285"/>
      <c r="H32" s="285"/>
      <c r="I32" s="285"/>
      <c r="J32" s="285"/>
      <c r="K32" s="285"/>
      <c r="L32" s="285"/>
      <c r="P32" s="121"/>
      <c r="Q32" s="121"/>
      <c r="R32" s="121"/>
      <c r="S32" s="121"/>
      <c r="V32" s="121"/>
      <c r="W32" s="121"/>
      <c r="X32" s="121"/>
      <c r="Y32" s="121"/>
      <c r="Z32" s="121"/>
      <c r="AJ32" s="257"/>
      <c r="AK32" s="257"/>
      <c r="AL32" s="257"/>
      <c r="AM32" s="257"/>
      <c r="AN32" s="257"/>
    </row>
    <row r="33" spans="1:40" x14ac:dyDescent="0.3">
      <c r="B33" s="323" t="s">
        <v>759</v>
      </c>
      <c r="C33" s="324"/>
      <c r="D33" s="324"/>
      <c r="E33" s="325"/>
      <c r="F33" s="324"/>
      <c r="G33" s="326"/>
      <c r="H33" s="327"/>
      <c r="I33" s="327"/>
      <c r="J33" s="327"/>
      <c r="K33" s="327"/>
      <c r="L33" s="327"/>
      <c r="M33" s="327"/>
      <c r="N33" s="327"/>
      <c r="O33" s="327"/>
      <c r="P33" s="327"/>
      <c r="Q33" s="328"/>
      <c r="R33" s="121"/>
      <c r="S33" s="121"/>
      <c r="T33" s="121"/>
      <c r="U33" s="121"/>
      <c r="V33" s="121"/>
      <c r="W33" s="121"/>
      <c r="X33" s="121"/>
      <c r="Y33" s="121"/>
      <c r="Z33" s="121"/>
      <c r="AJ33" s="257"/>
      <c r="AK33" s="257"/>
      <c r="AL33" s="257"/>
      <c r="AM33" s="257"/>
      <c r="AN33" s="257"/>
    </row>
    <row r="34" spans="1:40" x14ac:dyDescent="0.3">
      <c r="A34" s="259"/>
      <c r="B34" s="458" t="s">
        <v>2164</v>
      </c>
      <c r="C34" s="451"/>
      <c r="D34" s="452"/>
      <c r="E34" s="453"/>
      <c r="F34" s="259"/>
      <c r="G34" s="259"/>
      <c r="H34" s="196"/>
      <c r="I34" s="196"/>
      <c r="J34" s="196"/>
      <c r="K34" s="196"/>
      <c r="L34" s="196"/>
      <c r="M34" s="196"/>
      <c r="N34" s="196"/>
      <c r="O34" s="196"/>
      <c r="P34" s="196"/>
      <c r="Q34" s="196"/>
      <c r="R34" s="121"/>
      <c r="S34" s="121"/>
      <c r="T34" s="121"/>
      <c r="U34" s="121"/>
      <c r="V34" s="121"/>
      <c r="W34" s="121"/>
      <c r="X34" s="121"/>
      <c r="Y34" s="121"/>
      <c r="Z34" s="121"/>
      <c r="AJ34" s="257"/>
      <c r="AK34" s="257"/>
      <c r="AL34" s="257"/>
      <c r="AM34" s="257"/>
      <c r="AN34" s="257"/>
    </row>
    <row r="35" spans="1:40" x14ac:dyDescent="0.3">
      <c r="A35" s="449"/>
      <c r="B35" s="454" t="s">
        <v>2157</v>
      </c>
      <c r="C35" s="346"/>
      <c r="D35" s="346"/>
      <c r="E35" s="346"/>
      <c r="F35" s="346"/>
      <c r="G35" s="346"/>
      <c r="H35" s="346"/>
      <c r="I35" s="195"/>
      <c r="J35" s="196"/>
      <c r="K35" s="196"/>
      <c r="L35" s="196"/>
      <c r="M35" s="196"/>
      <c r="N35" s="196"/>
      <c r="O35" s="196"/>
      <c r="P35" s="196"/>
      <c r="Q35" s="196"/>
      <c r="R35" s="121"/>
      <c r="S35" s="121"/>
      <c r="T35" s="121"/>
      <c r="U35" s="121"/>
      <c r="V35" s="121"/>
      <c r="W35" s="121"/>
      <c r="X35" s="121"/>
      <c r="Y35" s="121"/>
      <c r="Z35" s="121"/>
      <c r="AJ35" s="257"/>
      <c r="AK35" s="257"/>
      <c r="AL35" s="257"/>
      <c r="AM35" s="257"/>
      <c r="AN35" s="257"/>
    </row>
    <row r="36" spans="1:40" ht="43.2" x14ac:dyDescent="0.3">
      <c r="A36" s="449"/>
      <c r="B36" s="284" t="s">
        <v>711</v>
      </c>
      <c r="C36" s="152" t="s">
        <v>760</v>
      </c>
      <c r="D36" s="796" t="s">
        <v>748</v>
      </c>
      <c r="E36" s="228" t="s">
        <v>591</v>
      </c>
      <c r="F36" s="228" t="s">
        <v>592</v>
      </c>
      <c r="G36" s="151" t="s">
        <v>722</v>
      </c>
      <c r="H36" s="151" t="s">
        <v>723</v>
      </c>
      <c r="I36" s="228" t="s">
        <v>724</v>
      </c>
      <c r="J36" s="457"/>
      <c r="K36" s="196"/>
      <c r="L36" s="196"/>
      <c r="M36" s="196"/>
      <c r="N36" s="196"/>
      <c r="O36" s="196"/>
      <c r="P36" s="196"/>
      <c r="Q36" s="196"/>
      <c r="R36" s="121"/>
      <c r="S36" s="121"/>
      <c r="T36" s="121"/>
      <c r="U36" s="121"/>
      <c r="V36" s="121"/>
      <c r="W36" s="121"/>
      <c r="X36" s="121"/>
      <c r="Y36" s="121"/>
      <c r="Z36" s="121"/>
      <c r="AJ36" s="257"/>
      <c r="AK36" s="257"/>
      <c r="AL36" s="257"/>
      <c r="AM36" s="257"/>
      <c r="AN36" s="257"/>
    </row>
    <row r="37" spans="1:40" x14ac:dyDescent="0.3">
      <c r="A37" s="449"/>
      <c r="B37" s="310" t="str">
        <f>'Capacity inputs'!G12</f>
        <v>Benralizumab</v>
      </c>
      <c r="C37" s="137">
        <f>'Capacity inputs'!G$13</f>
        <v>0</v>
      </c>
      <c r="D37" s="116">
        <f>SUM('Financial impact (cash)'!D13:D17)*$C37</f>
        <v>0</v>
      </c>
      <c r="E37" s="116">
        <f>SUM('Financial impact (cash)'!E13:E17)*$C37</f>
        <v>0</v>
      </c>
      <c r="F37" s="116">
        <f>SUM('Financial impact (cash)'!F13:F17)*$C37</f>
        <v>0</v>
      </c>
      <c r="G37" s="116">
        <f>SUM('Financial impact (cash)'!G13:G17)*$C37</f>
        <v>0</v>
      </c>
      <c r="H37" s="116">
        <f>SUM('Financial impact (cash)'!H13:H17)*$C37</f>
        <v>0</v>
      </c>
      <c r="I37" s="116">
        <f>SUM('Financial impact (cash)'!I13:I17)*$C37</f>
        <v>0</v>
      </c>
      <c r="J37" s="457"/>
      <c r="K37" s="196"/>
      <c r="L37" s="196"/>
      <c r="M37" s="196"/>
      <c r="N37" s="196"/>
      <c r="O37" s="196"/>
      <c r="P37" s="196"/>
      <c r="Q37" s="196"/>
      <c r="R37" s="121"/>
      <c r="S37" s="121"/>
      <c r="T37" s="121"/>
      <c r="U37" s="121"/>
      <c r="V37" s="121"/>
      <c r="W37" s="121"/>
      <c r="X37" s="121"/>
      <c r="Y37" s="121"/>
      <c r="Z37" s="121"/>
      <c r="AJ37" s="257"/>
      <c r="AK37" s="257"/>
      <c r="AL37" s="257"/>
      <c r="AM37" s="257"/>
      <c r="AN37" s="257"/>
    </row>
    <row r="38" spans="1:40" x14ac:dyDescent="0.3">
      <c r="A38" s="449"/>
      <c r="B38" s="310" t="str">
        <f>'Capacity inputs'!H12</f>
        <v>Standard of care</v>
      </c>
      <c r="C38" s="137">
        <f>'Capacity inputs'!H$13</f>
        <v>0</v>
      </c>
      <c r="D38" s="116">
        <f>SUM('Financial impact (cash)'!D18:D19)*$C38</f>
        <v>0</v>
      </c>
      <c r="E38" s="116">
        <f>SUM('Financial impact (cash)'!E18:E19)*$C38</f>
        <v>0</v>
      </c>
      <c r="F38" s="116">
        <f>SUM('Financial impact (cash)'!F18:F19)*$C38</f>
        <v>0</v>
      </c>
      <c r="G38" s="116">
        <f>SUM('Financial impact (cash)'!G18:G19)*$C38</f>
        <v>0</v>
      </c>
      <c r="H38" s="116">
        <f>SUM('Financial impact (cash)'!H18:H19)*$C38</f>
        <v>0</v>
      </c>
      <c r="I38" s="116">
        <f>SUM('Financial impact (cash)'!I18:I19)*$C38</f>
        <v>0</v>
      </c>
      <c r="J38" s="457"/>
      <c r="K38" s="196"/>
      <c r="L38" s="196"/>
      <c r="M38" s="196"/>
      <c r="N38" s="196"/>
      <c r="O38" s="196"/>
      <c r="P38" s="196"/>
      <c r="Q38" s="196"/>
      <c r="R38" s="121"/>
      <c r="S38" s="121"/>
      <c r="T38" s="121"/>
      <c r="U38" s="121"/>
      <c r="V38" s="121"/>
      <c r="W38" s="121"/>
      <c r="X38" s="121"/>
      <c r="Y38" s="121"/>
      <c r="Z38" s="121"/>
      <c r="AJ38" s="257"/>
      <c r="AK38" s="257"/>
      <c r="AL38" s="257"/>
      <c r="AM38" s="257"/>
      <c r="AN38" s="257"/>
    </row>
    <row r="39" spans="1:40" x14ac:dyDescent="0.3">
      <c r="A39" s="449"/>
      <c r="B39" s="437"/>
      <c r="C39" s="288"/>
      <c r="D39" s="167">
        <f t="shared" ref="D39:I39" si="19">SUM(D37:D38)</f>
        <v>0</v>
      </c>
      <c r="E39" s="167">
        <f t="shared" si="19"/>
        <v>0</v>
      </c>
      <c r="F39" s="167">
        <f t="shared" si="19"/>
        <v>0</v>
      </c>
      <c r="G39" s="167">
        <f t="shared" si="19"/>
        <v>0</v>
      </c>
      <c r="H39" s="167">
        <f t="shared" si="19"/>
        <v>0</v>
      </c>
      <c r="I39" s="167">
        <f t="shared" si="19"/>
        <v>0</v>
      </c>
      <c r="J39" s="457"/>
      <c r="K39" s="196"/>
      <c r="L39" s="196"/>
      <c r="M39" s="196"/>
      <c r="N39" s="196"/>
      <c r="O39" s="196"/>
      <c r="P39" s="196"/>
      <c r="Q39" s="196"/>
      <c r="R39" s="121"/>
      <c r="S39" s="121"/>
      <c r="T39" s="121"/>
      <c r="U39" s="121"/>
      <c r="V39" s="121"/>
      <c r="W39" s="121"/>
      <c r="X39" s="121"/>
      <c r="Y39" s="121"/>
      <c r="Z39" s="121"/>
      <c r="AJ39" s="257"/>
      <c r="AK39" s="257"/>
      <c r="AL39" s="257"/>
      <c r="AM39" s="257"/>
      <c r="AN39" s="257"/>
    </row>
    <row r="40" spans="1:40" x14ac:dyDescent="0.3">
      <c r="A40" s="449"/>
      <c r="B40" s="229"/>
      <c r="C40" s="288"/>
      <c r="D40" s="256" t="s">
        <v>761</v>
      </c>
      <c r="E40" s="167">
        <f>E39-$D$39</f>
        <v>0</v>
      </c>
      <c r="F40" s="167">
        <f>F39-$D$39</f>
        <v>0</v>
      </c>
      <c r="G40" s="167">
        <f>G39-$D$39</f>
        <v>0</v>
      </c>
      <c r="H40" s="167">
        <f>H39-$D$39</f>
        <v>0</v>
      </c>
      <c r="I40" s="167">
        <f>I39-$D$39</f>
        <v>0</v>
      </c>
      <c r="J40" s="457"/>
      <c r="K40" s="196"/>
      <c r="L40" s="196"/>
      <c r="M40" s="196"/>
      <c r="N40" s="196"/>
      <c r="O40" s="196"/>
      <c r="P40" s="196"/>
      <c r="Q40" s="196"/>
      <c r="R40" s="121"/>
      <c r="S40" s="121"/>
      <c r="T40" s="121"/>
      <c r="U40" s="121"/>
      <c r="V40" s="121"/>
      <c r="W40" s="121"/>
      <c r="X40" s="121"/>
      <c r="Y40" s="121"/>
      <c r="Z40" s="121"/>
      <c r="AJ40" s="257"/>
      <c r="AK40" s="257"/>
      <c r="AL40" s="257"/>
      <c r="AM40" s="257"/>
      <c r="AN40" s="257"/>
    </row>
    <row r="41" spans="1:40" x14ac:dyDescent="0.3">
      <c r="A41" s="259"/>
      <c r="B41" s="450"/>
      <c r="C41" s="451"/>
      <c r="D41" s="452"/>
      <c r="E41" s="453"/>
      <c r="F41" s="259"/>
      <c r="G41" s="259"/>
      <c r="H41" s="259"/>
      <c r="I41" s="279"/>
      <c r="J41" s="196"/>
      <c r="K41" s="196"/>
      <c r="L41" s="196"/>
      <c r="M41" s="196"/>
      <c r="N41" s="196"/>
      <c r="O41" s="196"/>
      <c r="P41" s="196"/>
      <c r="Q41" s="196"/>
      <c r="R41" s="121"/>
      <c r="S41" s="121"/>
      <c r="T41" s="121"/>
      <c r="U41" s="121"/>
      <c r="V41" s="121"/>
      <c r="W41" s="121"/>
      <c r="X41" s="121"/>
      <c r="Y41" s="121"/>
      <c r="Z41" s="121"/>
      <c r="AJ41" s="257"/>
      <c r="AK41" s="257"/>
      <c r="AL41" s="257"/>
      <c r="AM41" s="257"/>
      <c r="AN41" s="257"/>
    </row>
    <row r="42" spans="1:40" x14ac:dyDescent="0.3">
      <c r="A42" s="259"/>
      <c r="B42" s="345" t="s">
        <v>762</v>
      </c>
      <c r="C42" s="346"/>
      <c r="D42" s="346"/>
      <c r="E42" s="346"/>
      <c r="F42" s="346"/>
      <c r="G42" s="346"/>
      <c r="H42" s="346"/>
      <c r="I42" s="195"/>
      <c r="J42" s="196"/>
      <c r="K42" s="196"/>
      <c r="L42" s="196"/>
      <c r="M42" s="196"/>
      <c r="N42" s="196"/>
      <c r="O42" s="196"/>
      <c r="P42" s="196"/>
      <c r="Q42" s="196"/>
      <c r="R42" s="121"/>
      <c r="S42" s="121"/>
      <c r="T42" s="121"/>
      <c r="U42" s="121"/>
      <c r="V42" s="121"/>
      <c r="W42" s="121"/>
      <c r="X42" s="121"/>
      <c r="Y42" s="121"/>
      <c r="Z42" s="121"/>
      <c r="AJ42" s="257"/>
      <c r="AK42" s="257"/>
      <c r="AL42" s="257"/>
      <c r="AM42" s="257"/>
      <c r="AN42" s="257"/>
    </row>
    <row r="43" spans="1:40" ht="43.2" x14ac:dyDescent="0.3">
      <c r="A43" s="259"/>
      <c r="B43" s="250" t="s">
        <v>711</v>
      </c>
      <c r="C43" s="152" t="s">
        <v>760</v>
      </c>
      <c r="D43" s="796" t="s">
        <v>748</v>
      </c>
      <c r="E43" s="228" t="s">
        <v>591</v>
      </c>
      <c r="F43" s="228" t="s">
        <v>592</v>
      </c>
      <c r="G43" s="151" t="s">
        <v>722</v>
      </c>
      <c r="H43" s="151" t="s">
        <v>723</v>
      </c>
      <c r="I43" s="228" t="s">
        <v>724</v>
      </c>
      <c r="J43" s="196"/>
      <c r="K43" s="448" t="s">
        <v>787</v>
      </c>
      <c r="L43" s="796" t="s">
        <v>748</v>
      </c>
      <c r="M43" s="798" t="s">
        <v>591</v>
      </c>
      <c r="N43" s="798" t="s">
        <v>592</v>
      </c>
      <c r="O43" s="366" t="s">
        <v>722</v>
      </c>
      <c r="P43" s="366" t="s">
        <v>723</v>
      </c>
      <c r="Q43" s="798" t="s">
        <v>724</v>
      </c>
      <c r="R43" s="121"/>
      <c r="S43" s="121"/>
      <c r="T43" s="121"/>
      <c r="U43" s="121"/>
      <c r="V43" s="121"/>
      <c r="W43" s="121"/>
      <c r="X43" s="121"/>
      <c r="Y43" s="121"/>
      <c r="Z43" s="121"/>
      <c r="AJ43" s="257"/>
      <c r="AK43" s="257"/>
      <c r="AL43" s="257"/>
      <c r="AM43" s="257"/>
      <c r="AN43" s="257"/>
    </row>
    <row r="44" spans="1:40" x14ac:dyDescent="0.3">
      <c r="A44" s="259"/>
      <c r="B44" s="309" t="str">
        <f>B37</f>
        <v>Benralizumab</v>
      </c>
      <c r="C44" s="137">
        <f>'Capacity inputs'!G$14</f>
        <v>3</v>
      </c>
      <c r="D44" s="116">
        <f>SUM('Financial impact (cash)'!D13:D17)*$C44</f>
        <v>0</v>
      </c>
      <c r="E44" s="116">
        <f>SUM('Financial impact (cash)'!E13:E17)*$C44</f>
        <v>805.24102554450269</v>
      </c>
      <c r="F44" s="116">
        <f>SUM('Financial impact (cash)'!F13:F17)*$C44</f>
        <v>1503.8533542398961</v>
      </c>
      <c r="G44" s="116">
        <f>SUM('Financial impact (cash)'!G13:G17)*$C44</f>
        <v>2180.4634612577165</v>
      </c>
      <c r="H44" s="116">
        <f>SUM('Financial impact (cash)'!H13:H17)*$C44</f>
        <v>2836.34166094172</v>
      </c>
      <c r="I44" s="116">
        <f>SUM('Financial impact (cash)'!I13:I17)*$C44</f>
        <v>2638.765245885133</v>
      </c>
      <c r="J44" s="196"/>
      <c r="K44" s="460">
        <f>'Unit costs'!N43</f>
        <v>114</v>
      </c>
      <c r="L44" s="262">
        <f>(D44*$K$44)/1000</f>
        <v>0</v>
      </c>
      <c r="M44" s="262">
        <f t="shared" ref="M44:Q44" si="20">(E44*$K$44)/1000</f>
        <v>91.797476912073307</v>
      </c>
      <c r="N44" s="262">
        <f t="shared" si="20"/>
        <v>171.43928238334814</v>
      </c>
      <c r="O44" s="262">
        <f t="shared" si="20"/>
        <v>248.57283458337969</v>
      </c>
      <c r="P44" s="262">
        <f t="shared" si="20"/>
        <v>323.34294934735613</v>
      </c>
      <c r="Q44" s="262">
        <f t="shared" si="20"/>
        <v>300.81923803090513</v>
      </c>
      <c r="R44" s="121"/>
      <c r="S44" s="121"/>
      <c r="T44" s="121"/>
      <c r="U44" s="121"/>
      <c r="V44" s="121"/>
      <c r="W44" s="121"/>
      <c r="X44" s="121"/>
      <c r="Y44" s="121"/>
      <c r="Z44" s="121"/>
      <c r="AJ44" s="257"/>
      <c r="AK44" s="257"/>
      <c r="AL44" s="257"/>
      <c r="AM44" s="257"/>
      <c r="AN44" s="257"/>
    </row>
    <row r="45" spans="1:40" x14ac:dyDescent="0.3">
      <c r="A45" s="259"/>
      <c r="B45" s="309" t="str">
        <f>B38</f>
        <v>Standard of care</v>
      </c>
      <c r="C45" s="137">
        <f>'Capacity inputs'!H$14</f>
        <v>4</v>
      </c>
      <c r="D45" s="116">
        <f>SUM('Financial impact (cash)'!D18:D19)*$C45</f>
        <v>5321.4932174060878</v>
      </c>
      <c r="E45" s="116">
        <f>SUM('Financial impact (cash)'!E18:E19)*$C45</f>
        <v>4294.618802904014</v>
      </c>
      <c r="F45" s="116">
        <f>SUM('Financial impact (cash)'!F18:F19)*$C45</f>
        <v>3410.3272212520433</v>
      </c>
      <c r="G45" s="116">
        <f>SUM('Financial impact (cash)'!G18:G19)*$C45</f>
        <v>2555.7867873321416</v>
      </c>
      <c r="H45" s="116">
        <f>SUM('Financial impact (cash)'!H18:H19)*$C45</f>
        <v>1729.3073955764316</v>
      </c>
      <c r="I45" s="116">
        <f>SUM('Financial impact (cash)'!I18:I19)*$C45</f>
        <v>2041.1896681435696</v>
      </c>
      <c r="J45" s="196"/>
      <c r="K45" s="460">
        <f>K44</f>
        <v>114</v>
      </c>
      <c r="L45" s="262">
        <f t="shared" ref="L45" si="21">(D45*$K$44)/1000</f>
        <v>606.65022678429398</v>
      </c>
      <c r="M45" s="262">
        <f t="shared" ref="M45" si="22">(E45*$K$44)/1000</f>
        <v>489.5865435310576</v>
      </c>
      <c r="N45" s="262">
        <f t="shared" ref="N45" si="23">(F45*$K$44)/1000</f>
        <v>388.77730322273288</v>
      </c>
      <c r="O45" s="262">
        <f t="shared" ref="O45" si="24">(G45*$K$44)/1000</f>
        <v>291.35969375586416</v>
      </c>
      <c r="P45" s="262">
        <f t="shared" ref="P45" si="25">(H45*$K$44)/1000</f>
        <v>197.14104309571323</v>
      </c>
      <c r="Q45" s="262">
        <f t="shared" ref="Q45" si="26">(I45*$K$44)/1000</f>
        <v>232.69562216836695</v>
      </c>
      <c r="R45" s="121"/>
      <c r="S45" s="121"/>
      <c r="T45" s="121"/>
      <c r="U45" s="121"/>
      <c r="V45" s="121"/>
      <c r="W45" s="121"/>
      <c r="X45" s="121"/>
      <c r="Y45" s="121"/>
      <c r="Z45" s="121"/>
      <c r="AJ45" s="257"/>
      <c r="AK45" s="257"/>
      <c r="AL45" s="257"/>
      <c r="AM45" s="257"/>
      <c r="AN45" s="257"/>
    </row>
    <row r="46" spans="1:40" x14ac:dyDescent="0.3">
      <c r="A46" s="259"/>
      <c r="B46" s="251"/>
      <c r="C46" s="288"/>
      <c r="D46" s="167">
        <f t="shared" ref="D46:I46" si="27">SUM(D44:D45)</f>
        <v>5321.4932174060878</v>
      </c>
      <c r="E46" s="167">
        <f t="shared" si="27"/>
        <v>5099.859828448517</v>
      </c>
      <c r="F46" s="167">
        <f t="shared" si="27"/>
        <v>4914.1805754919396</v>
      </c>
      <c r="G46" s="167">
        <f t="shared" si="27"/>
        <v>4736.2502485898585</v>
      </c>
      <c r="H46" s="167">
        <f t="shared" si="27"/>
        <v>4565.6490565181521</v>
      </c>
      <c r="I46" s="167">
        <f t="shared" si="27"/>
        <v>4679.9549140287027</v>
      </c>
      <c r="J46" s="196"/>
      <c r="K46" s="196"/>
      <c r="L46" s="263">
        <f t="shared" ref="L46:Q46" si="28">SUM(L44:L45)</f>
        <v>606.65022678429398</v>
      </c>
      <c r="M46" s="263">
        <f t="shared" si="28"/>
        <v>581.38402044313091</v>
      </c>
      <c r="N46" s="263">
        <f t="shared" si="28"/>
        <v>560.21658560608103</v>
      </c>
      <c r="O46" s="263">
        <f t="shared" si="28"/>
        <v>539.93252833924385</v>
      </c>
      <c r="P46" s="263">
        <f t="shared" si="28"/>
        <v>520.48399244306938</v>
      </c>
      <c r="Q46" s="263">
        <f t="shared" si="28"/>
        <v>533.51486019927211</v>
      </c>
      <c r="R46" s="121"/>
      <c r="S46" s="121"/>
      <c r="T46" s="121"/>
      <c r="U46" s="121"/>
      <c r="V46" s="121"/>
      <c r="W46" s="121"/>
      <c r="X46" s="121"/>
      <c r="Y46" s="121"/>
      <c r="Z46" s="121"/>
      <c r="AJ46" s="257"/>
      <c r="AK46" s="257"/>
      <c r="AL46" s="257"/>
      <c r="AM46" s="257"/>
      <c r="AN46" s="257"/>
    </row>
    <row r="47" spans="1:40" x14ac:dyDescent="0.3">
      <c r="A47" s="259"/>
      <c r="B47" s="278"/>
      <c r="C47" s="229"/>
      <c r="D47" s="256" t="s">
        <v>763</v>
      </c>
      <c r="E47" s="167">
        <f>E46-$D$46</f>
        <v>-221.63338895757079</v>
      </c>
      <c r="F47" s="167">
        <f t="shared" ref="F47:H47" si="29">F46-$D$46</f>
        <v>-407.31264191414812</v>
      </c>
      <c r="G47" s="167">
        <f t="shared" si="29"/>
        <v>-585.24296881622922</v>
      </c>
      <c r="H47" s="167">
        <f t="shared" si="29"/>
        <v>-755.84416088793569</v>
      </c>
      <c r="I47" s="167">
        <f>I46-$D$46</f>
        <v>-641.53830337738509</v>
      </c>
      <c r="J47" s="196"/>
      <c r="K47" s="196"/>
      <c r="L47" s="196"/>
      <c r="M47" s="263">
        <f>M46-$L46</f>
        <v>-25.26620634116307</v>
      </c>
      <c r="N47" s="263">
        <f t="shared" ref="N47:Q47" si="30">N46-$L46</f>
        <v>-46.433641178212952</v>
      </c>
      <c r="O47" s="263">
        <f t="shared" si="30"/>
        <v>-66.717698445050132</v>
      </c>
      <c r="P47" s="263">
        <f t="shared" si="30"/>
        <v>-86.166234341224595</v>
      </c>
      <c r="Q47" s="263">
        <f t="shared" si="30"/>
        <v>-73.13536658502187</v>
      </c>
      <c r="R47" s="121"/>
      <c r="S47" s="121"/>
      <c r="T47" s="121"/>
      <c r="U47" s="121"/>
      <c r="V47" s="121"/>
      <c r="W47" s="121"/>
      <c r="X47" s="121"/>
      <c r="Y47" s="121"/>
      <c r="Z47" s="121"/>
      <c r="AJ47" s="257"/>
      <c r="AK47" s="257"/>
      <c r="AL47" s="257"/>
      <c r="AM47" s="257"/>
      <c r="AN47" s="257"/>
    </row>
    <row r="48" spans="1:40" x14ac:dyDescent="0.3">
      <c r="A48" s="259"/>
      <c r="B48" s="259"/>
      <c r="C48" s="259"/>
      <c r="D48" s="455"/>
      <c r="E48" s="456"/>
      <c r="F48" s="456"/>
      <c r="G48" s="456"/>
      <c r="H48" s="456"/>
      <c r="I48" s="456"/>
      <c r="J48" s="196"/>
      <c r="K48" s="196"/>
      <c r="L48" s="196"/>
      <c r="M48" s="196"/>
      <c r="N48" s="196"/>
      <c r="O48" s="196"/>
      <c r="P48" s="196"/>
      <c r="Q48" s="196"/>
      <c r="R48" s="121"/>
      <c r="S48" s="121"/>
      <c r="T48" s="121"/>
      <c r="U48" s="121"/>
      <c r="V48" s="121"/>
      <c r="W48" s="121"/>
      <c r="X48" s="121"/>
      <c r="Y48" s="121"/>
      <c r="Z48" s="121"/>
      <c r="AJ48" s="257"/>
      <c r="AK48" s="257"/>
      <c r="AL48" s="257"/>
      <c r="AM48" s="257"/>
      <c r="AN48" s="257"/>
    </row>
    <row r="49" spans="1:40" x14ac:dyDescent="0.3">
      <c r="A49" s="265"/>
      <c r="B49" s="286" t="s">
        <v>764</v>
      </c>
      <c r="C49" s="266"/>
      <c r="D49" s="266"/>
      <c r="E49" s="267"/>
      <c r="F49" s="268"/>
      <c r="G49" s="269"/>
      <c r="H49" s="269"/>
      <c r="I49" s="373"/>
      <c r="J49" s="374"/>
      <c r="K49" s="265"/>
      <c r="L49" s="265"/>
      <c r="M49" s="265"/>
      <c r="N49" s="265"/>
      <c r="O49" s="265"/>
      <c r="P49" s="265"/>
      <c r="Q49" s="192"/>
      <c r="R49" s="121"/>
      <c r="S49" s="121"/>
      <c r="V49" s="121"/>
    </row>
    <row r="50" spans="1:40" x14ac:dyDescent="0.3">
      <c r="A50" s="265"/>
      <c r="B50" s="678" t="s">
        <v>766</v>
      </c>
      <c r="C50" s="339"/>
      <c r="D50" s="339"/>
      <c r="E50" s="339"/>
      <c r="F50" s="339"/>
      <c r="G50" s="339"/>
      <c r="H50" s="339"/>
      <c r="I50" s="339"/>
      <c r="J50" s="370"/>
      <c r="K50" s="192"/>
      <c r="L50" s="192"/>
      <c r="M50" s="192"/>
      <c r="N50" s="192"/>
      <c r="O50" s="192"/>
      <c r="P50" s="192"/>
      <c r="Q50" s="192"/>
      <c r="R50" s="121"/>
      <c r="S50" s="121"/>
      <c r="T50" s="121"/>
      <c r="U50" s="121"/>
      <c r="V50" s="121"/>
      <c r="W50" s="121"/>
      <c r="X50" s="121"/>
      <c r="Y50" s="121"/>
      <c r="Z50" s="121"/>
      <c r="AJ50" s="257"/>
      <c r="AK50" s="257"/>
      <c r="AL50" s="257"/>
      <c r="AM50" s="257"/>
      <c r="AN50" s="257"/>
    </row>
    <row r="51" spans="1:40" ht="43.2" x14ac:dyDescent="0.3">
      <c r="A51" s="265"/>
      <c r="B51" s="253" t="s">
        <v>711</v>
      </c>
      <c r="C51" s="152" t="s">
        <v>766</v>
      </c>
      <c r="D51" s="210" t="s">
        <v>748</v>
      </c>
      <c r="E51" s="151" t="s">
        <v>591</v>
      </c>
      <c r="F51" s="151" t="s">
        <v>592</v>
      </c>
      <c r="G51" s="151" t="s">
        <v>722</v>
      </c>
      <c r="H51" s="151" t="s">
        <v>723</v>
      </c>
      <c r="I51" s="151" t="s">
        <v>724</v>
      </c>
      <c r="J51" s="370"/>
      <c r="K51" s="448" t="s">
        <v>787</v>
      </c>
      <c r="L51" s="796" t="s">
        <v>748</v>
      </c>
      <c r="M51" s="798" t="s">
        <v>591</v>
      </c>
      <c r="N51" s="798" t="s">
        <v>592</v>
      </c>
      <c r="O51" s="366" t="s">
        <v>722</v>
      </c>
      <c r="P51" s="366" t="s">
        <v>723</v>
      </c>
      <c r="Q51" s="798" t="s">
        <v>724</v>
      </c>
      <c r="R51" s="121"/>
      <c r="S51" s="121"/>
      <c r="T51" s="121"/>
      <c r="U51" s="121"/>
      <c r="V51" s="121"/>
      <c r="W51" s="121"/>
      <c r="X51" s="121"/>
      <c r="Y51" s="121"/>
      <c r="Z51" s="121"/>
      <c r="AJ51" s="257"/>
      <c r="AK51" s="257"/>
      <c r="AL51" s="257"/>
      <c r="AM51" s="257"/>
      <c r="AN51" s="257"/>
    </row>
    <row r="52" spans="1:40" x14ac:dyDescent="0.3">
      <c r="A52" s="265"/>
      <c r="B52" s="309" t="str">
        <f>B37</f>
        <v>Benralizumab</v>
      </c>
      <c r="C52" s="809">
        <v>12</v>
      </c>
      <c r="D52" s="116">
        <f>SUM('Financial impact (cash)'!D13:D17)*$C52</f>
        <v>0</v>
      </c>
      <c r="E52" s="116">
        <f>SUM('Financial impact (cash)'!E13:E17)*$C52</f>
        <v>3220.9641021780108</v>
      </c>
      <c r="F52" s="116">
        <f>SUM('Financial impact (cash)'!F13:F17)*$C52</f>
        <v>6015.4134169595845</v>
      </c>
      <c r="G52" s="116">
        <f>SUM('Financial impact (cash)'!G13:G17)*$C52</f>
        <v>8721.8538450308661</v>
      </c>
      <c r="H52" s="116">
        <f>SUM('Financial impact (cash)'!H13:H17)*$C52</f>
        <v>11345.36664376688</v>
      </c>
      <c r="I52" s="116">
        <f>SUM('Financial impact (cash)'!I13:I17)*$C52</f>
        <v>10555.060983540532</v>
      </c>
      <c r="J52" s="370"/>
      <c r="K52" s="460">
        <f>'Unit costs'!$Q$27</f>
        <v>50</v>
      </c>
      <c r="L52" s="262">
        <f>D52*$K52/1000</f>
        <v>0</v>
      </c>
      <c r="M52" s="262">
        <f t="shared" ref="M52:Q52" si="31">E52*$K52/1000</f>
        <v>161.04820510890053</v>
      </c>
      <c r="N52" s="262">
        <f t="shared" si="31"/>
        <v>300.7706708479792</v>
      </c>
      <c r="O52" s="262">
        <f t="shared" si="31"/>
        <v>436.09269225154327</v>
      </c>
      <c r="P52" s="262">
        <f t="shared" si="31"/>
        <v>567.26833218834395</v>
      </c>
      <c r="Q52" s="262">
        <f t="shared" si="31"/>
        <v>527.75304917702658</v>
      </c>
      <c r="R52" s="121"/>
      <c r="S52" s="121"/>
      <c r="T52" s="121"/>
      <c r="U52" s="121"/>
      <c r="V52" s="121"/>
      <c r="W52" s="121"/>
      <c r="X52" s="121"/>
      <c r="Y52" s="121"/>
      <c r="Z52" s="121"/>
      <c r="AJ52" s="257"/>
      <c r="AK52" s="257"/>
      <c r="AL52" s="257"/>
      <c r="AM52" s="257"/>
      <c r="AN52" s="257"/>
    </row>
    <row r="53" spans="1:40" x14ac:dyDescent="0.3">
      <c r="A53" s="265"/>
      <c r="B53" s="251"/>
      <c r="C53" s="288"/>
      <c r="D53" s="167">
        <f t="shared" ref="D53:I53" si="32">SUM(D52:D52)</f>
        <v>0</v>
      </c>
      <c r="E53" s="167">
        <f t="shared" si="32"/>
        <v>3220.9641021780108</v>
      </c>
      <c r="F53" s="167">
        <f t="shared" si="32"/>
        <v>6015.4134169595845</v>
      </c>
      <c r="G53" s="167">
        <f t="shared" si="32"/>
        <v>8721.8538450308661</v>
      </c>
      <c r="H53" s="167">
        <f t="shared" si="32"/>
        <v>11345.36664376688</v>
      </c>
      <c r="I53" s="167">
        <f t="shared" si="32"/>
        <v>10555.060983540532</v>
      </c>
      <c r="J53" s="370"/>
      <c r="K53" s="192"/>
      <c r="L53" s="263">
        <f t="shared" ref="L53:Q53" si="33">SUM(L52:L52)</f>
        <v>0</v>
      </c>
      <c r="M53" s="263">
        <f t="shared" si="33"/>
        <v>161.04820510890053</v>
      </c>
      <c r="N53" s="263">
        <f t="shared" si="33"/>
        <v>300.7706708479792</v>
      </c>
      <c r="O53" s="263">
        <f t="shared" si="33"/>
        <v>436.09269225154327</v>
      </c>
      <c r="P53" s="263">
        <f t="shared" si="33"/>
        <v>567.26833218834395</v>
      </c>
      <c r="Q53" s="263">
        <f t="shared" si="33"/>
        <v>527.75304917702658</v>
      </c>
      <c r="R53" s="121"/>
      <c r="S53" s="121"/>
      <c r="T53" s="121"/>
      <c r="U53" s="121"/>
      <c r="V53" s="121"/>
      <c r="W53" s="121"/>
      <c r="X53" s="121"/>
      <c r="Y53" s="121"/>
      <c r="Z53" s="121"/>
      <c r="AJ53" s="257"/>
      <c r="AK53" s="257"/>
      <c r="AL53" s="257"/>
      <c r="AM53" s="257"/>
      <c r="AN53" s="257"/>
    </row>
    <row r="54" spans="1:40" x14ac:dyDescent="0.3">
      <c r="A54" s="265"/>
      <c r="B54" s="186"/>
      <c r="C54" s="186"/>
      <c r="D54" s="677" t="s">
        <v>765</v>
      </c>
      <c r="E54" s="167">
        <f>E53-$D$53</f>
        <v>3220.9641021780108</v>
      </c>
      <c r="F54" s="167">
        <f>F53-$D$53</f>
        <v>6015.4134169595845</v>
      </c>
      <c r="G54" s="167">
        <f>G53-$D$53</f>
        <v>8721.8538450308661</v>
      </c>
      <c r="H54" s="167">
        <f>H53-$D$53</f>
        <v>11345.36664376688</v>
      </c>
      <c r="I54" s="167">
        <f>I53-$D$53</f>
        <v>10555.060983540532</v>
      </c>
      <c r="J54" s="370"/>
      <c r="K54" s="192"/>
      <c r="L54" s="801"/>
      <c r="M54" s="263">
        <f>M53-$L53</f>
        <v>161.04820510890053</v>
      </c>
      <c r="N54" s="263">
        <f>N53-$L53</f>
        <v>300.7706708479792</v>
      </c>
      <c r="O54" s="263">
        <f>O53-$L53</f>
        <v>436.09269225154327</v>
      </c>
      <c r="P54" s="263">
        <f>P53-$L53</f>
        <v>567.26833218834395</v>
      </c>
      <c r="Q54" s="263">
        <f>Q53-$L53</f>
        <v>527.75304917702658</v>
      </c>
      <c r="R54" s="121"/>
      <c r="S54" s="121"/>
      <c r="T54" s="121"/>
      <c r="U54" s="121"/>
      <c r="V54" s="121"/>
      <c r="W54" s="121"/>
      <c r="X54" s="121"/>
      <c r="Y54" s="121"/>
      <c r="Z54" s="121"/>
      <c r="AJ54" s="257"/>
      <c r="AK54" s="257"/>
      <c r="AL54" s="257"/>
      <c r="AM54" s="257"/>
      <c r="AN54" s="257"/>
    </row>
    <row r="55" spans="1:40" x14ac:dyDescent="0.3">
      <c r="A55" s="265"/>
      <c r="B55" s="799"/>
      <c r="C55" s="800"/>
      <c r="D55" s="800"/>
      <c r="E55" s="800"/>
      <c r="F55" s="800"/>
      <c r="G55" s="800"/>
      <c r="H55" s="800"/>
      <c r="I55" s="800"/>
      <c r="J55" s="192"/>
      <c r="K55" s="192"/>
      <c r="L55" s="192"/>
      <c r="M55" s="192"/>
      <c r="N55" s="192"/>
      <c r="O55" s="192"/>
      <c r="P55" s="192"/>
      <c r="Q55" s="192"/>
      <c r="R55" s="121"/>
      <c r="S55" s="121"/>
      <c r="T55" s="121"/>
      <c r="U55" s="121"/>
      <c r="V55" s="121"/>
      <c r="W55" s="121"/>
      <c r="X55" s="121"/>
      <c r="Y55" s="121"/>
      <c r="Z55" s="121"/>
      <c r="AJ55" s="257"/>
      <c r="AK55" s="257"/>
      <c r="AL55" s="257"/>
      <c r="AM55" s="257"/>
      <c r="AN55" s="257"/>
    </row>
    <row r="56" spans="1:40" hidden="1" x14ac:dyDescent="0.3">
      <c r="A56" s="265"/>
      <c r="B56" s="678" t="s">
        <v>766</v>
      </c>
      <c r="C56" s="339"/>
      <c r="D56" s="339"/>
      <c r="E56" s="339"/>
      <c r="F56" s="339"/>
      <c r="G56" s="339"/>
      <c r="H56" s="339"/>
      <c r="I56" s="679"/>
      <c r="J56" s="192"/>
      <c r="K56" s="192"/>
      <c r="L56" s="192"/>
      <c r="M56" s="192"/>
      <c r="N56" s="192"/>
      <c r="O56" s="192"/>
      <c r="P56" s="192"/>
      <c r="Q56" s="192"/>
      <c r="R56" s="121"/>
      <c r="S56" s="121"/>
      <c r="T56" s="121"/>
      <c r="U56" s="121"/>
      <c r="V56" s="121"/>
      <c r="W56" s="121"/>
      <c r="X56" s="121"/>
      <c r="Y56" s="121"/>
      <c r="Z56" s="121"/>
      <c r="AJ56" s="257"/>
      <c r="AK56" s="257"/>
      <c r="AL56" s="257"/>
      <c r="AM56" s="257"/>
      <c r="AN56" s="257"/>
    </row>
    <row r="57" spans="1:40" ht="43.2" hidden="1" x14ac:dyDescent="0.3">
      <c r="A57" s="265"/>
      <c r="B57" s="250" t="s">
        <v>711</v>
      </c>
      <c r="C57" s="532" t="s">
        <v>714</v>
      </c>
      <c r="D57" s="796" t="s">
        <v>748</v>
      </c>
      <c r="E57" s="228" t="s">
        <v>591</v>
      </c>
      <c r="F57" s="228" t="s">
        <v>592</v>
      </c>
      <c r="G57" s="151" t="s">
        <v>722</v>
      </c>
      <c r="H57" s="151" t="s">
        <v>723</v>
      </c>
      <c r="I57" s="228" t="s">
        <v>724</v>
      </c>
      <c r="J57" s="370"/>
      <c r="K57" s="192"/>
      <c r="L57" s="192"/>
      <c r="M57" s="192"/>
      <c r="N57" s="192"/>
      <c r="O57" s="192"/>
      <c r="P57" s="192"/>
      <c r="Q57" s="192"/>
      <c r="R57" s="121"/>
      <c r="S57" s="121"/>
      <c r="T57" s="121"/>
      <c r="U57" s="121"/>
      <c r="V57" s="121"/>
      <c r="W57" s="121"/>
      <c r="X57" s="121"/>
      <c r="Y57" s="121"/>
      <c r="Z57" s="121"/>
      <c r="AJ57" s="257"/>
      <c r="AK57" s="257"/>
      <c r="AL57" s="257"/>
      <c r="AM57" s="257"/>
      <c r="AN57" s="257"/>
    </row>
    <row r="58" spans="1:40" hidden="1" x14ac:dyDescent="0.3">
      <c r="A58" s="265"/>
      <c r="B58" s="308" t="str">
        <f>B52</f>
        <v>Benralizumab</v>
      </c>
      <c r="C58" s="809">
        <v>1</v>
      </c>
      <c r="D58" s="116">
        <f t="shared" ref="D58:I58" si="34">$C58*D52</f>
        <v>0</v>
      </c>
      <c r="E58" s="116">
        <f t="shared" si="34"/>
        <v>3220.9641021780108</v>
      </c>
      <c r="F58" s="116">
        <f t="shared" si="34"/>
        <v>6015.4134169595845</v>
      </c>
      <c r="G58" s="116">
        <f t="shared" si="34"/>
        <v>8721.8538450308661</v>
      </c>
      <c r="H58" s="116">
        <f t="shared" si="34"/>
        <v>11345.36664376688</v>
      </c>
      <c r="I58" s="116">
        <f t="shared" si="34"/>
        <v>10555.060983540532</v>
      </c>
      <c r="J58" s="370"/>
      <c r="K58" s="192"/>
      <c r="L58" s="192"/>
      <c r="M58" s="192"/>
      <c r="N58" s="192"/>
      <c r="O58" s="192"/>
      <c r="P58" s="192"/>
      <c r="Q58" s="192"/>
      <c r="R58" s="121"/>
      <c r="S58" s="121"/>
      <c r="T58" s="121"/>
      <c r="U58" s="121"/>
      <c r="V58" s="121"/>
      <c r="W58" s="121"/>
      <c r="X58" s="121"/>
      <c r="Y58" s="121"/>
      <c r="Z58" s="121"/>
      <c r="AJ58" s="257"/>
      <c r="AK58" s="257"/>
      <c r="AL58" s="257"/>
      <c r="AM58" s="257"/>
      <c r="AN58" s="257"/>
    </row>
    <row r="59" spans="1:40" hidden="1" x14ac:dyDescent="0.3">
      <c r="A59" s="265"/>
      <c r="B59" s="308" t="e">
        <f>#REF!</f>
        <v>#REF!</v>
      </c>
      <c r="C59" s="809">
        <v>1</v>
      </c>
      <c r="D59" s="116" t="e">
        <f>$C59*#REF!</f>
        <v>#REF!</v>
      </c>
      <c r="E59" s="116" t="e">
        <f>$C59*#REF!</f>
        <v>#REF!</v>
      </c>
      <c r="F59" s="116" t="e">
        <f>$C59*#REF!</f>
        <v>#REF!</v>
      </c>
      <c r="G59" s="116" t="e">
        <f>$C59*#REF!</f>
        <v>#REF!</v>
      </c>
      <c r="H59" s="116" t="e">
        <f>$C59*#REF!</f>
        <v>#REF!</v>
      </c>
      <c r="I59" s="116" t="e">
        <f>$C59*#REF!</f>
        <v>#REF!</v>
      </c>
      <c r="J59" s="370"/>
      <c r="K59" s="192"/>
      <c r="L59" s="192"/>
      <c r="M59" s="192"/>
      <c r="N59" s="192"/>
      <c r="O59" s="192"/>
      <c r="P59" s="192"/>
      <c r="Q59" s="192"/>
      <c r="R59" s="121"/>
      <c r="S59" s="121"/>
      <c r="T59" s="121"/>
      <c r="U59" s="121"/>
      <c r="V59" s="121"/>
      <c r="W59" s="121"/>
      <c r="X59" s="121"/>
      <c r="Y59" s="121"/>
      <c r="Z59" s="121"/>
      <c r="AJ59" s="257"/>
      <c r="AK59" s="257"/>
      <c r="AL59" s="257"/>
      <c r="AM59" s="257"/>
      <c r="AN59" s="257"/>
    </row>
    <row r="60" spans="1:40" hidden="1" x14ac:dyDescent="0.3">
      <c r="A60" s="265"/>
      <c r="B60" s="308" t="e">
        <f>#REF!</f>
        <v>#REF!</v>
      </c>
      <c r="C60" s="809">
        <v>1</v>
      </c>
      <c r="D60" s="116" t="e">
        <f>$C60*#REF!</f>
        <v>#REF!</v>
      </c>
      <c r="E60" s="116" t="e">
        <f>$C60*#REF!</f>
        <v>#REF!</v>
      </c>
      <c r="F60" s="116" t="e">
        <f>$C60*#REF!</f>
        <v>#REF!</v>
      </c>
      <c r="G60" s="116" t="e">
        <f>$C60*#REF!</f>
        <v>#REF!</v>
      </c>
      <c r="H60" s="116" t="e">
        <f>$C60*#REF!</f>
        <v>#REF!</v>
      </c>
      <c r="I60" s="116" t="e">
        <f>$C60*#REF!</f>
        <v>#REF!</v>
      </c>
      <c r="J60" s="370"/>
      <c r="K60" s="192"/>
      <c r="L60" s="192"/>
      <c r="M60" s="192"/>
      <c r="N60" s="192"/>
      <c r="O60" s="192"/>
      <c r="P60" s="192"/>
      <c r="Q60" s="192"/>
      <c r="R60" s="121"/>
      <c r="S60" s="121"/>
      <c r="T60" s="121"/>
      <c r="U60" s="121"/>
      <c r="V60" s="121"/>
      <c r="W60" s="121"/>
      <c r="X60" s="121"/>
      <c r="Y60" s="121"/>
      <c r="Z60" s="121"/>
      <c r="AJ60" s="257"/>
      <c r="AK60" s="257"/>
      <c r="AL60" s="257"/>
      <c r="AM60" s="257"/>
      <c r="AN60" s="257"/>
    </row>
    <row r="61" spans="1:40" hidden="1" x14ac:dyDescent="0.3">
      <c r="A61" s="265"/>
      <c r="B61" s="251"/>
      <c r="C61" s="288"/>
      <c r="D61" s="167" t="e">
        <f>SUM(D58:D60)</f>
        <v>#REF!</v>
      </c>
      <c r="E61" s="167" t="e">
        <f>SUM(E58:E60)</f>
        <v>#REF!</v>
      </c>
      <c r="F61" s="167" t="e">
        <f t="shared" ref="F61:I61" si="35">SUM(F58:F60)</f>
        <v>#REF!</v>
      </c>
      <c r="G61" s="167" t="e">
        <f t="shared" si="35"/>
        <v>#REF!</v>
      </c>
      <c r="H61" s="167" t="e">
        <f t="shared" si="35"/>
        <v>#REF!</v>
      </c>
      <c r="I61" s="167" t="e">
        <f t="shared" si="35"/>
        <v>#REF!</v>
      </c>
      <c r="J61" s="370"/>
      <c r="K61" s="192"/>
      <c r="L61" s="192"/>
      <c r="M61" s="192"/>
      <c r="N61" s="192"/>
      <c r="O61" s="192"/>
      <c r="P61" s="192"/>
      <c r="Q61" s="192"/>
      <c r="R61" s="121"/>
      <c r="S61" s="121"/>
      <c r="T61" s="121"/>
      <c r="U61" s="121"/>
      <c r="V61" s="121"/>
      <c r="W61" s="121"/>
      <c r="X61" s="121"/>
      <c r="Y61" s="121"/>
      <c r="Z61" s="121"/>
      <c r="AJ61" s="257"/>
      <c r="AK61" s="257"/>
      <c r="AL61" s="257"/>
      <c r="AM61" s="257"/>
      <c r="AN61" s="257"/>
    </row>
    <row r="62" spans="1:40" hidden="1" x14ac:dyDescent="0.3">
      <c r="A62" s="265"/>
      <c r="B62" s="278"/>
      <c r="C62" s="229"/>
      <c r="D62" s="256" t="s">
        <v>767</v>
      </c>
      <c r="E62" s="167" t="e">
        <f>E61-D61</f>
        <v>#REF!</v>
      </c>
      <c r="F62" s="167" t="e">
        <f>F61-$D$61</f>
        <v>#REF!</v>
      </c>
      <c r="G62" s="167" t="e">
        <f t="shared" ref="G62:I62" si="36">G61-$D$61</f>
        <v>#REF!</v>
      </c>
      <c r="H62" s="167" t="e">
        <f t="shared" si="36"/>
        <v>#REF!</v>
      </c>
      <c r="I62" s="167" t="e">
        <f t="shared" si="36"/>
        <v>#REF!</v>
      </c>
      <c r="J62" s="370"/>
      <c r="K62" s="192"/>
      <c r="L62" s="192"/>
      <c r="M62" s="192"/>
      <c r="N62" s="192"/>
      <c r="O62" s="192"/>
      <c r="P62" s="192"/>
      <c r="Q62" s="192"/>
      <c r="R62" s="121"/>
      <c r="S62" s="121"/>
      <c r="T62" s="121"/>
      <c r="U62" s="121"/>
      <c r="V62" s="121"/>
      <c r="W62" s="121"/>
      <c r="X62" s="121"/>
      <c r="Y62" s="121"/>
      <c r="Z62" s="121"/>
      <c r="AJ62" s="257"/>
      <c r="AK62" s="257"/>
      <c r="AL62" s="257"/>
      <c r="AM62" s="257"/>
      <c r="AN62" s="257"/>
    </row>
    <row r="63" spans="1:40" hidden="1" x14ac:dyDescent="0.3">
      <c r="A63" s="265"/>
      <c r="B63" s="287"/>
      <c r="C63" s="271"/>
      <c r="D63" s="270"/>
      <c r="E63" s="271"/>
      <c r="F63" s="272"/>
      <c r="G63" s="265"/>
      <c r="H63" s="265"/>
      <c r="I63" s="269"/>
      <c r="J63" s="192"/>
      <c r="K63" s="192"/>
      <c r="L63" s="192"/>
      <c r="M63" s="192"/>
      <c r="N63" s="192"/>
      <c r="O63" s="192"/>
      <c r="P63" s="192"/>
      <c r="Q63" s="192"/>
      <c r="R63" s="121"/>
      <c r="S63" s="121"/>
      <c r="T63" s="121"/>
      <c r="U63" s="121"/>
      <c r="V63" s="121"/>
      <c r="W63" s="121"/>
      <c r="X63" s="121"/>
      <c r="Y63" s="121"/>
      <c r="Z63" s="121"/>
      <c r="AJ63" s="257"/>
      <c r="AK63" s="257"/>
      <c r="AL63" s="257"/>
      <c r="AM63" s="257"/>
      <c r="AN63" s="257"/>
    </row>
    <row r="64" spans="1:40" hidden="1" x14ac:dyDescent="0.3">
      <c r="A64" s="258"/>
      <c r="B64" s="289" t="s">
        <v>768</v>
      </c>
      <c r="C64" s="274"/>
      <c r="D64" s="274"/>
      <c r="E64" s="275"/>
      <c r="F64" s="276"/>
      <c r="G64" s="277"/>
      <c r="H64" s="277"/>
      <c r="I64" s="277"/>
      <c r="J64" s="375"/>
      <c r="K64" s="258"/>
      <c r="L64" s="258"/>
      <c r="M64" s="258"/>
      <c r="N64" s="258"/>
      <c r="O64" s="258"/>
      <c r="P64" s="258"/>
      <c r="Q64" s="194"/>
      <c r="R64" s="121"/>
      <c r="V64" s="121"/>
    </row>
    <row r="65" spans="1:40" hidden="1" x14ac:dyDescent="0.3">
      <c r="A65" s="258"/>
      <c r="B65" s="340" t="s">
        <v>769</v>
      </c>
      <c r="C65" s="341"/>
      <c r="D65" s="341"/>
      <c r="E65" s="341"/>
      <c r="F65" s="341"/>
      <c r="G65" s="341"/>
      <c r="H65" s="341"/>
      <c r="I65" s="193"/>
      <c r="J65" s="371"/>
      <c r="K65" s="194"/>
      <c r="L65" s="258"/>
      <c r="M65" s="258"/>
      <c r="N65" s="258"/>
      <c r="O65" s="258"/>
      <c r="P65" s="258"/>
      <c r="Q65" s="194"/>
      <c r="R65" s="121"/>
      <c r="V65" s="121"/>
    </row>
    <row r="66" spans="1:40" ht="43.2" hidden="1" x14ac:dyDescent="0.3">
      <c r="A66" s="258"/>
      <c r="B66" s="253" t="s">
        <v>711</v>
      </c>
      <c r="C66" s="358" t="s">
        <v>757</v>
      </c>
      <c r="D66" s="796" t="s">
        <v>748</v>
      </c>
      <c r="E66" s="228" t="s">
        <v>591</v>
      </c>
      <c r="F66" s="228" t="s">
        <v>592</v>
      </c>
      <c r="G66" s="151" t="s">
        <v>722</v>
      </c>
      <c r="H66" s="151" t="s">
        <v>723</v>
      </c>
      <c r="I66" s="228" t="s">
        <v>724</v>
      </c>
      <c r="J66" s="258"/>
      <c r="K66" s="258"/>
      <c r="L66" s="258"/>
      <c r="M66" s="258"/>
      <c r="N66" s="258"/>
      <c r="O66" s="258"/>
      <c r="P66" s="258"/>
      <c r="Q66" s="194"/>
      <c r="R66" s="121"/>
      <c r="V66" s="121"/>
    </row>
    <row r="67" spans="1:40" hidden="1" x14ac:dyDescent="0.3">
      <c r="A67" s="258"/>
      <c r="B67" s="310" t="str">
        <f>'Inputs and population'!C35</f>
        <v>Benralizumab</v>
      </c>
      <c r="C67" s="137">
        <f>'Capacity inputs'!F15*'Capacity inputs'!G15</f>
        <v>0</v>
      </c>
      <c r="D67" s="116">
        <f t="shared" ref="D67:I67" si="37">D58</f>
        <v>0</v>
      </c>
      <c r="E67" s="116">
        <f t="shared" si="37"/>
        <v>3220.9641021780108</v>
      </c>
      <c r="F67" s="116">
        <f t="shared" si="37"/>
        <v>6015.4134169595845</v>
      </c>
      <c r="G67" s="116">
        <f t="shared" si="37"/>
        <v>8721.8538450308661</v>
      </c>
      <c r="H67" s="116">
        <f t="shared" si="37"/>
        <v>11345.36664376688</v>
      </c>
      <c r="I67" s="116">
        <f t="shared" si="37"/>
        <v>10555.060983540532</v>
      </c>
      <c r="J67" s="258"/>
      <c r="K67" s="258"/>
      <c r="L67" s="258"/>
      <c r="M67" s="258"/>
      <c r="N67" s="258"/>
      <c r="O67" s="258"/>
      <c r="P67" s="258"/>
      <c r="Q67" s="194"/>
      <c r="R67" s="121"/>
      <c r="S67" s="121"/>
      <c r="T67" s="121"/>
      <c r="U67" s="121"/>
      <c r="V67" s="121"/>
      <c r="W67" s="121"/>
      <c r="X67" s="121"/>
      <c r="Y67" s="121"/>
      <c r="Z67" s="121"/>
      <c r="AJ67" s="257"/>
      <c r="AK67" s="257"/>
      <c r="AL67" s="257"/>
      <c r="AM67" s="257"/>
      <c r="AN67" s="257"/>
    </row>
    <row r="68" spans="1:40" hidden="1" x14ac:dyDescent="0.3">
      <c r="A68" s="258"/>
      <c r="B68" s="251" t="s">
        <v>788</v>
      </c>
      <c r="C68" s="288"/>
      <c r="D68" s="167">
        <f t="shared" ref="D68:I68" si="38">SUM(D67:D67)</f>
        <v>0</v>
      </c>
      <c r="E68" s="167">
        <f t="shared" si="38"/>
        <v>3220.9641021780108</v>
      </c>
      <c r="F68" s="167">
        <f t="shared" si="38"/>
        <v>6015.4134169595845</v>
      </c>
      <c r="G68" s="167">
        <f t="shared" si="38"/>
        <v>8721.8538450308661</v>
      </c>
      <c r="H68" s="167">
        <f t="shared" si="38"/>
        <v>11345.36664376688</v>
      </c>
      <c r="I68" s="167">
        <f t="shared" si="38"/>
        <v>10555.060983540532</v>
      </c>
      <c r="J68" s="258"/>
      <c r="K68" s="258"/>
      <c r="L68" s="258"/>
      <c r="M68" s="258"/>
      <c r="N68" s="258"/>
      <c r="O68" s="258"/>
      <c r="P68" s="258"/>
      <c r="Q68" s="194"/>
      <c r="R68" s="121"/>
      <c r="S68" s="121"/>
      <c r="T68" s="121"/>
      <c r="U68" s="121"/>
      <c r="V68" s="121"/>
      <c r="W68" s="121"/>
      <c r="X68" s="121"/>
      <c r="Y68" s="121"/>
      <c r="Z68" s="121"/>
      <c r="AJ68" s="257"/>
      <c r="AK68" s="257"/>
      <c r="AL68" s="257"/>
      <c r="AM68" s="257"/>
      <c r="AN68" s="257"/>
    </row>
    <row r="69" spans="1:40" hidden="1" x14ac:dyDescent="0.3">
      <c r="A69" s="258"/>
      <c r="B69" s="278"/>
      <c r="C69" s="229"/>
      <c r="D69" s="256" t="s">
        <v>770</v>
      </c>
      <c r="E69" s="167">
        <f>E68-$D$68</f>
        <v>3220.9641021780108</v>
      </c>
      <c r="F69" s="167">
        <f>F68-$D$68</f>
        <v>6015.4134169595845</v>
      </c>
      <c r="G69" s="167">
        <f>G68-$D$68</f>
        <v>8721.8538450308661</v>
      </c>
      <c r="H69" s="167">
        <f>H68-$D$68</f>
        <v>11345.36664376688</v>
      </c>
      <c r="I69" s="167">
        <f>I68-$D$68</f>
        <v>10555.060983540532</v>
      </c>
      <c r="J69" s="258"/>
      <c r="K69" s="258"/>
      <c r="L69" s="258"/>
      <c r="M69" s="258"/>
      <c r="N69" s="258"/>
      <c r="O69" s="258"/>
      <c r="P69" s="258"/>
      <c r="Q69" s="194"/>
      <c r="R69" s="121"/>
      <c r="S69" s="121"/>
      <c r="T69" s="121"/>
      <c r="U69" s="121"/>
      <c r="V69" s="121"/>
      <c r="W69" s="121"/>
      <c r="X69" s="121"/>
      <c r="Y69" s="121"/>
      <c r="Z69" s="121"/>
      <c r="AJ69" s="257"/>
      <c r="AK69" s="257"/>
      <c r="AL69" s="257"/>
      <c r="AM69" s="257"/>
      <c r="AN69" s="257"/>
    </row>
    <row r="70" spans="1:40" hidden="1" x14ac:dyDescent="0.3">
      <c r="A70" s="258"/>
      <c r="B70" s="290"/>
      <c r="C70" s="194"/>
      <c r="D70" s="194"/>
      <c r="E70" s="194"/>
      <c r="F70" s="194"/>
      <c r="G70" s="194"/>
      <c r="H70" s="194"/>
      <c r="I70" s="194"/>
      <c r="J70" s="194"/>
      <c r="K70" s="194"/>
      <c r="L70" s="258"/>
      <c r="M70" s="258"/>
      <c r="N70" s="258"/>
      <c r="O70" s="258"/>
      <c r="P70" s="258"/>
      <c r="Q70" s="194"/>
      <c r="R70" s="121"/>
      <c r="S70" s="121"/>
      <c r="T70" s="121"/>
      <c r="U70" s="121"/>
      <c r="V70" s="121"/>
      <c r="W70" s="121"/>
      <c r="X70" s="121"/>
      <c r="Y70" s="121"/>
      <c r="Z70" s="121"/>
      <c r="AJ70" s="257"/>
      <c r="AK70" s="257"/>
      <c r="AL70" s="257"/>
      <c r="AM70" s="257"/>
      <c r="AN70" s="257"/>
    </row>
    <row r="71" spans="1:40" hidden="1" x14ac:dyDescent="0.3">
      <c r="A71" s="258"/>
      <c r="B71" s="342" t="s">
        <v>771</v>
      </c>
      <c r="C71" s="341"/>
      <c r="D71" s="341"/>
      <c r="E71" s="341"/>
      <c r="F71" s="341"/>
      <c r="G71" s="341"/>
      <c r="H71" s="341"/>
      <c r="I71" s="193"/>
      <c r="J71" s="371"/>
      <c r="K71" s="194"/>
      <c r="L71" s="258"/>
      <c r="M71" s="258"/>
      <c r="N71" s="258"/>
      <c r="O71" s="258"/>
      <c r="P71" s="258"/>
      <c r="Q71" s="194"/>
      <c r="R71" s="121"/>
      <c r="S71" s="121"/>
      <c r="T71" s="121"/>
      <c r="U71" s="121"/>
      <c r="V71" s="121"/>
      <c r="W71" s="121"/>
      <c r="X71" s="121"/>
      <c r="Y71" s="121"/>
      <c r="Z71" s="121"/>
      <c r="AJ71" s="257"/>
      <c r="AK71" s="257"/>
      <c r="AL71" s="257"/>
      <c r="AM71" s="257"/>
      <c r="AN71" s="257"/>
    </row>
    <row r="72" spans="1:40" ht="43.2" hidden="1" x14ac:dyDescent="0.3">
      <c r="A72" s="258"/>
      <c r="B72" s="253" t="s">
        <v>711</v>
      </c>
      <c r="C72" s="358" t="s">
        <v>757</v>
      </c>
      <c r="D72" s="796" t="s">
        <v>748</v>
      </c>
      <c r="E72" s="228" t="s">
        <v>591</v>
      </c>
      <c r="F72" s="228" t="s">
        <v>592</v>
      </c>
      <c r="G72" s="151" t="s">
        <v>722</v>
      </c>
      <c r="H72" s="151" t="s">
        <v>723</v>
      </c>
      <c r="I72" s="228" t="s">
        <v>724</v>
      </c>
      <c r="J72" s="258"/>
      <c r="K72" s="258"/>
      <c r="L72" s="258"/>
      <c r="M72" s="258"/>
      <c r="N72" s="258"/>
      <c r="O72" s="258"/>
      <c r="P72" s="258"/>
      <c r="Q72" s="194"/>
      <c r="R72" s="121"/>
      <c r="S72" s="121"/>
      <c r="T72" s="121"/>
      <c r="U72" s="121"/>
      <c r="V72" s="121"/>
      <c r="W72" s="121"/>
      <c r="X72" s="121"/>
      <c r="Y72" s="121"/>
      <c r="Z72" s="121"/>
      <c r="AJ72" s="257"/>
      <c r="AK72" s="257"/>
      <c r="AL72" s="257"/>
      <c r="AM72" s="257"/>
      <c r="AN72" s="257"/>
    </row>
    <row r="73" spans="1:40" hidden="1" x14ac:dyDescent="0.3">
      <c r="A73" s="258"/>
      <c r="B73" s="310" t="str">
        <f>B67</f>
        <v>Benralizumab</v>
      </c>
      <c r="C73" s="137">
        <f>'Capacity inputs'!F16*'Capacity inputs'!G16</f>
        <v>0</v>
      </c>
      <c r="D73" s="116">
        <f t="shared" ref="D73:I73" si="39">D58</f>
        <v>0</v>
      </c>
      <c r="E73" s="116">
        <f t="shared" si="39"/>
        <v>3220.9641021780108</v>
      </c>
      <c r="F73" s="116">
        <f t="shared" si="39"/>
        <v>6015.4134169595845</v>
      </c>
      <c r="G73" s="116">
        <f t="shared" si="39"/>
        <v>8721.8538450308661</v>
      </c>
      <c r="H73" s="116">
        <f t="shared" si="39"/>
        <v>11345.36664376688</v>
      </c>
      <c r="I73" s="116">
        <f t="shared" si="39"/>
        <v>10555.060983540532</v>
      </c>
      <c r="J73" s="258"/>
      <c r="K73" s="258"/>
      <c r="L73" s="258"/>
      <c r="M73" s="258"/>
      <c r="N73" s="258"/>
      <c r="O73" s="258"/>
      <c r="P73" s="258"/>
      <c r="Q73" s="194"/>
      <c r="R73" s="121"/>
      <c r="S73" s="121"/>
      <c r="T73" s="121"/>
      <c r="U73" s="121"/>
      <c r="V73" s="121"/>
      <c r="W73" s="121"/>
      <c r="X73" s="121"/>
      <c r="Y73" s="121"/>
      <c r="Z73" s="121"/>
      <c r="AJ73" s="257"/>
      <c r="AK73" s="257"/>
      <c r="AL73" s="257"/>
      <c r="AM73" s="257"/>
      <c r="AN73" s="257"/>
    </row>
    <row r="74" spans="1:40" hidden="1" x14ac:dyDescent="0.3">
      <c r="A74" s="258"/>
      <c r="B74" s="251"/>
      <c r="C74" s="288"/>
      <c r="D74" s="167">
        <f t="shared" ref="D74:I74" si="40">SUM(D73:D73)</f>
        <v>0</v>
      </c>
      <c r="E74" s="167">
        <f t="shared" si="40"/>
        <v>3220.9641021780108</v>
      </c>
      <c r="F74" s="167">
        <f t="shared" si="40"/>
        <v>6015.4134169595845</v>
      </c>
      <c r="G74" s="167">
        <f t="shared" si="40"/>
        <v>8721.8538450308661</v>
      </c>
      <c r="H74" s="167">
        <f t="shared" si="40"/>
        <v>11345.36664376688</v>
      </c>
      <c r="I74" s="167">
        <f t="shared" si="40"/>
        <v>10555.060983540532</v>
      </c>
      <c r="J74" s="258"/>
      <c r="K74" s="258"/>
      <c r="L74" s="258"/>
      <c r="M74" s="258"/>
      <c r="N74" s="258"/>
      <c r="O74" s="258"/>
      <c r="P74" s="258"/>
      <c r="Q74" s="194"/>
      <c r="R74" s="121"/>
      <c r="S74" s="121"/>
      <c r="T74" s="121"/>
      <c r="U74" s="121"/>
      <c r="V74" s="121"/>
      <c r="W74" s="121"/>
      <c r="X74" s="121"/>
      <c r="Y74" s="121"/>
      <c r="Z74" s="121"/>
      <c r="AJ74" s="257"/>
      <c r="AK74" s="257"/>
      <c r="AL74" s="257"/>
      <c r="AM74" s="257"/>
      <c r="AN74" s="257"/>
    </row>
    <row r="75" spans="1:40" hidden="1" x14ac:dyDescent="0.3">
      <c r="A75" s="258"/>
      <c r="B75" s="254"/>
      <c r="C75" s="254"/>
      <c r="D75" s="256" t="s">
        <v>772</v>
      </c>
      <c r="E75" s="167">
        <f>E74-$D$74</f>
        <v>3220.9641021780108</v>
      </c>
      <c r="F75" s="167">
        <f>F74-$D$74</f>
        <v>6015.4134169595845</v>
      </c>
      <c r="G75" s="167">
        <f>G74-$D$74</f>
        <v>8721.8538450308661</v>
      </c>
      <c r="H75" s="167">
        <f>H74-$D$74</f>
        <v>11345.36664376688</v>
      </c>
      <c r="I75" s="167">
        <f>I74-$D$74</f>
        <v>10555.060983540532</v>
      </c>
      <c r="J75" s="258"/>
      <c r="K75" s="258"/>
      <c r="L75" s="258"/>
      <c r="M75" s="258"/>
      <c r="N75" s="258"/>
      <c r="O75" s="258"/>
      <c r="P75" s="258"/>
      <c r="Q75" s="194"/>
      <c r="R75" s="121"/>
      <c r="S75" s="121"/>
      <c r="T75" s="121"/>
      <c r="U75" s="121"/>
      <c r="V75" s="121"/>
      <c r="W75" s="121"/>
      <c r="X75" s="121"/>
      <c r="Y75" s="121"/>
      <c r="Z75" s="121"/>
      <c r="AJ75" s="257"/>
      <c r="AK75" s="257"/>
      <c r="AL75" s="257"/>
      <c r="AM75" s="257"/>
      <c r="AN75" s="257"/>
    </row>
    <row r="76" spans="1:40" hidden="1" x14ac:dyDescent="0.3">
      <c r="A76" s="258"/>
      <c r="B76" s="290"/>
      <c r="C76" s="194"/>
      <c r="D76" s="194"/>
      <c r="E76" s="194"/>
      <c r="F76" s="194"/>
      <c r="G76" s="194"/>
      <c r="H76" s="194"/>
      <c r="I76" s="194"/>
      <c r="J76" s="194"/>
      <c r="K76" s="194"/>
      <c r="L76" s="258"/>
      <c r="M76" s="258"/>
      <c r="N76" s="258"/>
      <c r="O76" s="258"/>
      <c r="P76" s="258"/>
      <c r="Q76" s="194"/>
      <c r="R76" s="121"/>
      <c r="S76" s="121"/>
      <c r="T76" s="121"/>
      <c r="U76" s="121"/>
      <c r="V76" s="121"/>
      <c r="W76" s="121"/>
      <c r="X76" s="121"/>
      <c r="Y76" s="121"/>
      <c r="Z76" s="121"/>
      <c r="AJ76" s="257"/>
      <c r="AK76" s="257"/>
      <c r="AL76" s="257"/>
      <c r="AM76" s="257"/>
      <c r="AN76" s="257"/>
    </row>
    <row r="77" spans="1:40" hidden="1" x14ac:dyDescent="0.3">
      <c r="A77" s="258"/>
      <c r="B77" s="342" t="s">
        <v>773</v>
      </c>
      <c r="C77" s="341"/>
      <c r="D77" s="341"/>
      <c r="E77" s="341"/>
      <c r="F77" s="341"/>
      <c r="G77" s="341"/>
      <c r="H77" s="341"/>
      <c r="I77" s="193"/>
      <c r="J77" s="371"/>
      <c r="K77" s="194"/>
      <c r="L77" s="258"/>
      <c r="M77" s="258"/>
      <c r="N77" s="258"/>
      <c r="O77" s="258"/>
      <c r="P77" s="258"/>
      <c r="Q77" s="194"/>
      <c r="R77" s="121"/>
      <c r="V77" s="121"/>
      <c r="AJ77" s="257"/>
      <c r="AK77" s="257"/>
      <c r="AL77" s="257"/>
      <c r="AM77" s="257"/>
      <c r="AN77" s="257"/>
    </row>
    <row r="78" spans="1:40" ht="43.2" hidden="1" x14ac:dyDescent="0.3">
      <c r="A78" s="258"/>
      <c r="B78" s="253" t="s">
        <v>711</v>
      </c>
      <c r="C78" s="358" t="s">
        <v>757</v>
      </c>
      <c r="D78" s="796" t="s">
        <v>748</v>
      </c>
      <c r="E78" s="228" t="s">
        <v>591</v>
      </c>
      <c r="F78" s="228" t="s">
        <v>592</v>
      </c>
      <c r="G78" s="151" t="s">
        <v>722</v>
      </c>
      <c r="H78" s="151" t="s">
        <v>723</v>
      </c>
      <c r="I78" s="228" t="s">
        <v>724</v>
      </c>
      <c r="J78" s="258"/>
      <c r="K78" s="258"/>
      <c r="L78" s="258"/>
      <c r="M78" s="258"/>
      <c r="N78" s="258"/>
      <c r="O78" s="258"/>
      <c r="P78" s="258"/>
      <c r="Q78" s="194"/>
      <c r="R78" s="121"/>
      <c r="V78" s="121"/>
      <c r="AJ78" s="257"/>
      <c r="AK78" s="257"/>
      <c r="AL78" s="257"/>
      <c r="AM78" s="257"/>
      <c r="AN78" s="257"/>
    </row>
    <row r="79" spans="1:40" hidden="1" x14ac:dyDescent="0.3">
      <c r="A79" s="258"/>
      <c r="B79" s="310" t="str">
        <f>B67</f>
        <v>Benralizumab</v>
      </c>
      <c r="C79" s="137">
        <f>'Capacity inputs'!F17*'Capacity inputs'!G17</f>
        <v>0</v>
      </c>
      <c r="D79" s="116">
        <f t="shared" ref="D79:I79" si="41">D58</f>
        <v>0</v>
      </c>
      <c r="E79" s="116">
        <f t="shared" si="41"/>
        <v>3220.9641021780108</v>
      </c>
      <c r="F79" s="116">
        <f t="shared" si="41"/>
        <v>6015.4134169595845</v>
      </c>
      <c r="G79" s="116">
        <f t="shared" si="41"/>
        <v>8721.8538450308661</v>
      </c>
      <c r="H79" s="116">
        <f t="shared" si="41"/>
        <v>11345.36664376688</v>
      </c>
      <c r="I79" s="116">
        <f t="shared" si="41"/>
        <v>10555.060983540532</v>
      </c>
      <c r="J79" s="258"/>
      <c r="K79" s="258"/>
      <c r="L79" s="258"/>
      <c r="M79" s="258"/>
      <c r="N79" s="258"/>
      <c r="O79" s="258"/>
      <c r="P79" s="258"/>
      <c r="Q79" s="194"/>
      <c r="R79" s="121"/>
      <c r="V79" s="121"/>
      <c r="AJ79" s="257"/>
      <c r="AK79" s="257"/>
      <c r="AL79" s="257"/>
      <c r="AM79" s="257"/>
      <c r="AN79" s="257"/>
    </row>
    <row r="80" spans="1:40" hidden="1" x14ac:dyDescent="0.3">
      <c r="A80" s="258"/>
      <c r="B80" s="251"/>
      <c r="C80" s="288"/>
      <c r="D80" s="167">
        <f t="shared" ref="D80:I80" si="42">SUM(D79:D79)</f>
        <v>0</v>
      </c>
      <c r="E80" s="167">
        <f t="shared" si="42"/>
        <v>3220.9641021780108</v>
      </c>
      <c r="F80" s="167">
        <f t="shared" si="42"/>
        <v>6015.4134169595845</v>
      </c>
      <c r="G80" s="167">
        <f t="shared" si="42"/>
        <v>8721.8538450308661</v>
      </c>
      <c r="H80" s="167">
        <f t="shared" si="42"/>
        <v>11345.36664376688</v>
      </c>
      <c r="I80" s="167">
        <f t="shared" si="42"/>
        <v>10555.060983540532</v>
      </c>
      <c r="J80" s="258"/>
      <c r="K80" s="258"/>
      <c r="L80" s="258"/>
      <c r="M80" s="258"/>
      <c r="N80" s="258"/>
      <c r="O80" s="258"/>
      <c r="P80" s="258"/>
      <c r="Q80" s="194"/>
      <c r="R80" s="121"/>
      <c r="S80" s="121"/>
      <c r="T80" s="121"/>
      <c r="U80" s="121"/>
      <c r="V80" s="121"/>
      <c r="W80" s="121"/>
      <c r="X80" s="121"/>
      <c r="Y80" s="121"/>
      <c r="Z80" s="121"/>
      <c r="AJ80" s="257"/>
      <c r="AK80" s="257"/>
      <c r="AL80" s="257"/>
      <c r="AM80" s="257"/>
      <c r="AN80" s="257"/>
    </row>
    <row r="81" spans="1:40" hidden="1" x14ac:dyDescent="0.3">
      <c r="A81" s="258"/>
      <c r="B81" s="278"/>
      <c r="C81" s="254"/>
      <c r="D81" s="256" t="s">
        <v>774</v>
      </c>
      <c r="E81" s="167">
        <f>E80-$D$80</f>
        <v>3220.9641021780108</v>
      </c>
      <c r="F81" s="167">
        <f>F80-$D$80</f>
        <v>6015.4134169595845</v>
      </c>
      <c r="G81" s="167">
        <f>G80-$D$80</f>
        <v>8721.8538450308661</v>
      </c>
      <c r="H81" s="167">
        <f>H80-$D$80</f>
        <v>11345.36664376688</v>
      </c>
      <c r="I81" s="167">
        <f>I80-$D$80</f>
        <v>10555.060983540532</v>
      </c>
      <c r="J81" s="258"/>
      <c r="K81" s="258"/>
      <c r="L81" s="258"/>
      <c r="M81" s="258"/>
      <c r="N81" s="258"/>
      <c r="O81" s="258"/>
      <c r="P81" s="258"/>
      <c r="Q81" s="194"/>
      <c r="R81" s="121"/>
      <c r="S81" s="121"/>
      <c r="T81" s="121"/>
      <c r="U81" s="121"/>
      <c r="V81" s="121"/>
      <c r="W81" s="121"/>
      <c r="X81" s="121"/>
      <c r="Y81" s="121"/>
      <c r="Z81" s="121"/>
      <c r="AJ81" s="257"/>
      <c r="AK81" s="257"/>
      <c r="AL81" s="257"/>
      <c r="AM81" s="257"/>
      <c r="AN81" s="257"/>
    </row>
    <row r="82" spans="1:40" hidden="1" x14ac:dyDescent="0.3">
      <c r="A82" s="258"/>
      <c r="B82" s="290"/>
      <c r="C82" s="194"/>
      <c r="D82" s="194"/>
      <c r="E82" s="194"/>
      <c r="F82" s="194"/>
      <c r="G82" s="194"/>
      <c r="H82" s="194"/>
      <c r="I82" s="194"/>
      <c r="J82" s="258"/>
      <c r="K82" s="258"/>
      <c r="L82" s="258"/>
      <c r="M82" s="258"/>
      <c r="N82" s="258"/>
      <c r="O82" s="258"/>
      <c r="P82" s="258"/>
      <c r="Q82" s="194"/>
      <c r="R82" s="121"/>
      <c r="S82" s="121"/>
      <c r="T82" s="121"/>
      <c r="U82" s="121"/>
      <c r="V82" s="121"/>
      <c r="W82" s="121"/>
      <c r="X82" s="121"/>
      <c r="Y82" s="121"/>
      <c r="Z82" s="121"/>
      <c r="AJ82" s="257"/>
      <c r="AK82" s="257"/>
      <c r="AL82" s="257"/>
      <c r="AM82" s="257"/>
      <c r="AN82" s="257"/>
    </row>
    <row r="83" spans="1:40" hidden="1" x14ac:dyDescent="0.3">
      <c r="A83" s="542"/>
      <c r="B83" s="548" t="s">
        <v>775</v>
      </c>
      <c r="C83" s="543"/>
      <c r="D83" s="544"/>
      <c r="E83" s="543"/>
      <c r="F83" s="545"/>
      <c r="G83" s="546"/>
      <c r="H83" s="546"/>
      <c r="I83" s="547"/>
      <c r="J83" s="542"/>
      <c r="K83" s="542"/>
      <c r="L83" s="542"/>
      <c r="M83" s="542"/>
      <c r="N83" s="542"/>
      <c r="O83" s="542"/>
      <c r="P83" s="260"/>
      <c r="Q83" s="260"/>
      <c r="R83" s="121"/>
      <c r="S83" s="121"/>
      <c r="T83" s="121"/>
      <c r="U83" s="121"/>
      <c r="V83" s="121"/>
      <c r="W83" s="121"/>
      <c r="X83" s="121"/>
      <c r="Y83" s="121"/>
      <c r="Z83" s="121"/>
      <c r="AJ83" s="257"/>
      <c r="AK83" s="257"/>
      <c r="AL83" s="257"/>
      <c r="AM83" s="257"/>
      <c r="AN83" s="257"/>
    </row>
    <row r="84" spans="1:40" hidden="1" x14ac:dyDescent="0.3">
      <c r="A84" s="260"/>
      <c r="B84" s="343" t="s">
        <v>776</v>
      </c>
      <c r="C84" s="344"/>
      <c r="D84" s="344"/>
      <c r="E84" s="344"/>
      <c r="F84" s="344"/>
      <c r="G84" s="344"/>
      <c r="H84" s="344"/>
      <c r="I84" s="197"/>
      <c r="J84" s="260"/>
      <c r="K84" s="260"/>
      <c r="L84" s="198"/>
      <c r="M84" s="198"/>
      <c r="N84" s="260"/>
      <c r="O84" s="198"/>
      <c r="P84" s="198"/>
      <c r="Q84" s="198"/>
      <c r="R84" s="121"/>
      <c r="V84" s="121"/>
    </row>
    <row r="85" spans="1:40" ht="43.2" hidden="1" x14ac:dyDescent="0.3">
      <c r="A85" s="260"/>
      <c r="B85" s="250" t="s">
        <v>711</v>
      </c>
      <c r="C85" s="358" t="s">
        <v>757</v>
      </c>
      <c r="D85" s="796" t="s">
        <v>748</v>
      </c>
      <c r="E85" s="228" t="s">
        <v>591</v>
      </c>
      <c r="F85" s="228" t="s">
        <v>592</v>
      </c>
      <c r="G85" s="151" t="s">
        <v>722</v>
      </c>
      <c r="H85" s="151" t="s">
        <v>723</v>
      </c>
      <c r="I85" s="228" t="s">
        <v>724</v>
      </c>
      <c r="J85" s="260"/>
      <c r="K85" s="260"/>
      <c r="L85" s="198"/>
      <c r="M85" s="198"/>
      <c r="N85" s="260"/>
      <c r="O85" s="198"/>
      <c r="P85" s="198"/>
      <c r="Q85" s="198"/>
      <c r="R85" s="121"/>
      <c r="V85" s="121"/>
    </row>
    <row r="86" spans="1:40" hidden="1" x14ac:dyDescent="0.3">
      <c r="A86" s="260"/>
      <c r="B86" s="310" t="str">
        <f>'Capacity inputs'!G12</f>
        <v>Benralizumab</v>
      </c>
      <c r="C86" s="137">
        <f>'Capacity inputs'!F18</f>
        <v>0</v>
      </c>
      <c r="D86" s="116">
        <f>D58*'Capacity inputs'!$G18</f>
        <v>0</v>
      </c>
      <c r="E86" s="116">
        <f>E58*'Capacity inputs'!$G18</f>
        <v>0</v>
      </c>
      <c r="F86" s="116">
        <f>F58*'Capacity inputs'!$G18</f>
        <v>0</v>
      </c>
      <c r="G86" s="116">
        <f>G58*'Capacity inputs'!$G18</f>
        <v>0</v>
      </c>
      <c r="H86" s="116">
        <f>H58*'Capacity inputs'!$G18</f>
        <v>0</v>
      </c>
      <c r="I86" s="116">
        <f>I58*'Capacity inputs'!$G18</f>
        <v>0</v>
      </c>
      <c r="J86" s="260"/>
      <c r="K86" s="260"/>
      <c r="L86" s="198"/>
      <c r="M86" s="198"/>
      <c r="N86" s="260"/>
      <c r="O86" s="198"/>
      <c r="P86" s="198"/>
      <c r="Q86" s="198"/>
      <c r="R86" s="121"/>
      <c r="V86" s="121"/>
    </row>
    <row r="87" spans="1:40" hidden="1" x14ac:dyDescent="0.3">
      <c r="A87" s="260"/>
      <c r="B87" s="251"/>
      <c r="C87" s="187"/>
      <c r="D87" s="167">
        <f t="shared" ref="D87:I87" si="43">SUM(D86:D86)</f>
        <v>0</v>
      </c>
      <c r="E87" s="167">
        <f t="shared" si="43"/>
        <v>0</v>
      </c>
      <c r="F87" s="167">
        <f t="shared" si="43"/>
        <v>0</v>
      </c>
      <c r="G87" s="167">
        <f t="shared" si="43"/>
        <v>0</v>
      </c>
      <c r="H87" s="167">
        <f t="shared" si="43"/>
        <v>0</v>
      </c>
      <c r="I87" s="167">
        <f t="shared" si="43"/>
        <v>0</v>
      </c>
      <c r="J87" s="260"/>
      <c r="K87" s="260"/>
      <c r="L87" s="198"/>
      <c r="M87" s="198"/>
      <c r="N87" s="260"/>
      <c r="O87" s="198"/>
      <c r="P87" s="198"/>
      <c r="Q87" s="198"/>
      <c r="R87" s="121"/>
      <c r="V87" s="121"/>
    </row>
    <row r="88" spans="1:40" hidden="1" x14ac:dyDescent="0.3">
      <c r="A88" s="260"/>
      <c r="B88" s="278"/>
      <c r="C88" s="201"/>
      <c r="D88" s="256" t="s">
        <v>777</v>
      </c>
      <c r="E88" s="167">
        <f>E87-$D$87</f>
        <v>0</v>
      </c>
      <c r="F88" s="167">
        <f>F87-$D$87</f>
        <v>0</v>
      </c>
      <c r="G88" s="167">
        <f>G87-$D$87</f>
        <v>0</v>
      </c>
      <c r="H88" s="167">
        <f>H87-$D$87</f>
        <v>0</v>
      </c>
      <c r="I88" s="167">
        <f>I87-$D$87</f>
        <v>0</v>
      </c>
      <c r="J88" s="260"/>
      <c r="K88" s="260"/>
      <c r="L88" s="198"/>
      <c r="M88" s="198"/>
      <c r="N88" s="260"/>
      <c r="O88" s="198"/>
      <c r="P88" s="198"/>
      <c r="Q88" s="198"/>
      <c r="R88" s="121"/>
      <c r="V88" s="121"/>
    </row>
    <row r="89" spans="1:40" hidden="1" x14ac:dyDescent="0.3">
      <c r="A89" s="260"/>
      <c r="B89" s="291"/>
      <c r="C89" s="344"/>
      <c r="D89" s="198"/>
      <c r="E89" s="198"/>
      <c r="F89" s="198"/>
      <c r="G89" s="198"/>
      <c r="H89" s="198"/>
      <c r="I89" s="198"/>
      <c r="J89" s="198"/>
      <c r="K89" s="198"/>
      <c r="L89" s="198"/>
      <c r="M89" s="198"/>
      <c r="N89" s="260"/>
      <c r="O89" s="198"/>
      <c r="P89" s="198"/>
      <c r="Q89" s="198"/>
      <c r="R89" s="121"/>
      <c r="S89" s="121"/>
      <c r="T89" s="121"/>
      <c r="U89" s="121"/>
      <c r="V89" s="121"/>
      <c r="W89" s="121"/>
      <c r="X89" s="121"/>
      <c r="Y89" s="121"/>
      <c r="Z89" s="121"/>
      <c r="AJ89" s="257"/>
      <c r="AK89" s="257"/>
      <c r="AL89" s="257"/>
      <c r="AM89" s="257"/>
      <c r="AN89" s="257"/>
    </row>
    <row r="90" spans="1:40" hidden="1" x14ac:dyDescent="0.3">
      <c r="A90" s="294"/>
      <c r="B90" s="295" t="s">
        <v>778</v>
      </c>
      <c r="C90" s="296"/>
      <c r="D90" s="296"/>
      <c r="E90" s="297"/>
      <c r="F90" s="298"/>
      <c r="G90" s="299"/>
      <c r="H90" s="299"/>
      <c r="I90" s="337"/>
      <c r="J90" s="294"/>
      <c r="K90" s="294"/>
      <c r="L90" s="294"/>
      <c r="M90" s="294"/>
      <c r="N90" s="294"/>
      <c r="O90" s="294"/>
      <c r="P90" s="294"/>
      <c r="Q90" s="355"/>
      <c r="R90" s="121"/>
      <c r="S90" s="121"/>
      <c r="T90" s="121"/>
      <c r="U90" s="121"/>
      <c r="V90" s="121"/>
      <c r="W90" s="121"/>
      <c r="X90" s="121"/>
      <c r="Y90" s="121"/>
      <c r="Z90" s="121"/>
      <c r="AJ90" s="257"/>
      <c r="AK90" s="257"/>
      <c r="AL90" s="257"/>
      <c r="AM90" s="257"/>
      <c r="AN90" s="257"/>
    </row>
    <row r="91" spans="1:40" hidden="1" x14ac:dyDescent="0.3">
      <c r="A91" s="294"/>
      <c r="B91" s="347" t="s">
        <v>779</v>
      </c>
      <c r="C91" s="348"/>
      <c r="D91" s="348"/>
      <c r="E91" s="348"/>
      <c r="F91" s="348"/>
      <c r="G91" s="348"/>
      <c r="H91" s="348"/>
      <c r="I91" s="300"/>
      <c r="J91" s="355"/>
      <c r="K91" s="355"/>
      <c r="L91" s="376"/>
      <c r="M91" s="376"/>
      <c r="N91" s="376"/>
      <c r="O91" s="376"/>
      <c r="P91" s="376"/>
      <c r="Q91" s="376"/>
      <c r="R91" s="121"/>
      <c r="S91" s="121"/>
      <c r="T91" s="121"/>
      <c r="U91" s="121"/>
      <c r="V91" s="121"/>
      <c r="W91" s="121"/>
      <c r="X91" s="121"/>
      <c r="Y91" s="121"/>
      <c r="Z91" s="121"/>
      <c r="AJ91" s="257"/>
      <c r="AK91" s="257"/>
      <c r="AL91" s="257"/>
      <c r="AM91" s="257"/>
      <c r="AN91" s="257"/>
    </row>
    <row r="92" spans="1:40" ht="43.2" hidden="1" x14ac:dyDescent="0.3">
      <c r="A92" s="294"/>
      <c r="B92" s="250" t="s">
        <v>711</v>
      </c>
      <c r="C92" s="152" t="s">
        <v>760</v>
      </c>
      <c r="D92" s="796" t="s">
        <v>748</v>
      </c>
      <c r="E92" s="228" t="s">
        <v>591</v>
      </c>
      <c r="F92" s="228" t="s">
        <v>592</v>
      </c>
      <c r="G92" s="151" t="s">
        <v>722</v>
      </c>
      <c r="H92" s="151" t="s">
        <v>723</v>
      </c>
      <c r="I92" s="228" t="s">
        <v>724</v>
      </c>
      <c r="J92" s="294"/>
      <c r="K92" s="448" t="s">
        <v>787</v>
      </c>
      <c r="L92" s="796" t="s">
        <v>748</v>
      </c>
      <c r="M92" s="228" t="s">
        <v>591</v>
      </c>
      <c r="N92" s="228" t="s">
        <v>592</v>
      </c>
      <c r="O92" s="151" t="s">
        <v>722</v>
      </c>
      <c r="P92" s="151" t="s">
        <v>723</v>
      </c>
      <c r="Q92" s="228" t="s">
        <v>724</v>
      </c>
      <c r="R92" s="121"/>
      <c r="S92" s="121"/>
      <c r="T92" s="121"/>
      <c r="U92" s="121"/>
      <c r="V92" s="121"/>
      <c r="W92" s="121"/>
      <c r="X92" s="121"/>
      <c r="Y92" s="121"/>
      <c r="Z92" s="121"/>
      <c r="AJ92" s="257"/>
      <c r="AK92" s="257"/>
      <c r="AL92" s="257"/>
      <c r="AM92" s="257"/>
      <c r="AN92" s="257"/>
    </row>
    <row r="93" spans="1:40" hidden="1" x14ac:dyDescent="0.3">
      <c r="A93" s="294"/>
      <c r="B93" s="310" t="str">
        <f>'Capacity inputs'!G12</f>
        <v>Benralizumab</v>
      </c>
      <c r="C93" s="137">
        <f>'Capacity inputs'!G19</f>
        <v>0</v>
      </c>
      <c r="D93" s="116">
        <f>$C93*'Financial impact (cash)'!D13</f>
        <v>0</v>
      </c>
      <c r="E93" s="116">
        <f>$C93*'Financial impact (cash)'!E13</f>
        <v>0</v>
      </c>
      <c r="F93" s="116">
        <f>$C93*'Financial impact (cash)'!F13</f>
        <v>0</v>
      </c>
      <c r="G93" s="116">
        <f>$C93*'Financial impact (cash)'!G13</f>
        <v>0</v>
      </c>
      <c r="H93" s="116">
        <f>$C93*'Financial impact (cash)'!H13</f>
        <v>0</v>
      </c>
      <c r="I93" s="116">
        <f>$C93*'Financial impact (cash)'!I13</f>
        <v>0</v>
      </c>
      <c r="J93" s="294"/>
      <c r="K93" s="262">
        <f>'Unit costs'!N49</f>
        <v>0</v>
      </c>
      <c r="L93" s="262">
        <f>D93*$K93/1000</f>
        <v>0</v>
      </c>
      <c r="M93" s="262">
        <f t="shared" ref="M93:Q93" si="44">E93*$K93/1000</f>
        <v>0</v>
      </c>
      <c r="N93" s="262">
        <f t="shared" si="44"/>
        <v>0</v>
      </c>
      <c r="O93" s="262">
        <f t="shared" si="44"/>
        <v>0</v>
      </c>
      <c r="P93" s="262">
        <f t="shared" si="44"/>
        <v>0</v>
      </c>
      <c r="Q93" s="262">
        <f t="shared" si="44"/>
        <v>0</v>
      </c>
      <c r="R93" s="121"/>
      <c r="S93" s="121"/>
      <c r="T93" s="121"/>
      <c r="U93" s="121"/>
      <c r="V93" s="121"/>
      <c r="W93" s="121"/>
      <c r="X93" s="121"/>
      <c r="Y93" s="121"/>
      <c r="Z93" s="121"/>
      <c r="AJ93" s="257"/>
      <c r="AK93" s="257"/>
      <c r="AL93" s="257"/>
      <c r="AM93" s="257"/>
      <c r="AN93" s="257"/>
    </row>
    <row r="94" spans="1:40" hidden="1" x14ac:dyDescent="0.3">
      <c r="A94" s="294"/>
      <c r="B94" s="251"/>
      <c r="C94" s="187"/>
      <c r="D94" s="167">
        <f t="shared" ref="D94:I94" si="45">SUM(D93:D93)</f>
        <v>0</v>
      </c>
      <c r="E94" s="167">
        <f t="shared" si="45"/>
        <v>0</v>
      </c>
      <c r="F94" s="167">
        <f t="shared" si="45"/>
        <v>0</v>
      </c>
      <c r="G94" s="167">
        <f t="shared" si="45"/>
        <v>0</v>
      </c>
      <c r="H94" s="167">
        <f t="shared" si="45"/>
        <v>0</v>
      </c>
      <c r="I94" s="167">
        <f t="shared" si="45"/>
        <v>0</v>
      </c>
      <c r="J94" s="294"/>
      <c r="K94" s="802"/>
      <c r="L94" s="263">
        <f t="shared" ref="L94:Q94" si="46">SUM(L93:L93)</f>
        <v>0</v>
      </c>
      <c r="M94" s="263">
        <f t="shared" si="46"/>
        <v>0</v>
      </c>
      <c r="N94" s="263">
        <f t="shared" si="46"/>
        <v>0</v>
      </c>
      <c r="O94" s="263">
        <f t="shared" si="46"/>
        <v>0</v>
      </c>
      <c r="P94" s="263">
        <f t="shared" si="46"/>
        <v>0</v>
      </c>
      <c r="Q94" s="263">
        <f t="shared" si="46"/>
        <v>0</v>
      </c>
      <c r="R94" s="121"/>
      <c r="S94" s="121"/>
      <c r="T94" s="121"/>
      <c r="U94" s="121"/>
      <c r="V94" s="121"/>
      <c r="W94" s="121"/>
      <c r="X94" s="121"/>
      <c r="Y94" s="121"/>
      <c r="Z94" s="121"/>
      <c r="AJ94" s="257"/>
      <c r="AK94" s="257"/>
      <c r="AL94" s="257"/>
      <c r="AM94" s="257"/>
      <c r="AN94" s="257"/>
    </row>
    <row r="95" spans="1:40" hidden="1" x14ac:dyDescent="0.3">
      <c r="A95" s="294"/>
      <c r="B95" s="278"/>
      <c r="C95" s="229"/>
      <c r="D95" s="256" t="s">
        <v>780</v>
      </c>
      <c r="E95" s="167">
        <f>E94-$D$94</f>
        <v>0</v>
      </c>
      <c r="F95" s="167">
        <f>F94-$D$94</f>
        <v>0</v>
      </c>
      <c r="G95" s="167">
        <f>G94-$D$94</f>
        <v>0</v>
      </c>
      <c r="H95" s="167">
        <f>H94-$D$94</f>
        <v>0</v>
      </c>
      <c r="I95" s="167">
        <f>I94-$D$94</f>
        <v>0</v>
      </c>
      <c r="J95" s="294"/>
      <c r="K95" s="294"/>
      <c r="L95" s="803"/>
      <c r="M95" s="263">
        <f>M94-$L$94</f>
        <v>0</v>
      </c>
      <c r="N95" s="263">
        <f t="shared" ref="N95:Q95" si="47">N94-$L$94</f>
        <v>0</v>
      </c>
      <c r="O95" s="263">
        <f t="shared" si="47"/>
        <v>0</v>
      </c>
      <c r="P95" s="263">
        <f t="shared" si="47"/>
        <v>0</v>
      </c>
      <c r="Q95" s="263">
        <f t="shared" si="47"/>
        <v>0</v>
      </c>
      <c r="R95" s="121"/>
      <c r="V95" s="121"/>
    </row>
    <row r="96" spans="1:40" hidden="1" x14ac:dyDescent="0.3">
      <c r="A96" s="294"/>
      <c r="B96" s="294"/>
      <c r="C96" s="294"/>
      <c r="D96" s="294"/>
      <c r="E96" s="294"/>
      <c r="F96" s="294"/>
      <c r="G96" s="294"/>
      <c r="H96" s="294"/>
      <c r="I96" s="294"/>
      <c r="J96" s="294"/>
      <c r="K96" s="294"/>
      <c r="L96" s="294"/>
      <c r="M96" s="294"/>
      <c r="N96" s="294"/>
      <c r="O96" s="294"/>
      <c r="P96" s="294"/>
      <c r="Q96" s="294"/>
      <c r="R96" s="121"/>
      <c r="V96" s="121"/>
    </row>
    <row r="97" spans="1:40" hidden="1" x14ac:dyDescent="0.3">
      <c r="A97" s="261"/>
      <c r="B97" s="292" t="s">
        <v>781</v>
      </c>
      <c r="C97" s="280"/>
      <c r="D97" s="281"/>
      <c r="E97" s="282"/>
      <c r="F97" s="283"/>
      <c r="G97" s="283"/>
      <c r="H97" s="283"/>
      <c r="I97" s="377"/>
      <c r="J97" s="261"/>
      <c r="K97" s="261"/>
      <c r="L97" s="261"/>
      <c r="M97" s="261"/>
      <c r="N97" s="261"/>
      <c r="O97" s="261"/>
      <c r="P97" s="261"/>
      <c r="Q97" s="200"/>
      <c r="R97" s="121"/>
      <c r="S97" s="121"/>
      <c r="T97" s="121"/>
      <c r="U97" s="121"/>
      <c r="V97" s="121"/>
      <c r="W97" s="121"/>
      <c r="X97" s="121"/>
      <c r="Y97" s="121"/>
      <c r="Z97" s="121"/>
      <c r="AJ97" s="257"/>
      <c r="AK97" s="257"/>
      <c r="AL97" s="257"/>
      <c r="AM97" s="257"/>
      <c r="AN97" s="257"/>
    </row>
    <row r="98" spans="1:40" hidden="1" x14ac:dyDescent="0.3">
      <c r="A98" s="261"/>
      <c r="B98" s="349" t="s">
        <v>782</v>
      </c>
      <c r="C98" s="350"/>
      <c r="D98" s="350"/>
      <c r="E98" s="350"/>
      <c r="F98" s="350"/>
      <c r="G98" s="350"/>
      <c r="H98" s="350"/>
      <c r="I98" s="199"/>
      <c r="J98" s="200"/>
      <c r="K98" s="200"/>
      <c r="L98" s="372"/>
      <c r="M98" s="372"/>
      <c r="N98" s="372"/>
      <c r="O98" s="372"/>
      <c r="P98" s="372"/>
      <c r="Q98" s="372"/>
      <c r="R98" s="121"/>
      <c r="S98" s="121"/>
      <c r="T98" s="121"/>
      <c r="U98" s="121"/>
      <c r="V98" s="121"/>
      <c r="W98" s="121"/>
      <c r="X98" s="121"/>
      <c r="Y98" s="121"/>
      <c r="Z98" s="121"/>
      <c r="AJ98" s="257"/>
      <c r="AK98" s="257"/>
      <c r="AL98" s="257"/>
      <c r="AM98" s="257"/>
      <c r="AN98" s="257"/>
    </row>
    <row r="99" spans="1:40" ht="43.2" hidden="1" x14ac:dyDescent="0.3">
      <c r="A99" s="261"/>
      <c r="B99" s="250" t="s">
        <v>711</v>
      </c>
      <c r="C99" s="152" t="s">
        <v>760</v>
      </c>
      <c r="D99" s="796" t="s">
        <v>748</v>
      </c>
      <c r="E99" s="228" t="s">
        <v>591</v>
      </c>
      <c r="F99" s="228" t="s">
        <v>592</v>
      </c>
      <c r="G99" s="151" t="s">
        <v>722</v>
      </c>
      <c r="H99" s="151" t="s">
        <v>723</v>
      </c>
      <c r="I99" s="228" t="s">
        <v>724</v>
      </c>
      <c r="J99" s="261"/>
      <c r="K99" s="448" t="s">
        <v>787</v>
      </c>
      <c r="L99" s="796" t="s">
        <v>748</v>
      </c>
      <c r="M99" s="228" t="s">
        <v>591</v>
      </c>
      <c r="N99" s="228" t="s">
        <v>592</v>
      </c>
      <c r="O99" s="151" t="s">
        <v>722</v>
      </c>
      <c r="P99" s="151" t="s">
        <v>723</v>
      </c>
      <c r="Q99" s="228" t="s">
        <v>724</v>
      </c>
      <c r="R99" s="121"/>
      <c r="S99" s="121"/>
      <c r="T99" s="121"/>
      <c r="U99" s="121"/>
      <c r="V99" s="121"/>
      <c r="W99" s="121"/>
      <c r="X99" s="121"/>
      <c r="Y99" s="121"/>
      <c r="Z99" s="121"/>
      <c r="AJ99" s="257"/>
      <c r="AK99" s="257"/>
      <c r="AL99" s="257"/>
      <c r="AM99" s="257"/>
      <c r="AN99" s="257"/>
    </row>
    <row r="100" spans="1:40" hidden="1" x14ac:dyDescent="0.3">
      <c r="A100" s="261"/>
      <c r="B100" s="310" t="s">
        <v>2165</v>
      </c>
      <c r="C100" s="137">
        <f>'Capacity inputs'!G20</f>
        <v>0</v>
      </c>
      <c r="D100" s="116">
        <f>$C100*'Financial impact (cash)'!D13</f>
        <v>0</v>
      </c>
      <c r="E100" s="116">
        <f>$C100*'Financial impact (cash)'!E13</f>
        <v>0</v>
      </c>
      <c r="F100" s="116">
        <f>$C100*'Financial impact (cash)'!F13</f>
        <v>0</v>
      </c>
      <c r="G100" s="116">
        <f>$C100*'Financial impact (cash)'!G13</f>
        <v>0</v>
      </c>
      <c r="H100" s="116">
        <f>$C100*'Financial impact (cash)'!H13</f>
        <v>0</v>
      </c>
      <c r="I100" s="116">
        <f>$C100*'Financial impact (cash)'!I13</f>
        <v>0</v>
      </c>
      <c r="J100" s="261"/>
      <c r="K100" s="262">
        <f>'Unit costs'!N55</f>
        <v>0</v>
      </c>
      <c r="L100" s="262">
        <f>$K100*D100/1000</f>
        <v>0</v>
      </c>
      <c r="M100" s="262">
        <f t="shared" ref="M100:Q101" si="48">$K100*E100/1000</f>
        <v>0</v>
      </c>
      <c r="N100" s="262">
        <f t="shared" si="48"/>
        <v>0</v>
      </c>
      <c r="O100" s="262">
        <f t="shared" si="48"/>
        <v>0</v>
      </c>
      <c r="P100" s="262">
        <f t="shared" si="48"/>
        <v>0</v>
      </c>
      <c r="Q100" s="262">
        <f t="shared" si="48"/>
        <v>0</v>
      </c>
      <c r="R100" s="121"/>
      <c r="S100" s="121"/>
      <c r="T100" s="121"/>
      <c r="U100" s="121"/>
      <c r="V100" s="121"/>
      <c r="W100" s="121"/>
      <c r="X100" s="121"/>
      <c r="Y100" s="121"/>
      <c r="Z100" s="121"/>
      <c r="AJ100" s="257"/>
      <c r="AK100" s="257"/>
      <c r="AL100" s="257"/>
      <c r="AM100" s="257"/>
      <c r="AN100" s="257"/>
    </row>
    <row r="101" spans="1:40" hidden="1" x14ac:dyDescent="0.3">
      <c r="A101" s="261"/>
      <c r="B101" s="310" t="s">
        <v>2154</v>
      </c>
      <c r="C101" s="137">
        <f>'Capacity inputs'!H20</f>
        <v>0</v>
      </c>
      <c r="D101" s="116" t="e">
        <f>$C101*'Financial impact (cash)'!#REF!</f>
        <v>#REF!</v>
      </c>
      <c r="E101" s="116" t="e">
        <f>$C101*'Financial impact (cash)'!#REF!</f>
        <v>#REF!</v>
      </c>
      <c r="F101" s="116" t="e">
        <f>$C101*'Financial impact (cash)'!#REF!</f>
        <v>#REF!</v>
      </c>
      <c r="G101" s="116" t="e">
        <f>$C101*'Financial impact (cash)'!#REF!</f>
        <v>#REF!</v>
      </c>
      <c r="H101" s="116" t="e">
        <f>$C101*'Financial impact (cash)'!#REF!</f>
        <v>#REF!</v>
      </c>
      <c r="I101" s="116" t="e">
        <f>$C101*'Financial impact (cash)'!#REF!</f>
        <v>#REF!</v>
      </c>
      <c r="J101" s="261"/>
      <c r="K101" s="262">
        <f>K100</f>
        <v>0</v>
      </c>
      <c r="L101" s="262" t="e">
        <f t="shared" ref="L101" si="49">$K101*D101/1000</f>
        <v>#REF!</v>
      </c>
      <c r="M101" s="262" t="e">
        <f t="shared" si="48"/>
        <v>#REF!</v>
      </c>
      <c r="N101" s="262" t="e">
        <f t="shared" si="48"/>
        <v>#REF!</v>
      </c>
      <c r="O101" s="262" t="e">
        <f t="shared" si="48"/>
        <v>#REF!</v>
      </c>
      <c r="P101" s="262" t="e">
        <f t="shared" si="48"/>
        <v>#REF!</v>
      </c>
      <c r="Q101" s="262" t="e">
        <f t="shared" si="48"/>
        <v>#REF!</v>
      </c>
      <c r="R101" s="121"/>
      <c r="S101" s="121"/>
      <c r="T101" s="121"/>
      <c r="U101" s="121"/>
      <c r="V101" s="121"/>
      <c r="W101" s="121"/>
      <c r="X101" s="121"/>
      <c r="Y101" s="121"/>
      <c r="Z101" s="121"/>
      <c r="AJ101" s="257"/>
      <c r="AK101" s="257"/>
      <c r="AL101" s="257"/>
      <c r="AM101" s="257"/>
      <c r="AN101" s="257"/>
    </row>
    <row r="102" spans="1:40" hidden="1" x14ac:dyDescent="0.3">
      <c r="A102" s="261"/>
      <c r="B102" s="251"/>
      <c r="C102" s="187"/>
      <c r="D102" s="167" t="e">
        <f t="shared" ref="D102:I102" si="50">SUM(D100:D101)</f>
        <v>#REF!</v>
      </c>
      <c r="E102" s="167" t="e">
        <f t="shared" si="50"/>
        <v>#REF!</v>
      </c>
      <c r="F102" s="167" t="e">
        <f t="shared" si="50"/>
        <v>#REF!</v>
      </c>
      <c r="G102" s="167" t="e">
        <f t="shared" si="50"/>
        <v>#REF!</v>
      </c>
      <c r="H102" s="167" t="e">
        <f t="shared" si="50"/>
        <v>#REF!</v>
      </c>
      <c r="I102" s="167" t="e">
        <f t="shared" si="50"/>
        <v>#REF!</v>
      </c>
      <c r="J102" s="261"/>
      <c r="K102" s="804"/>
      <c r="L102" s="263" t="e">
        <f t="shared" ref="L102:Q102" si="51">SUM(L100:L101)</f>
        <v>#REF!</v>
      </c>
      <c r="M102" s="263" t="e">
        <f t="shared" si="51"/>
        <v>#REF!</v>
      </c>
      <c r="N102" s="263" t="e">
        <f t="shared" si="51"/>
        <v>#REF!</v>
      </c>
      <c r="O102" s="263" t="e">
        <f t="shared" si="51"/>
        <v>#REF!</v>
      </c>
      <c r="P102" s="263" t="e">
        <f t="shared" si="51"/>
        <v>#REF!</v>
      </c>
      <c r="Q102" s="263" t="e">
        <f t="shared" si="51"/>
        <v>#REF!</v>
      </c>
      <c r="R102" s="121"/>
      <c r="S102" s="121"/>
      <c r="T102" s="121"/>
      <c r="U102" s="121"/>
      <c r="V102" s="121"/>
      <c r="W102" s="121"/>
      <c r="X102" s="121"/>
      <c r="Y102" s="121"/>
      <c r="Z102" s="121"/>
      <c r="AJ102" s="257"/>
      <c r="AK102" s="257"/>
      <c r="AL102" s="257"/>
      <c r="AM102" s="257"/>
      <c r="AN102" s="257"/>
    </row>
    <row r="103" spans="1:40" hidden="1" x14ac:dyDescent="0.3">
      <c r="A103" s="261"/>
      <c r="B103" s="278"/>
      <c r="C103" s="229"/>
      <c r="D103" s="256" t="s">
        <v>783</v>
      </c>
      <c r="E103" s="167" t="e">
        <f>E102-$D$102</f>
        <v>#REF!</v>
      </c>
      <c r="F103" s="167" t="e">
        <f>F102-$D$102</f>
        <v>#REF!</v>
      </c>
      <c r="G103" s="167" t="e">
        <f>G102-$D$102</f>
        <v>#REF!</v>
      </c>
      <c r="H103" s="167" t="e">
        <f>H102-$D$102</f>
        <v>#REF!</v>
      </c>
      <c r="I103" s="167" t="e">
        <f>I102-$D$102</f>
        <v>#REF!</v>
      </c>
      <c r="J103" s="261"/>
      <c r="K103" s="261"/>
      <c r="L103" s="805"/>
      <c r="M103" s="263" t="e">
        <f>M102-$L$102</f>
        <v>#REF!</v>
      </c>
      <c r="N103" s="263" t="e">
        <f t="shared" ref="N103:Q103" si="52">N102-$L$102</f>
        <v>#REF!</v>
      </c>
      <c r="O103" s="263" t="e">
        <f t="shared" si="52"/>
        <v>#REF!</v>
      </c>
      <c r="P103" s="263" t="e">
        <f t="shared" si="52"/>
        <v>#REF!</v>
      </c>
      <c r="Q103" s="263" t="e">
        <f t="shared" si="52"/>
        <v>#REF!</v>
      </c>
      <c r="R103" s="121"/>
      <c r="V103" s="121"/>
    </row>
    <row r="104" spans="1:40" hidden="1" x14ac:dyDescent="0.3">
      <c r="A104" s="261"/>
      <c r="B104" s="293"/>
      <c r="C104" s="200"/>
      <c r="D104" s="200"/>
      <c r="E104" s="200"/>
      <c r="F104" s="200"/>
      <c r="G104" s="200"/>
      <c r="H104" s="200"/>
      <c r="I104" s="200"/>
      <c r="J104" s="261"/>
      <c r="K104" s="261"/>
      <c r="L104" s="200"/>
      <c r="M104" s="200"/>
      <c r="N104" s="200"/>
      <c r="O104" s="200"/>
      <c r="P104" s="200"/>
      <c r="Q104" s="200"/>
      <c r="R104" s="121"/>
      <c r="V104" s="121"/>
    </row>
    <row r="105" spans="1:40" hidden="1" x14ac:dyDescent="0.3">
      <c r="A105" s="261"/>
      <c r="B105" s="349" t="s">
        <v>2162</v>
      </c>
      <c r="C105" s="350"/>
      <c r="D105" s="350"/>
      <c r="E105" s="350"/>
      <c r="F105" s="350"/>
      <c r="G105" s="350"/>
      <c r="H105" s="350"/>
      <c r="I105" s="199"/>
      <c r="J105" s="261"/>
      <c r="K105" s="261"/>
      <c r="L105" s="200"/>
      <c r="M105" s="200"/>
      <c r="N105" s="200"/>
      <c r="O105" s="200"/>
      <c r="P105" s="200"/>
      <c r="Q105" s="200"/>
      <c r="R105" s="121"/>
      <c r="S105" s="121"/>
      <c r="T105" s="121"/>
      <c r="U105" s="121"/>
      <c r="V105" s="121"/>
      <c r="W105" s="121"/>
      <c r="X105" s="121"/>
      <c r="Y105" s="121"/>
      <c r="Z105" s="121"/>
      <c r="AJ105" s="257"/>
      <c r="AK105" s="257"/>
      <c r="AL105" s="257"/>
      <c r="AM105" s="257"/>
      <c r="AN105" s="257"/>
    </row>
    <row r="106" spans="1:40" ht="43.2" hidden="1" x14ac:dyDescent="0.3">
      <c r="A106" s="261"/>
      <c r="B106" s="250" t="s">
        <v>711</v>
      </c>
      <c r="C106" s="152" t="s">
        <v>760</v>
      </c>
      <c r="D106" s="796" t="s">
        <v>748</v>
      </c>
      <c r="E106" s="228" t="s">
        <v>591</v>
      </c>
      <c r="F106" s="228" t="s">
        <v>592</v>
      </c>
      <c r="G106" s="151" t="s">
        <v>722</v>
      </c>
      <c r="H106" s="151" t="s">
        <v>723</v>
      </c>
      <c r="I106" s="228" t="s">
        <v>724</v>
      </c>
      <c r="J106" s="261"/>
      <c r="K106" s="261"/>
      <c r="L106" s="200"/>
      <c r="M106" s="200"/>
      <c r="N106" s="200"/>
      <c r="O106" s="200"/>
      <c r="P106" s="200"/>
      <c r="Q106" s="200"/>
      <c r="R106" s="121"/>
      <c r="S106" s="121"/>
      <c r="T106" s="121"/>
      <c r="U106" s="121"/>
      <c r="V106" s="121"/>
      <c r="W106" s="121"/>
      <c r="X106" s="121"/>
      <c r="Y106" s="121"/>
      <c r="Z106" s="121"/>
      <c r="AJ106" s="257"/>
      <c r="AK106" s="257"/>
      <c r="AL106" s="257"/>
      <c r="AM106" s="257"/>
      <c r="AN106" s="257"/>
    </row>
    <row r="107" spans="1:40" hidden="1" x14ac:dyDescent="0.3">
      <c r="A107" s="261"/>
      <c r="B107" s="310" t="str">
        <f>B37</f>
        <v>Benralizumab</v>
      </c>
      <c r="C107" s="137"/>
      <c r="D107" s="116"/>
      <c r="E107" s="116"/>
      <c r="F107" s="116"/>
      <c r="G107" s="116"/>
      <c r="H107" s="116"/>
      <c r="I107" s="116"/>
      <c r="J107" s="261"/>
      <c r="K107" s="261"/>
      <c r="L107" s="200"/>
      <c r="M107" s="200"/>
      <c r="N107" s="200"/>
      <c r="O107" s="200"/>
      <c r="P107" s="200"/>
      <c r="Q107" s="200"/>
      <c r="R107" s="121"/>
      <c r="S107" s="121"/>
      <c r="T107" s="121"/>
      <c r="U107" s="121"/>
      <c r="V107" s="121"/>
      <c r="W107" s="121"/>
      <c r="X107" s="121"/>
      <c r="Y107" s="121"/>
      <c r="Z107" s="121"/>
      <c r="AJ107" s="257"/>
      <c r="AK107" s="257"/>
      <c r="AL107" s="257"/>
      <c r="AM107" s="257"/>
      <c r="AN107" s="257"/>
    </row>
    <row r="108" spans="1:40" hidden="1" x14ac:dyDescent="0.3">
      <c r="A108" s="261"/>
      <c r="B108" s="310" t="e">
        <f>#REF!</f>
        <v>#REF!</v>
      </c>
      <c r="C108" s="137"/>
      <c r="D108" s="116"/>
      <c r="E108" s="116"/>
      <c r="F108" s="116"/>
      <c r="G108" s="116"/>
      <c r="H108" s="116"/>
      <c r="I108" s="116"/>
      <c r="J108" s="261"/>
      <c r="K108" s="261"/>
      <c r="L108" s="200"/>
      <c r="M108" s="200"/>
      <c r="N108" s="200"/>
      <c r="O108" s="200"/>
      <c r="P108" s="200"/>
      <c r="Q108" s="200"/>
      <c r="R108" s="121"/>
      <c r="S108" s="121"/>
      <c r="T108" s="121"/>
      <c r="U108" s="121"/>
      <c r="V108" s="121"/>
      <c r="W108" s="121"/>
      <c r="X108" s="121"/>
      <c r="Y108" s="121"/>
      <c r="Z108" s="121"/>
      <c r="AJ108" s="257"/>
      <c r="AK108" s="257"/>
      <c r="AL108" s="257"/>
      <c r="AM108" s="257"/>
      <c r="AN108" s="257"/>
    </row>
    <row r="109" spans="1:40" hidden="1" x14ac:dyDescent="0.3">
      <c r="A109" s="261"/>
      <c r="B109" s="310" t="e">
        <f>#REF!</f>
        <v>#REF!</v>
      </c>
      <c r="C109" s="137"/>
      <c r="D109" s="116"/>
      <c r="E109" s="116"/>
      <c r="F109" s="116"/>
      <c r="G109" s="116"/>
      <c r="H109" s="116"/>
      <c r="I109" s="116"/>
      <c r="J109" s="261"/>
      <c r="K109" s="261"/>
      <c r="L109" s="200"/>
      <c r="M109" s="200"/>
      <c r="N109" s="200"/>
      <c r="O109" s="200"/>
      <c r="P109" s="200"/>
      <c r="Q109" s="200"/>
      <c r="R109" s="121"/>
      <c r="S109" s="121"/>
      <c r="T109" s="121"/>
      <c r="U109" s="121"/>
      <c r="V109" s="121"/>
      <c r="W109" s="121"/>
      <c r="X109" s="121"/>
      <c r="Y109" s="121"/>
      <c r="Z109" s="121"/>
      <c r="AJ109" s="257"/>
      <c r="AK109" s="257"/>
      <c r="AL109" s="257"/>
      <c r="AM109" s="257"/>
      <c r="AN109" s="257"/>
    </row>
    <row r="110" spans="1:40" hidden="1" x14ac:dyDescent="0.3">
      <c r="A110" s="261"/>
      <c r="B110" s="310" t="str">
        <f>'Capacity inputs'!H12</f>
        <v>Standard of care</v>
      </c>
      <c r="C110" s="137"/>
      <c r="D110" s="116"/>
      <c r="E110" s="116"/>
      <c r="F110" s="116"/>
      <c r="G110" s="116"/>
      <c r="H110" s="116"/>
      <c r="I110" s="116"/>
      <c r="J110" s="261"/>
      <c r="K110" s="261"/>
      <c r="L110" s="200"/>
      <c r="M110" s="200"/>
      <c r="N110" s="200"/>
      <c r="O110" s="200"/>
      <c r="P110" s="200"/>
      <c r="Q110" s="200"/>
      <c r="R110" s="121"/>
      <c r="S110" s="121"/>
      <c r="T110" s="121"/>
      <c r="U110" s="121"/>
      <c r="V110" s="121"/>
      <c r="W110" s="121"/>
      <c r="X110" s="121"/>
      <c r="Y110" s="121"/>
      <c r="Z110" s="121"/>
      <c r="AJ110" s="257"/>
      <c r="AK110" s="257"/>
      <c r="AL110" s="257"/>
      <c r="AM110" s="257"/>
      <c r="AN110" s="257"/>
    </row>
    <row r="111" spans="1:40" hidden="1" x14ac:dyDescent="0.3">
      <c r="A111" s="261"/>
      <c r="B111" s="251"/>
      <c r="C111" s="187"/>
      <c r="D111" s="167">
        <f>SUM(D107:D110)</f>
        <v>0</v>
      </c>
      <c r="E111" s="167">
        <f t="shared" ref="E111:I111" si="53">SUM(E107:E110)</f>
        <v>0</v>
      </c>
      <c r="F111" s="167">
        <f t="shared" si="53"/>
        <v>0</v>
      </c>
      <c r="G111" s="167">
        <f t="shared" si="53"/>
        <v>0</v>
      </c>
      <c r="H111" s="167">
        <f t="shared" si="53"/>
        <v>0</v>
      </c>
      <c r="I111" s="167">
        <f t="shared" si="53"/>
        <v>0</v>
      </c>
      <c r="J111" s="261"/>
      <c r="K111" s="261"/>
      <c r="L111" s="200"/>
      <c r="M111" s="200"/>
      <c r="N111" s="200"/>
      <c r="O111" s="200"/>
      <c r="P111" s="200"/>
      <c r="Q111" s="200"/>
      <c r="R111" s="121"/>
      <c r="S111" s="121"/>
      <c r="T111" s="121"/>
      <c r="U111" s="121"/>
      <c r="V111" s="121"/>
      <c r="W111" s="121"/>
      <c r="X111" s="121"/>
      <c r="Y111" s="121"/>
      <c r="Z111" s="121"/>
      <c r="AJ111" s="257"/>
      <c r="AK111" s="257"/>
      <c r="AL111" s="257"/>
      <c r="AM111" s="257"/>
      <c r="AN111" s="257"/>
    </row>
    <row r="112" spans="1:40" hidden="1" x14ac:dyDescent="0.3">
      <c r="A112" s="261"/>
      <c r="B112" s="278"/>
      <c r="C112" s="229"/>
      <c r="D112" s="256" t="s">
        <v>2163</v>
      </c>
      <c r="E112" s="167">
        <f>E111-$D$111</f>
        <v>0</v>
      </c>
      <c r="F112" s="167">
        <f>F111-$D$111</f>
        <v>0</v>
      </c>
      <c r="G112" s="167">
        <f>G111-$D$111</f>
        <v>0</v>
      </c>
      <c r="H112" s="167">
        <f>H111-$D$111</f>
        <v>0</v>
      </c>
      <c r="I112" s="167">
        <f>I111-$D$111</f>
        <v>0</v>
      </c>
      <c r="J112" s="261"/>
      <c r="K112" s="261"/>
      <c r="L112" s="200"/>
      <c r="M112" s="200"/>
      <c r="N112" s="200"/>
      <c r="O112" s="200"/>
      <c r="P112" s="200"/>
      <c r="Q112" s="200"/>
      <c r="R112" s="121"/>
      <c r="V112" s="121"/>
    </row>
    <row r="113" spans="1:40" hidden="1" x14ac:dyDescent="0.3">
      <c r="A113" s="261"/>
      <c r="B113" s="293"/>
      <c r="C113" s="200"/>
      <c r="D113" s="200"/>
      <c r="E113" s="200"/>
      <c r="F113" s="200"/>
      <c r="G113" s="200"/>
      <c r="H113" s="200"/>
      <c r="I113" s="200"/>
      <c r="J113" s="200"/>
      <c r="K113" s="200"/>
      <c r="L113" s="200"/>
      <c r="M113" s="200"/>
      <c r="N113" s="200"/>
      <c r="O113" s="200"/>
      <c r="P113" s="200"/>
      <c r="Q113" s="200"/>
      <c r="R113" s="121"/>
      <c r="V113" s="121"/>
    </row>
    <row r="114" spans="1:40" hidden="1" x14ac:dyDescent="0.3">
      <c r="A114" s="261"/>
      <c r="B114" s="349" t="s">
        <v>675</v>
      </c>
      <c r="C114" s="350"/>
      <c r="D114" s="350"/>
      <c r="E114" s="350"/>
      <c r="F114" s="350"/>
      <c r="G114" s="350"/>
      <c r="H114" s="350"/>
      <c r="I114" s="199"/>
      <c r="J114" s="200"/>
      <c r="K114" s="200"/>
      <c r="L114" s="200"/>
      <c r="M114" s="200"/>
      <c r="N114" s="200"/>
      <c r="O114" s="200"/>
      <c r="P114" s="200"/>
      <c r="Q114" s="200"/>
      <c r="R114" s="121"/>
      <c r="S114" s="121"/>
      <c r="T114" s="121"/>
      <c r="U114" s="121"/>
      <c r="V114" s="121"/>
      <c r="W114" s="121"/>
      <c r="X114" s="121"/>
      <c r="Y114" s="121"/>
      <c r="Z114" s="121"/>
      <c r="AJ114" s="257"/>
      <c r="AK114" s="257"/>
      <c r="AL114" s="257"/>
      <c r="AM114" s="257"/>
      <c r="AN114" s="257"/>
    </row>
    <row r="115" spans="1:40" ht="43.2" hidden="1" x14ac:dyDescent="0.3">
      <c r="A115" s="261"/>
      <c r="B115" s="250" t="s">
        <v>711</v>
      </c>
      <c r="C115" s="152" t="s">
        <v>760</v>
      </c>
      <c r="D115" s="796" t="s">
        <v>748</v>
      </c>
      <c r="E115" s="228" t="s">
        <v>591</v>
      </c>
      <c r="F115" s="228" t="s">
        <v>592</v>
      </c>
      <c r="G115" s="151" t="s">
        <v>722</v>
      </c>
      <c r="H115" s="151" t="s">
        <v>723</v>
      </c>
      <c r="I115" s="228" t="s">
        <v>724</v>
      </c>
      <c r="J115" s="261"/>
      <c r="K115" s="261"/>
      <c r="L115" s="200"/>
      <c r="M115" s="200"/>
      <c r="N115" s="200"/>
      <c r="O115" s="200"/>
      <c r="P115" s="200"/>
      <c r="Q115" s="200"/>
      <c r="R115" s="121"/>
      <c r="S115" s="121"/>
      <c r="T115" s="121"/>
      <c r="U115" s="121"/>
      <c r="V115" s="121"/>
      <c r="W115" s="121"/>
      <c r="X115" s="121"/>
      <c r="Y115" s="121"/>
      <c r="Z115" s="121"/>
      <c r="AJ115" s="257"/>
      <c r="AK115" s="257"/>
      <c r="AL115" s="257"/>
      <c r="AM115" s="257"/>
      <c r="AN115" s="257"/>
    </row>
    <row r="116" spans="1:40" hidden="1" x14ac:dyDescent="0.3">
      <c r="A116" s="261"/>
      <c r="B116" s="310" t="str">
        <f>'Capacity inputs'!G12</f>
        <v>Benralizumab</v>
      </c>
      <c r="C116" s="137">
        <f>'Capacity inputs'!G22</f>
        <v>0</v>
      </c>
      <c r="D116" s="116">
        <f>'Financial impact (cash)'!D13*'Capacity (national prices)'!$C116</f>
        <v>0</v>
      </c>
      <c r="E116" s="116">
        <f>'Financial impact (cash)'!E13*'Capacity (national prices)'!$C116</f>
        <v>0</v>
      </c>
      <c r="F116" s="116">
        <f>'Financial impact (cash)'!F13*'Capacity (national prices)'!$C116</f>
        <v>0</v>
      </c>
      <c r="G116" s="116">
        <f>'Financial impact (cash)'!G13*'Capacity (national prices)'!$C116</f>
        <v>0</v>
      </c>
      <c r="H116" s="116">
        <f>'Financial impact (cash)'!H13*'Capacity (national prices)'!$C116</f>
        <v>0</v>
      </c>
      <c r="I116" s="116">
        <f>'Financial impact (cash)'!I13*'Capacity (national prices)'!$C116</f>
        <v>0</v>
      </c>
      <c r="J116" s="261"/>
      <c r="K116" s="261"/>
      <c r="L116" s="200"/>
      <c r="M116" s="200"/>
      <c r="N116" s="200"/>
      <c r="O116" s="200"/>
      <c r="P116" s="200"/>
      <c r="Q116" s="200"/>
      <c r="R116" s="121"/>
      <c r="S116" s="121"/>
      <c r="T116" s="121"/>
      <c r="U116" s="121"/>
      <c r="V116" s="121"/>
      <c r="W116" s="121"/>
      <c r="X116" s="121"/>
      <c r="Y116" s="121"/>
      <c r="Z116" s="121"/>
      <c r="AJ116" s="257"/>
      <c r="AK116" s="257"/>
      <c r="AL116" s="257"/>
      <c r="AM116" s="257"/>
      <c r="AN116" s="257"/>
    </row>
    <row r="117" spans="1:40" hidden="1" x14ac:dyDescent="0.3">
      <c r="A117" s="261"/>
      <c r="B117" s="310" t="str">
        <f>'Capacity inputs'!H12</f>
        <v>Standard of care</v>
      </c>
      <c r="C117" s="137">
        <f>'Capacity inputs'!H22</f>
        <v>0</v>
      </c>
      <c r="D117" s="116" t="e">
        <f>'Financial impact (cash)'!#REF!*'Capacity (national prices)'!$C117</f>
        <v>#REF!</v>
      </c>
      <c r="E117" s="116" t="e">
        <f>'Financial impact (cash)'!#REF!*'Capacity (national prices)'!$C117</f>
        <v>#REF!</v>
      </c>
      <c r="F117" s="116" t="e">
        <f>'Financial impact (cash)'!#REF!*'Capacity (national prices)'!$C117</f>
        <v>#REF!</v>
      </c>
      <c r="G117" s="116" t="e">
        <f>'Financial impact (cash)'!#REF!*'Capacity (national prices)'!$C117</f>
        <v>#REF!</v>
      </c>
      <c r="H117" s="116" t="e">
        <f>'Financial impact (cash)'!#REF!*'Capacity (national prices)'!$C117</f>
        <v>#REF!</v>
      </c>
      <c r="I117" s="116" t="e">
        <f>'Financial impact (cash)'!#REF!*'Capacity (national prices)'!$C117</f>
        <v>#REF!</v>
      </c>
      <c r="J117" s="261"/>
      <c r="K117" s="261"/>
      <c r="L117" s="200"/>
      <c r="M117" s="200"/>
      <c r="N117" s="200"/>
      <c r="O117" s="200"/>
      <c r="P117" s="200"/>
      <c r="Q117" s="200"/>
      <c r="R117" s="121"/>
      <c r="S117" s="121"/>
      <c r="T117" s="121"/>
      <c r="U117" s="121"/>
      <c r="V117" s="121"/>
      <c r="W117" s="121"/>
      <c r="X117" s="121"/>
      <c r="Y117" s="121"/>
      <c r="Z117" s="121"/>
      <c r="AJ117" s="257"/>
      <c r="AK117" s="257"/>
      <c r="AL117" s="257"/>
      <c r="AM117" s="257"/>
      <c r="AN117" s="257"/>
    </row>
    <row r="118" spans="1:40" hidden="1" x14ac:dyDescent="0.3">
      <c r="A118" s="261"/>
      <c r="B118" s="251"/>
      <c r="C118" s="187"/>
      <c r="D118" s="167" t="e">
        <f t="shared" ref="D118:I118" si="54">SUM(D116:D117)</f>
        <v>#REF!</v>
      </c>
      <c r="E118" s="167" t="e">
        <f t="shared" si="54"/>
        <v>#REF!</v>
      </c>
      <c r="F118" s="167" t="e">
        <f t="shared" si="54"/>
        <v>#REF!</v>
      </c>
      <c r="G118" s="167" t="e">
        <f t="shared" si="54"/>
        <v>#REF!</v>
      </c>
      <c r="H118" s="167" t="e">
        <f t="shared" si="54"/>
        <v>#REF!</v>
      </c>
      <c r="I118" s="167" t="e">
        <f t="shared" si="54"/>
        <v>#REF!</v>
      </c>
      <c r="J118" s="261"/>
      <c r="K118" s="261"/>
      <c r="L118" s="200"/>
      <c r="M118" s="200"/>
      <c r="N118" s="200"/>
      <c r="O118" s="200"/>
      <c r="P118" s="200"/>
      <c r="Q118" s="200"/>
      <c r="R118" s="121"/>
      <c r="S118" s="121"/>
      <c r="T118" s="121"/>
      <c r="U118" s="121"/>
      <c r="V118" s="121"/>
      <c r="W118" s="121"/>
      <c r="X118" s="121"/>
      <c r="Y118" s="121"/>
      <c r="Z118" s="121"/>
      <c r="AJ118" s="257"/>
      <c r="AK118" s="257"/>
      <c r="AL118" s="257"/>
      <c r="AM118" s="257"/>
      <c r="AN118" s="257"/>
    </row>
    <row r="119" spans="1:40" hidden="1" x14ac:dyDescent="0.3">
      <c r="A119" s="261"/>
      <c r="B119" s="278"/>
      <c r="C119" s="229"/>
      <c r="D119" s="256" t="s">
        <v>784</v>
      </c>
      <c r="E119" s="167" t="e">
        <f>E118-$D$118</f>
        <v>#REF!</v>
      </c>
      <c r="F119" s="167" t="e">
        <f>F118-$D$118</f>
        <v>#REF!</v>
      </c>
      <c r="G119" s="167" t="e">
        <f>G118-$D$118</f>
        <v>#REF!</v>
      </c>
      <c r="H119" s="167" t="e">
        <f>H118-$D$118</f>
        <v>#REF!</v>
      </c>
      <c r="I119" s="167" t="e">
        <f>I118-$D$118</f>
        <v>#REF!</v>
      </c>
      <c r="J119" s="261"/>
      <c r="K119" s="261"/>
      <c r="L119" s="200"/>
      <c r="M119" s="200"/>
      <c r="N119" s="200"/>
      <c r="O119" s="200"/>
      <c r="P119" s="200"/>
      <c r="Q119" s="200"/>
      <c r="R119" s="121"/>
      <c r="V119" s="121"/>
    </row>
    <row r="120" spans="1:40" hidden="1" x14ac:dyDescent="0.3">
      <c r="A120" s="261"/>
      <c r="B120" s="261"/>
      <c r="C120" s="200"/>
      <c r="D120" s="261"/>
      <c r="E120" s="261"/>
      <c r="F120" s="261"/>
      <c r="G120" s="261"/>
      <c r="H120" s="261"/>
      <c r="I120" s="200"/>
      <c r="J120" s="200"/>
      <c r="K120" s="200"/>
      <c r="L120" s="200"/>
      <c r="M120" s="200"/>
      <c r="N120" s="200"/>
      <c r="O120" s="200"/>
      <c r="P120" s="200"/>
      <c r="Q120" s="200"/>
      <c r="R120" s="121"/>
      <c r="V120" s="121"/>
    </row>
    <row r="121" spans="1:40" x14ac:dyDescent="0.3">
      <c r="B121"/>
    </row>
    <row r="122" spans="1:40" x14ac:dyDescent="0.3">
      <c r="B122"/>
    </row>
    <row r="123" spans="1:40" x14ac:dyDescent="0.3">
      <c r="B123"/>
    </row>
    <row r="124" spans="1:40" x14ac:dyDescent="0.3">
      <c r="B124"/>
    </row>
    <row r="125" spans="1:40" x14ac:dyDescent="0.3">
      <c r="B125"/>
    </row>
  </sheetData>
  <sheetProtection algorithmName="SHA-512" hashValue="ht3sM3xH6CQ98EdG+tgXWdwk8O7h/zwhaymo93wjK0ZbDpDbyduY/EYvkr0hCXooDt7803dzHoPnvN07+4Aa9g==" saltValue="1+gpXmm+HMLaotF0zv3dR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89"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2"/>
  <sheetViews>
    <sheetView showGridLines="0" zoomScale="80" zoomScaleNormal="80" workbookViewId="0">
      <selection activeCell="E35" sqref="E35"/>
    </sheetView>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44140625" style="412" customWidth="1"/>
    <col min="8" max="8" width="11.77734375" customWidth="1"/>
    <col min="9" max="9" width="12.5546875" customWidth="1"/>
    <col min="10" max="10" width="10.21875" customWidth="1"/>
    <col min="11" max="13" width="9" customWidth="1"/>
    <col min="14" max="14" width="14.44140625" customWidth="1"/>
    <col min="15" max="15" width="15.44140625" customWidth="1"/>
    <col min="16" max="16" width="13.44140625" hidden="1" customWidth="1"/>
    <col min="17" max="17" width="14.44140625" hidden="1" customWidth="1"/>
    <col min="18" max="18" width="10.44140625" hidden="1" customWidth="1"/>
    <col min="19" max="19" width="8.5546875" hidden="1" customWidth="1"/>
    <col min="20" max="20" width="8.5546875" customWidth="1"/>
    <col min="21" max="21" width="54.21875" bestFit="1" customWidth="1"/>
  </cols>
  <sheetData>
    <row r="1" spans="1:23" ht="21" customHeight="1" x14ac:dyDescent="0.3">
      <c r="A1" s="541" t="s">
        <v>789</v>
      </c>
      <c r="B1" s="541"/>
      <c r="C1" s="541"/>
      <c r="D1" s="541"/>
      <c r="E1" s="541"/>
      <c r="F1" s="541"/>
      <c r="G1" s="541"/>
      <c r="H1" s="541"/>
      <c r="I1" s="541"/>
      <c r="J1" s="541"/>
      <c r="K1" s="541"/>
      <c r="L1" s="541"/>
      <c r="M1" s="541"/>
      <c r="N1" s="541"/>
      <c r="O1" s="541"/>
      <c r="P1" s="541"/>
      <c r="Q1" s="541"/>
      <c r="R1" s="541"/>
      <c r="S1" s="541"/>
      <c r="T1" s="541"/>
      <c r="U1" s="541"/>
      <c r="V1" s="541"/>
      <c r="W1" s="541"/>
    </row>
    <row r="2" spans="1:23" ht="14.55" customHeight="1" x14ac:dyDescent="0.3">
      <c r="A2" s="117"/>
      <c r="B2" s="117"/>
      <c r="C2" s="117"/>
      <c r="D2" s="117"/>
      <c r="E2" s="117"/>
      <c r="F2" s="117"/>
      <c r="G2" s="117"/>
      <c r="H2" s="117"/>
      <c r="I2" s="117"/>
      <c r="J2" s="117"/>
      <c r="K2" s="117"/>
      <c r="M2" s="117"/>
      <c r="N2" s="117"/>
      <c r="O2" s="117"/>
    </row>
    <row r="3" spans="1:23" ht="14.55" customHeight="1" x14ac:dyDescent="0.3">
      <c r="A3" s="830" t="s">
        <v>2185</v>
      </c>
      <c r="B3" s="117"/>
      <c r="C3" s="117"/>
      <c r="D3" s="117"/>
      <c r="E3" s="117"/>
      <c r="F3" s="117"/>
      <c r="G3" s="117"/>
      <c r="H3" s="117"/>
      <c r="I3" s="117"/>
      <c r="J3" s="117"/>
      <c r="K3" s="117"/>
      <c r="M3" s="117"/>
      <c r="N3" s="117"/>
      <c r="O3" s="117"/>
    </row>
    <row r="4" spans="1:23" ht="14.55" customHeight="1" thickBot="1" x14ac:dyDescent="0.35">
      <c r="A4" s="117"/>
      <c r="B4" s="117"/>
      <c r="C4" s="117"/>
      <c r="D4" s="117"/>
      <c r="E4" s="117"/>
      <c r="F4" s="117"/>
      <c r="G4" s="117"/>
      <c r="H4" s="117"/>
      <c r="I4" s="117"/>
      <c r="J4" s="117"/>
      <c r="K4" s="117"/>
      <c r="M4" s="117"/>
      <c r="N4" s="117"/>
      <c r="O4" s="117"/>
      <c r="P4" t="s">
        <v>2194</v>
      </c>
    </row>
    <row r="5" spans="1:23" ht="14.55" customHeight="1" x14ac:dyDescent="0.3">
      <c r="A5" s="117"/>
      <c r="B5" s="549" t="s">
        <v>6</v>
      </c>
      <c r="C5" s="550"/>
      <c r="D5" s="117"/>
      <c r="E5" s="117"/>
      <c r="F5" s="117"/>
      <c r="G5" s="117"/>
      <c r="H5" s="117"/>
      <c r="I5" s="117"/>
      <c r="J5" s="117"/>
      <c r="K5" s="117"/>
      <c r="M5" s="117"/>
      <c r="N5" s="117"/>
      <c r="O5" s="117"/>
      <c r="P5" t="s">
        <v>791</v>
      </c>
    </row>
    <row r="6" spans="1:23" ht="14.55" customHeight="1" x14ac:dyDescent="0.3">
      <c r="A6" s="117"/>
      <c r="B6" s="551" t="s">
        <v>790</v>
      </c>
      <c r="C6" s="567" t="s">
        <v>791</v>
      </c>
      <c r="D6" s="552" t="s">
        <v>2186</v>
      </c>
      <c r="E6" s="117"/>
      <c r="F6" s="117"/>
      <c r="G6" s="117"/>
      <c r="H6" s="117"/>
      <c r="I6" s="117"/>
      <c r="J6" s="117"/>
      <c r="K6" s="117"/>
      <c r="M6" s="117"/>
      <c r="N6" s="117"/>
      <c r="O6" s="117"/>
      <c r="P6" t="s">
        <v>811</v>
      </c>
    </row>
    <row r="7" spans="1:23" ht="14.55" customHeight="1" x14ac:dyDescent="0.3">
      <c r="A7" s="117"/>
      <c r="B7" s="551" t="s">
        <v>792</v>
      </c>
      <c r="C7" s="568">
        <v>5000</v>
      </c>
      <c r="D7" s="117"/>
      <c r="E7" s="117"/>
      <c r="F7" s="117"/>
      <c r="G7" s="117"/>
      <c r="H7" s="117"/>
      <c r="I7" s="117"/>
      <c r="J7" s="117"/>
      <c r="K7" s="117"/>
      <c r="M7" s="117"/>
      <c r="N7" s="117"/>
      <c r="O7" s="117"/>
      <c r="P7" t="s">
        <v>814</v>
      </c>
    </row>
    <row r="8" spans="1:23" ht="14.55" customHeight="1" x14ac:dyDescent="0.3">
      <c r="A8" s="117"/>
      <c r="B8" s="551" t="s">
        <v>793</v>
      </c>
      <c r="C8" s="569">
        <v>0.15</v>
      </c>
      <c r="D8" s="117"/>
      <c r="E8" s="117"/>
      <c r="F8" s="117"/>
      <c r="G8" s="117"/>
      <c r="H8" s="117"/>
      <c r="I8" s="117"/>
      <c r="J8" s="117"/>
      <c r="K8" s="117"/>
      <c r="M8" s="117"/>
      <c r="N8" s="117"/>
      <c r="O8" s="117"/>
      <c r="P8" t="s">
        <v>817</v>
      </c>
    </row>
    <row r="9" spans="1:23" ht="14.55" customHeight="1" x14ac:dyDescent="0.3">
      <c r="A9" s="117"/>
      <c r="B9" s="551" t="s">
        <v>794</v>
      </c>
      <c r="C9" s="569">
        <v>0.23780000000000001</v>
      </c>
      <c r="D9" s="117"/>
      <c r="E9" s="117"/>
      <c r="F9" s="117"/>
      <c r="G9" s="117"/>
      <c r="H9" s="117"/>
      <c r="I9" s="117"/>
      <c r="J9" s="117"/>
      <c r="K9" s="117"/>
      <c r="M9" s="117"/>
      <c r="N9" s="117"/>
      <c r="O9" s="117"/>
    </row>
    <row r="10" spans="1:23" ht="14.55" customHeight="1" thickBot="1" x14ac:dyDescent="0.35">
      <c r="A10" s="117"/>
      <c r="B10" s="553" t="s">
        <v>795</v>
      </c>
      <c r="C10" s="570">
        <v>5.0000000000000001E-3</v>
      </c>
      <c r="D10" s="117"/>
      <c r="E10" s="117"/>
      <c r="F10" s="117"/>
      <c r="G10" s="117"/>
      <c r="H10" s="117"/>
      <c r="I10" s="117"/>
      <c r="J10" s="117"/>
      <c r="K10" s="117"/>
      <c r="M10" s="117"/>
      <c r="N10" s="117"/>
      <c r="O10" s="117"/>
    </row>
    <row r="11" spans="1:23" ht="14.55" customHeight="1" thickBot="1" x14ac:dyDescent="0.35">
      <c r="M11" s="831" t="s">
        <v>2187</v>
      </c>
      <c r="N11" s="832"/>
      <c r="P11" t="s">
        <v>2195</v>
      </c>
      <c r="Q11" s="555"/>
      <c r="S11" s="555"/>
    </row>
    <row r="12" spans="1:23" ht="43.5" customHeight="1" thickBot="1" x14ac:dyDescent="0.35">
      <c r="A12" s="556" t="s">
        <v>796</v>
      </c>
      <c r="B12" s="557" t="s">
        <v>797</v>
      </c>
      <c r="C12" s="558" t="s">
        <v>2188</v>
      </c>
      <c r="D12" s="558" t="s">
        <v>798</v>
      </c>
      <c r="E12" s="558" t="s">
        <v>799</v>
      </c>
      <c r="F12" s="559" t="s">
        <v>2196</v>
      </c>
      <c r="G12" s="560" t="s">
        <v>800</v>
      </c>
      <c r="H12" s="561" t="s">
        <v>2197</v>
      </c>
      <c r="I12" s="833" t="s">
        <v>2189</v>
      </c>
      <c r="J12" s="833" t="s">
        <v>2190</v>
      </c>
      <c r="K12" s="834" t="s">
        <v>2191</v>
      </c>
      <c r="M12" s="835" t="s">
        <v>2198</v>
      </c>
      <c r="N12" s="836" t="s">
        <v>801</v>
      </c>
      <c r="P12" s="837" t="s">
        <v>791</v>
      </c>
      <c r="Q12" s="837" t="s">
        <v>802</v>
      </c>
      <c r="R12" s="837" t="s">
        <v>803</v>
      </c>
      <c r="S12" s="837" t="s">
        <v>804</v>
      </c>
      <c r="U12" s="838" t="s">
        <v>2199</v>
      </c>
      <c r="V12" s="839"/>
      <c r="W12" s="840"/>
    </row>
    <row r="13" spans="1:23" x14ac:dyDescent="0.3">
      <c r="A13" s="562">
        <v>2</v>
      </c>
      <c r="B13" s="563" t="s">
        <v>805</v>
      </c>
      <c r="C13" s="815">
        <f>HLOOKUP($C$6,$P$12:$S$42,2,FALSE)</f>
        <v>24465</v>
      </c>
      <c r="D13" s="815">
        <f>(C13-$C$7)*$C$8</f>
        <v>2919.75</v>
      </c>
      <c r="E13" s="815">
        <f t="shared" ref="E13:E42" si="0">C13*$C$9</f>
        <v>5817.777</v>
      </c>
      <c r="F13" s="816">
        <f t="shared" ref="F13:F48" si="1">C13*$C$10</f>
        <v>122.325</v>
      </c>
      <c r="G13" s="817">
        <f>SUM(C13:F13)</f>
        <v>33324.851999999999</v>
      </c>
      <c r="H13" s="841">
        <v>1560</v>
      </c>
      <c r="I13" s="842">
        <v>1</v>
      </c>
      <c r="J13" s="571">
        <f>H13*I13</f>
        <v>1560</v>
      </c>
      <c r="K13" s="818">
        <f>ROUND(G13/J13,2)</f>
        <v>21.36</v>
      </c>
      <c r="M13" s="828">
        <v>0.41</v>
      </c>
      <c r="N13" s="564">
        <v>0.83</v>
      </c>
      <c r="P13" s="554">
        <v>24465</v>
      </c>
      <c r="Q13" s="257">
        <v>30074</v>
      </c>
      <c r="R13" s="257">
        <v>29179</v>
      </c>
      <c r="S13" s="257">
        <v>25768</v>
      </c>
      <c r="U13" s="146"/>
      <c r="W13" s="145"/>
    </row>
    <row r="14" spans="1:23" x14ac:dyDescent="0.3">
      <c r="A14" s="419">
        <v>2</v>
      </c>
      <c r="B14" s="413" t="s">
        <v>806</v>
      </c>
      <c r="C14" s="815">
        <f>HLOOKUP($C$6,$P$12:$S$42,3,FALSE)</f>
        <v>24465</v>
      </c>
      <c r="D14" s="819">
        <f t="shared" ref="D14:D48" si="2">(C14-$C$7)*$C$8</f>
        <v>2919.75</v>
      </c>
      <c r="E14" s="819">
        <f t="shared" si="0"/>
        <v>5817.777</v>
      </c>
      <c r="F14" s="820">
        <f t="shared" si="1"/>
        <v>122.325</v>
      </c>
      <c r="G14" s="817">
        <f>SUM(C14:F14)</f>
        <v>33324.851999999999</v>
      </c>
      <c r="H14" s="843">
        <v>1560</v>
      </c>
      <c r="I14" s="842">
        <v>1</v>
      </c>
      <c r="J14" s="571">
        <f t="shared" ref="J14:J48" si="3">H14*I14</f>
        <v>1560</v>
      </c>
      <c r="K14" s="818">
        <f t="shared" ref="K14:K48" si="4">ROUND(G14/J14,2)</f>
        <v>21.36</v>
      </c>
      <c r="M14" s="829">
        <v>0.41</v>
      </c>
      <c r="N14" s="538">
        <v>0.83</v>
      </c>
      <c r="P14" s="554">
        <v>24465</v>
      </c>
      <c r="Q14" s="257">
        <v>30074</v>
      </c>
      <c r="R14" s="257">
        <v>29179</v>
      </c>
      <c r="S14" s="257">
        <v>25768</v>
      </c>
      <c r="U14" s="443" t="s">
        <v>807</v>
      </c>
      <c r="W14" s="145"/>
    </row>
    <row r="15" spans="1:23" x14ac:dyDescent="0.3">
      <c r="A15" s="419">
        <v>3</v>
      </c>
      <c r="B15" s="413" t="s">
        <v>808</v>
      </c>
      <c r="C15" s="815">
        <f>HLOOKUP($C$6,$P$12:$S$42,4,FALSE)</f>
        <v>24937</v>
      </c>
      <c r="D15" s="819">
        <f t="shared" si="2"/>
        <v>2990.5499999999997</v>
      </c>
      <c r="E15" s="819">
        <f t="shared" si="0"/>
        <v>5930.0186000000003</v>
      </c>
      <c r="F15" s="820">
        <f t="shared" si="1"/>
        <v>124.685</v>
      </c>
      <c r="G15" s="817">
        <f t="shared" ref="G15:G48" si="5">SUM(C15:F15)</f>
        <v>33982.253599999996</v>
      </c>
      <c r="H15" s="843">
        <v>1560</v>
      </c>
      <c r="I15" s="842">
        <v>1</v>
      </c>
      <c r="J15" s="571">
        <f t="shared" si="3"/>
        <v>1560</v>
      </c>
      <c r="K15" s="818">
        <f t="shared" si="4"/>
        <v>21.78</v>
      </c>
      <c r="M15" s="829">
        <v>0.35</v>
      </c>
      <c r="N15" s="538">
        <v>0.69</v>
      </c>
      <c r="P15" s="554">
        <v>24937</v>
      </c>
      <c r="Q15" s="257">
        <v>30546</v>
      </c>
      <c r="R15" s="257">
        <v>29651</v>
      </c>
      <c r="S15" s="257">
        <v>26240</v>
      </c>
      <c r="U15" s="444" t="s">
        <v>809</v>
      </c>
      <c r="V15" s="844">
        <v>260</v>
      </c>
      <c r="W15" s="145"/>
    </row>
    <row r="16" spans="1:23" x14ac:dyDescent="0.3">
      <c r="A16" s="419">
        <v>3</v>
      </c>
      <c r="B16" s="413" t="s">
        <v>810</v>
      </c>
      <c r="C16" s="815">
        <f>HLOOKUP($C$6,$P$12:$S$42,5,FALSE)</f>
        <v>26598</v>
      </c>
      <c r="D16" s="819">
        <f t="shared" si="2"/>
        <v>3239.7</v>
      </c>
      <c r="E16" s="819">
        <f t="shared" si="0"/>
        <v>6325.0044000000007</v>
      </c>
      <c r="F16" s="820">
        <f t="shared" si="1"/>
        <v>132.99</v>
      </c>
      <c r="G16" s="817">
        <f t="shared" si="5"/>
        <v>36295.6944</v>
      </c>
      <c r="H16" s="843">
        <v>1560</v>
      </c>
      <c r="I16" s="842">
        <v>1</v>
      </c>
      <c r="J16" s="571">
        <f t="shared" si="3"/>
        <v>1560</v>
      </c>
      <c r="K16" s="818">
        <f t="shared" si="4"/>
        <v>23.27</v>
      </c>
      <c r="M16" s="829">
        <v>0.35</v>
      </c>
      <c r="N16" s="538">
        <v>0.69</v>
      </c>
      <c r="P16" s="554">
        <v>26598</v>
      </c>
      <c r="Q16" s="257">
        <v>32207</v>
      </c>
      <c r="R16" s="257">
        <v>31312</v>
      </c>
      <c r="S16" s="257">
        <v>27928</v>
      </c>
      <c r="U16" s="444" t="s">
        <v>812</v>
      </c>
      <c r="V16" s="844">
        <v>-40</v>
      </c>
      <c r="W16" s="145"/>
    </row>
    <row r="17" spans="1:23" x14ac:dyDescent="0.3">
      <c r="A17" s="419">
        <v>4</v>
      </c>
      <c r="B17" s="413" t="s">
        <v>813</v>
      </c>
      <c r="C17" s="815">
        <f>HLOOKUP($C$6,$P$12:$S$42,6,FALSE)</f>
        <v>27485</v>
      </c>
      <c r="D17" s="819">
        <f t="shared" si="2"/>
        <v>3372.75</v>
      </c>
      <c r="E17" s="819">
        <f t="shared" si="0"/>
        <v>6535.933</v>
      </c>
      <c r="F17" s="820">
        <f t="shared" si="1"/>
        <v>137.42500000000001</v>
      </c>
      <c r="G17" s="817">
        <f t="shared" si="5"/>
        <v>37531.108</v>
      </c>
      <c r="H17" s="843">
        <v>1560</v>
      </c>
      <c r="I17" s="842">
        <v>1</v>
      </c>
      <c r="J17" s="571">
        <f t="shared" si="3"/>
        <v>1560</v>
      </c>
      <c r="K17" s="818">
        <f t="shared" si="4"/>
        <v>24.06</v>
      </c>
      <c r="M17" s="829">
        <v>0.3</v>
      </c>
      <c r="N17" s="538">
        <v>0.6</v>
      </c>
      <c r="P17" s="554">
        <v>27485</v>
      </c>
      <c r="Q17" s="257">
        <v>33094</v>
      </c>
      <c r="R17" s="257">
        <v>32199</v>
      </c>
      <c r="S17" s="257">
        <v>28860</v>
      </c>
      <c r="U17" s="444" t="s">
        <v>815</v>
      </c>
      <c r="V17" s="844">
        <v>-2</v>
      </c>
      <c r="W17" s="145"/>
    </row>
    <row r="18" spans="1:23" x14ac:dyDescent="0.3">
      <c r="A18" s="419">
        <v>4</v>
      </c>
      <c r="B18" s="413" t="s">
        <v>816</v>
      </c>
      <c r="C18" s="815">
        <f>HLOOKUP($C$6,$P$12:$S$42,7,FALSE)</f>
        <v>30162</v>
      </c>
      <c r="D18" s="819">
        <f t="shared" si="2"/>
        <v>3774.2999999999997</v>
      </c>
      <c r="E18" s="819">
        <f t="shared" si="0"/>
        <v>7172.5236000000004</v>
      </c>
      <c r="F18" s="820">
        <f t="shared" si="1"/>
        <v>150.81</v>
      </c>
      <c r="G18" s="817">
        <f t="shared" si="5"/>
        <v>41259.633600000001</v>
      </c>
      <c r="H18" s="843">
        <v>1560</v>
      </c>
      <c r="I18" s="842">
        <v>1</v>
      </c>
      <c r="J18" s="571">
        <f t="shared" si="3"/>
        <v>1560</v>
      </c>
      <c r="K18" s="818">
        <f t="shared" si="4"/>
        <v>26.45</v>
      </c>
      <c r="M18" s="829">
        <v>0.3</v>
      </c>
      <c r="N18" s="538">
        <v>0.6</v>
      </c>
      <c r="P18" s="554">
        <v>30162</v>
      </c>
      <c r="Q18" s="257">
        <v>36195</v>
      </c>
      <c r="R18" s="257">
        <v>34876</v>
      </c>
      <c r="S18" s="257">
        <v>31671</v>
      </c>
      <c r="U18" s="444" t="s">
        <v>818</v>
      </c>
      <c r="V18" s="844">
        <v>-10</v>
      </c>
      <c r="W18" s="145"/>
    </row>
    <row r="19" spans="1:23" x14ac:dyDescent="0.3">
      <c r="A19" s="419">
        <v>5</v>
      </c>
      <c r="B19" s="413" t="s">
        <v>819</v>
      </c>
      <c r="C19" s="815">
        <f>HLOOKUP($C$6,$P$12:$S$42,8,FALSE)</f>
        <v>31049</v>
      </c>
      <c r="D19" s="819">
        <f t="shared" si="2"/>
        <v>3907.35</v>
      </c>
      <c r="E19" s="819">
        <f t="shared" si="0"/>
        <v>7383.4522000000006</v>
      </c>
      <c r="F19" s="820">
        <f t="shared" si="1"/>
        <v>155.245</v>
      </c>
      <c r="G19" s="817">
        <f t="shared" si="5"/>
        <v>42495.047200000001</v>
      </c>
      <c r="H19" s="843">
        <v>1560</v>
      </c>
      <c r="I19" s="842">
        <v>1</v>
      </c>
      <c r="J19" s="571">
        <f t="shared" si="3"/>
        <v>1560</v>
      </c>
      <c r="K19" s="818">
        <f t="shared" si="4"/>
        <v>27.24</v>
      </c>
      <c r="M19" s="829">
        <v>0.3</v>
      </c>
      <c r="N19" s="538">
        <v>0.6</v>
      </c>
      <c r="P19" s="554">
        <v>31049</v>
      </c>
      <c r="Q19" s="257">
        <v>37259</v>
      </c>
      <c r="R19" s="257">
        <v>35763</v>
      </c>
      <c r="S19" s="257">
        <v>32602</v>
      </c>
      <c r="U19" s="444"/>
      <c r="V19" s="721">
        <v>208</v>
      </c>
      <c r="W19" s="145"/>
    </row>
    <row r="20" spans="1:23" x14ac:dyDescent="0.3">
      <c r="A20" s="419">
        <v>5</v>
      </c>
      <c r="B20" s="413" t="s">
        <v>820</v>
      </c>
      <c r="C20" s="815">
        <f>HLOOKUP($C$6,$P$12:$S$42,9,FALSE)</f>
        <v>33487</v>
      </c>
      <c r="D20" s="819">
        <f t="shared" si="2"/>
        <v>4273.05</v>
      </c>
      <c r="E20" s="819">
        <f t="shared" si="0"/>
        <v>7963.2085999999999</v>
      </c>
      <c r="F20" s="820">
        <f t="shared" si="1"/>
        <v>167.435</v>
      </c>
      <c r="G20" s="817">
        <f t="shared" si="5"/>
        <v>45890.693599999999</v>
      </c>
      <c r="H20" s="843">
        <v>1560</v>
      </c>
      <c r="I20" s="842">
        <v>1</v>
      </c>
      <c r="J20" s="571">
        <f t="shared" si="3"/>
        <v>1560</v>
      </c>
      <c r="K20" s="818">
        <f t="shared" si="4"/>
        <v>29.42</v>
      </c>
      <c r="M20" s="829">
        <v>0.3</v>
      </c>
      <c r="N20" s="538">
        <v>0.6</v>
      </c>
      <c r="P20" s="554">
        <v>33487</v>
      </c>
      <c r="Q20" s="257">
        <v>40185</v>
      </c>
      <c r="R20" s="257">
        <v>38511</v>
      </c>
      <c r="S20" s="257">
        <v>35162</v>
      </c>
      <c r="U20" s="444" t="s">
        <v>821</v>
      </c>
      <c r="V20" s="316">
        <f>7.5*V19</f>
        <v>1560</v>
      </c>
      <c r="W20" s="145"/>
    </row>
    <row r="21" spans="1:23" x14ac:dyDescent="0.3">
      <c r="A21" s="419">
        <v>5</v>
      </c>
      <c r="B21" s="413" t="s">
        <v>822</v>
      </c>
      <c r="C21" s="815">
        <f>HLOOKUP($C$6,$P$12:$S$42,10,FALSE)</f>
        <v>37796</v>
      </c>
      <c r="D21" s="819">
        <f t="shared" si="2"/>
        <v>4919.3999999999996</v>
      </c>
      <c r="E21" s="819">
        <f t="shared" si="0"/>
        <v>8987.8888000000006</v>
      </c>
      <c r="F21" s="820">
        <f t="shared" si="1"/>
        <v>188.98</v>
      </c>
      <c r="G21" s="817">
        <f t="shared" si="5"/>
        <v>51892.268800000005</v>
      </c>
      <c r="H21" s="843">
        <v>1560</v>
      </c>
      <c r="I21" s="842">
        <v>1</v>
      </c>
      <c r="J21" s="571">
        <f t="shared" si="3"/>
        <v>1560</v>
      </c>
      <c r="K21" s="818">
        <f t="shared" si="4"/>
        <v>33.26</v>
      </c>
      <c r="M21" s="829">
        <v>0.3</v>
      </c>
      <c r="N21" s="538">
        <v>0.6</v>
      </c>
      <c r="P21" s="554">
        <v>37796</v>
      </c>
      <c r="Q21" s="257">
        <v>45356</v>
      </c>
      <c r="R21" s="257">
        <v>43466</v>
      </c>
      <c r="S21" s="257">
        <v>39686</v>
      </c>
      <c r="U21" s="146"/>
      <c r="W21" s="145"/>
    </row>
    <row r="22" spans="1:23" x14ac:dyDescent="0.3">
      <c r="A22" s="419">
        <v>6</v>
      </c>
      <c r="B22" s="413" t="s">
        <v>823</v>
      </c>
      <c r="C22" s="815">
        <f>HLOOKUP($C$6,$P$12:$S$42,11,FALSE)</f>
        <v>38682</v>
      </c>
      <c r="D22" s="819">
        <f t="shared" si="2"/>
        <v>5052.3</v>
      </c>
      <c r="E22" s="819">
        <f t="shared" si="0"/>
        <v>9198.5796000000009</v>
      </c>
      <c r="F22" s="820">
        <f t="shared" si="1"/>
        <v>193.41</v>
      </c>
      <c r="G22" s="817">
        <f t="shared" si="5"/>
        <v>53126.289600000004</v>
      </c>
      <c r="H22" s="843">
        <v>1560</v>
      </c>
      <c r="I22" s="842">
        <v>1</v>
      </c>
      <c r="J22" s="571">
        <f t="shared" si="3"/>
        <v>1560</v>
      </c>
      <c r="K22" s="818">
        <f t="shared" si="4"/>
        <v>34.06</v>
      </c>
      <c r="M22" s="829">
        <v>0.3</v>
      </c>
      <c r="N22" s="538">
        <v>0.6</v>
      </c>
      <c r="P22" s="554">
        <v>38682</v>
      </c>
      <c r="Q22" s="257">
        <v>46419</v>
      </c>
      <c r="R22" s="257">
        <v>44485</v>
      </c>
      <c r="S22" s="257">
        <v>40617</v>
      </c>
      <c r="U22" s="444"/>
      <c r="W22" s="145"/>
    </row>
    <row r="23" spans="1:23" x14ac:dyDescent="0.3">
      <c r="A23" s="419">
        <v>6</v>
      </c>
      <c r="B23" s="413" t="s">
        <v>674</v>
      </c>
      <c r="C23" s="815">
        <f>HLOOKUP($C$6,$P$12:$S$42,12,FALSE)</f>
        <v>40823</v>
      </c>
      <c r="D23" s="819">
        <f t="shared" si="2"/>
        <v>5373.45</v>
      </c>
      <c r="E23" s="819">
        <f t="shared" si="0"/>
        <v>9707.7093999999997</v>
      </c>
      <c r="F23" s="820">
        <f t="shared" si="1"/>
        <v>204.11500000000001</v>
      </c>
      <c r="G23" s="817">
        <f t="shared" si="5"/>
        <v>56108.274399999995</v>
      </c>
      <c r="H23" s="843">
        <v>1560</v>
      </c>
      <c r="I23" s="842">
        <v>1</v>
      </c>
      <c r="J23" s="571">
        <f t="shared" si="3"/>
        <v>1560</v>
      </c>
      <c r="K23" s="818">
        <f t="shared" si="4"/>
        <v>35.97</v>
      </c>
      <c r="M23" s="829">
        <v>0.3</v>
      </c>
      <c r="N23" s="538">
        <v>0.6</v>
      </c>
      <c r="P23" s="554">
        <v>40823</v>
      </c>
      <c r="Q23" s="257">
        <v>48988</v>
      </c>
      <c r="R23" s="257">
        <v>46764</v>
      </c>
      <c r="S23" s="257">
        <v>42865</v>
      </c>
      <c r="U23" s="443" t="s">
        <v>824</v>
      </c>
      <c r="W23" s="145"/>
    </row>
    <row r="24" spans="1:23" x14ac:dyDescent="0.3">
      <c r="A24" s="419">
        <v>6</v>
      </c>
      <c r="B24" s="413" t="s">
        <v>825</v>
      </c>
      <c r="C24" s="815">
        <f>HLOOKUP($C$6,$P$12:$S$42,13,FALSE)</f>
        <v>46580</v>
      </c>
      <c r="D24" s="819">
        <f t="shared" si="2"/>
        <v>6237</v>
      </c>
      <c r="E24" s="819">
        <f t="shared" si="0"/>
        <v>11076.724</v>
      </c>
      <c r="F24" s="820">
        <f t="shared" si="1"/>
        <v>232.9</v>
      </c>
      <c r="G24" s="817">
        <f t="shared" si="5"/>
        <v>64126.624000000003</v>
      </c>
      <c r="H24" s="843">
        <v>1560</v>
      </c>
      <c r="I24" s="842">
        <v>1</v>
      </c>
      <c r="J24" s="571">
        <f t="shared" si="3"/>
        <v>1560</v>
      </c>
      <c r="K24" s="818">
        <f t="shared" si="4"/>
        <v>41.11</v>
      </c>
      <c r="M24" s="829">
        <v>0.3</v>
      </c>
      <c r="N24" s="538">
        <v>0.6</v>
      </c>
      <c r="P24" s="554">
        <v>46580</v>
      </c>
      <c r="Q24" s="257">
        <v>55046</v>
      </c>
      <c r="R24" s="257">
        <v>52521</v>
      </c>
      <c r="S24" s="257">
        <v>48778</v>
      </c>
      <c r="U24" s="444" t="s">
        <v>826</v>
      </c>
      <c r="V24" s="844">
        <v>43</v>
      </c>
      <c r="W24" s="145"/>
    </row>
    <row r="25" spans="1:23" x14ac:dyDescent="0.3">
      <c r="A25" s="419">
        <v>7</v>
      </c>
      <c r="B25" s="413" t="s">
        <v>827</v>
      </c>
      <c r="C25" s="815">
        <f>HLOOKUP($C$6,$P$12:$S$42,14,FALSE)</f>
        <v>47810</v>
      </c>
      <c r="D25" s="819">
        <f t="shared" si="2"/>
        <v>6421.5</v>
      </c>
      <c r="E25" s="819">
        <f t="shared" si="0"/>
        <v>11369.218000000001</v>
      </c>
      <c r="F25" s="820">
        <f t="shared" si="1"/>
        <v>239.05</v>
      </c>
      <c r="G25" s="817">
        <f t="shared" si="5"/>
        <v>65839.767999999996</v>
      </c>
      <c r="H25" s="843">
        <v>1560</v>
      </c>
      <c r="I25" s="842">
        <v>1</v>
      </c>
      <c r="J25" s="571">
        <f t="shared" si="3"/>
        <v>1560</v>
      </c>
      <c r="K25" s="818">
        <f t="shared" si="4"/>
        <v>42.2</v>
      </c>
      <c r="M25" s="829">
        <v>0.3</v>
      </c>
      <c r="N25" s="538">
        <v>0.6</v>
      </c>
      <c r="P25" s="554">
        <v>47810</v>
      </c>
      <c r="Q25" s="257">
        <v>56276</v>
      </c>
      <c r="R25" s="257">
        <v>53751</v>
      </c>
      <c r="S25" s="257">
        <v>50008</v>
      </c>
      <c r="U25" s="444" t="s">
        <v>828</v>
      </c>
      <c r="V25" s="844">
        <v>10</v>
      </c>
      <c r="W25" s="145"/>
    </row>
    <row r="26" spans="1:23" x14ac:dyDescent="0.3">
      <c r="A26" s="419">
        <v>7</v>
      </c>
      <c r="B26" s="413" t="s">
        <v>660</v>
      </c>
      <c r="C26" s="815">
        <f>HLOOKUP($C$6,$P$12:$S$42,15,FALSE)</f>
        <v>50273</v>
      </c>
      <c r="D26" s="819">
        <f t="shared" si="2"/>
        <v>6790.95</v>
      </c>
      <c r="E26" s="819">
        <f t="shared" si="0"/>
        <v>11954.919400000001</v>
      </c>
      <c r="F26" s="820">
        <f t="shared" si="1"/>
        <v>251.36500000000001</v>
      </c>
      <c r="G26" s="817">
        <f t="shared" si="5"/>
        <v>69270.234400000001</v>
      </c>
      <c r="H26" s="843">
        <v>1560</v>
      </c>
      <c r="I26" s="842">
        <v>1</v>
      </c>
      <c r="J26" s="571">
        <f t="shared" si="3"/>
        <v>1560</v>
      </c>
      <c r="K26" s="818">
        <f t="shared" si="4"/>
        <v>44.4</v>
      </c>
      <c r="M26" s="829">
        <v>0.3</v>
      </c>
      <c r="N26" s="538">
        <v>0.6</v>
      </c>
      <c r="P26" s="554">
        <v>50273</v>
      </c>
      <c r="Q26" s="257">
        <v>58739</v>
      </c>
      <c r="R26" s="257">
        <v>56214</v>
      </c>
      <c r="S26" s="257">
        <v>52471</v>
      </c>
      <c r="U26" s="444" t="s">
        <v>2192</v>
      </c>
      <c r="V26" s="844">
        <v>-2</v>
      </c>
      <c r="W26" s="145"/>
    </row>
    <row r="27" spans="1:23" x14ac:dyDescent="0.3">
      <c r="A27" s="419">
        <v>7</v>
      </c>
      <c r="B27" s="413" t="s">
        <v>829</v>
      </c>
      <c r="C27" s="815">
        <f>HLOOKUP($C$6,$P$12:$S$42,16,FALSE)</f>
        <v>54710</v>
      </c>
      <c r="D27" s="819">
        <f t="shared" si="2"/>
        <v>7456.5</v>
      </c>
      <c r="E27" s="819">
        <f t="shared" si="0"/>
        <v>13010.038</v>
      </c>
      <c r="F27" s="820">
        <f t="shared" si="1"/>
        <v>273.55</v>
      </c>
      <c r="G27" s="817">
        <f t="shared" si="5"/>
        <v>75450.088000000003</v>
      </c>
      <c r="H27" s="843">
        <v>1560</v>
      </c>
      <c r="I27" s="842">
        <v>1</v>
      </c>
      <c r="J27" s="571">
        <f t="shared" si="3"/>
        <v>1560</v>
      </c>
      <c r="K27" s="818">
        <f t="shared" si="4"/>
        <v>48.37</v>
      </c>
      <c r="M27" s="829">
        <v>0.3</v>
      </c>
      <c r="N27" s="538">
        <v>0.6</v>
      </c>
      <c r="P27" s="554">
        <v>54710</v>
      </c>
      <c r="Q27" s="257">
        <v>63176</v>
      </c>
      <c r="R27" s="257">
        <v>60651</v>
      </c>
      <c r="S27" s="257">
        <v>56908</v>
      </c>
      <c r="U27" s="444"/>
      <c r="V27" s="721">
        <v>8</v>
      </c>
      <c r="W27" s="145"/>
    </row>
    <row r="28" spans="1:23" x14ac:dyDescent="0.3">
      <c r="A28" s="419" t="s">
        <v>830</v>
      </c>
      <c r="B28" s="413" t="s">
        <v>666</v>
      </c>
      <c r="C28" s="815">
        <f>HLOOKUP($C$6,$P$12:$S$42,17,FALSE)</f>
        <v>55690</v>
      </c>
      <c r="D28" s="819">
        <f t="shared" si="2"/>
        <v>7603.5</v>
      </c>
      <c r="E28" s="819">
        <f t="shared" si="0"/>
        <v>13243.082</v>
      </c>
      <c r="F28" s="820">
        <f t="shared" si="1"/>
        <v>278.45</v>
      </c>
      <c r="G28" s="817">
        <f t="shared" si="5"/>
        <v>76815.031999999992</v>
      </c>
      <c r="H28" s="843">
        <v>1560</v>
      </c>
      <c r="I28" s="842">
        <v>1</v>
      </c>
      <c r="J28" s="571">
        <f t="shared" si="3"/>
        <v>1560</v>
      </c>
      <c r="K28" s="818">
        <f t="shared" si="4"/>
        <v>49.24</v>
      </c>
      <c r="M28" s="829">
        <v>0.3</v>
      </c>
      <c r="N28" s="538">
        <v>0.6</v>
      </c>
      <c r="P28" s="554">
        <v>55690</v>
      </c>
      <c r="Q28" s="257">
        <v>64156</v>
      </c>
      <c r="R28" s="257">
        <v>61631</v>
      </c>
      <c r="S28" s="257">
        <v>57888</v>
      </c>
      <c r="U28" s="444" t="s">
        <v>831</v>
      </c>
      <c r="V28" s="316">
        <f>V27*4*V24</f>
        <v>1376</v>
      </c>
      <c r="W28" s="145"/>
    </row>
    <row r="29" spans="1:23" x14ac:dyDescent="0.3">
      <c r="A29" s="419" t="s">
        <v>830</v>
      </c>
      <c r="B29" s="413" t="s">
        <v>676</v>
      </c>
      <c r="C29" s="815">
        <f>HLOOKUP($C$6,$P$12:$S$42,18,FALSE)</f>
        <v>58487</v>
      </c>
      <c r="D29" s="819">
        <f t="shared" si="2"/>
        <v>8023.0499999999993</v>
      </c>
      <c r="E29" s="819">
        <f t="shared" si="0"/>
        <v>13908.2086</v>
      </c>
      <c r="F29" s="820">
        <f t="shared" si="1"/>
        <v>292.435</v>
      </c>
      <c r="G29" s="817">
        <f t="shared" si="5"/>
        <v>80710.693599999999</v>
      </c>
      <c r="H29" s="843">
        <v>1560</v>
      </c>
      <c r="I29" s="842">
        <v>1</v>
      </c>
      <c r="J29" s="571">
        <f t="shared" si="3"/>
        <v>1560</v>
      </c>
      <c r="K29" s="818">
        <f t="shared" si="4"/>
        <v>51.74</v>
      </c>
      <c r="M29" s="829">
        <v>0.3</v>
      </c>
      <c r="N29" s="538">
        <v>0.6</v>
      </c>
      <c r="P29" s="554">
        <v>58487</v>
      </c>
      <c r="Q29" s="257">
        <v>66953</v>
      </c>
      <c r="R29" s="257">
        <v>64428</v>
      </c>
      <c r="S29" s="257">
        <v>60685</v>
      </c>
      <c r="U29" s="146"/>
      <c r="W29" s="145"/>
    </row>
    <row r="30" spans="1:23" x14ac:dyDescent="0.3">
      <c r="A30" s="419" t="s">
        <v>830</v>
      </c>
      <c r="B30" s="413" t="s">
        <v>832</v>
      </c>
      <c r="C30" s="815">
        <f>HLOOKUP($C$6,$P$12:$S$42,19,FALSE)</f>
        <v>62682</v>
      </c>
      <c r="D30" s="819">
        <f t="shared" si="2"/>
        <v>8652.2999999999993</v>
      </c>
      <c r="E30" s="819">
        <f t="shared" si="0"/>
        <v>14905.7796</v>
      </c>
      <c r="F30" s="820">
        <f t="shared" si="1"/>
        <v>313.41000000000003</v>
      </c>
      <c r="G30" s="817">
        <f t="shared" si="5"/>
        <v>86553.489600000001</v>
      </c>
      <c r="H30" s="843">
        <v>1560</v>
      </c>
      <c r="I30" s="842">
        <v>1</v>
      </c>
      <c r="J30" s="571">
        <f t="shared" si="3"/>
        <v>1560</v>
      </c>
      <c r="K30" s="818">
        <f t="shared" si="4"/>
        <v>55.48</v>
      </c>
      <c r="M30" s="829">
        <v>0.3</v>
      </c>
      <c r="N30" s="538">
        <v>0.6</v>
      </c>
      <c r="P30" s="554">
        <v>62682</v>
      </c>
      <c r="Q30" s="257">
        <v>71148</v>
      </c>
      <c r="R30" s="257">
        <v>68623</v>
      </c>
      <c r="S30" s="257">
        <v>64880</v>
      </c>
      <c r="U30" s="444"/>
      <c r="W30" s="145"/>
    </row>
    <row r="31" spans="1:23" x14ac:dyDescent="0.3">
      <c r="A31" s="419" t="s">
        <v>833</v>
      </c>
      <c r="B31" s="413" t="s">
        <v>834</v>
      </c>
      <c r="C31" s="815">
        <f>HLOOKUP($C$6,$P$12:$S$42,20,FALSE)</f>
        <v>64455</v>
      </c>
      <c r="D31" s="819">
        <f t="shared" si="2"/>
        <v>8918.25</v>
      </c>
      <c r="E31" s="819">
        <f t="shared" si="0"/>
        <v>15327.399000000001</v>
      </c>
      <c r="F31" s="820">
        <f t="shared" si="1"/>
        <v>322.27500000000003</v>
      </c>
      <c r="G31" s="817">
        <f t="shared" si="5"/>
        <v>89022.923999999999</v>
      </c>
      <c r="H31" s="843">
        <v>1560</v>
      </c>
      <c r="I31" s="842">
        <v>1</v>
      </c>
      <c r="J31" s="571">
        <f t="shared" si="3"/>
        <v>1560</v>
      </c>
      <c r="K31" s="818">
        <f t="shared" si="4"/>
        <v>57.07</v>
      </c>
      <c r="M31" s="829">
        <v>0.3</v>
      </c>
      <c r="N31" s="538">
        <v>0.6</v>
      </c>
      <c r="P31" s="554">
        <v>64455</v>
      </c>
      <c r="Q31" s="257">
        <v>72921</v>
      </c>
      <c r="R31" s="257">
        <v>70396</v>
      </c>
      <c r="S31" s="257">
        <v>66653</v>
      </c>
      <c r="U31" s="443" t="s">
        <v>836</v>
      </c>
      <c r="W31" s="145"/>
    </row>
    <row r="32" spans="1:23" x14ac:dyDescent="0.3">
      <c r="A32" s="419" t="s">
        <v>833</v>
      </c>
      <c r="B32" s="413" t="s">
        <v>835</v>
      </c>
      <c r="C32" s="815">
        <f>HLOOKUP($C$6,$P$12:$S$42,21,FALSE)</f>
        <v>68631</v>
      </c>
      <c r="D32" s="819">
        <f t="shared" si="2"/>
        <v>9544.65</v>
      </c>
      <c r="E32" s="819">
        <f t="shared" si="0"/>
        <v>16320.451800000001</v>
      </c>
      <c r="F32" s="820">
        <f t="shared" si="1"/>
        <v>343.15500000000003</v>
      </c>
      <c r="G32" s="817">
        <f t="shared" si="5"/>
        <v>94839.256799999988</v>
      </c>
      <c r="H32" s="843">
        <v>1560</v>
      </c>
      <c r="I32" s="842">
        <v>1</v>
      </c>
      <c r="J32" s="571">
        <f t="shared" si="3"/>
        <v>1560</v>
      </c>
      <c r="K32" s="818">
        <f t="shared" si="4"/>
        <v>60.79</v>
      </c>
      <c r="M32" s="829">
        <v>0.3</v>
      </c>
      <c r="N32" s="538">
        <v>0.6</v>
      </c>
      <c r="P32" s="554">
        <v>68631</v>
      </c>
      <c r="Q32" s="257">
        <v>77097</v>
      </c>
      <c r="R32" s="257">
        <v>74572</v>
      </c>
      <c r="S32" s="257">
        <v>70829</v>
      </c>
      <c r="U32" s="444" t="s">
        <v>838</v>
      </c>
      <c r="V32" s="844">
        <v>44.7</v>
      </c>
      <c r="W32" s="145"/>
    </row>
    <row r="33" spans="1:23" x14ac:dyDescent="0.3">
      <c r="A33" s="419" t="s">
        <v>833</v>
      </c>
      <c r="B33" s="413" t="s">
        <v>837</v>
      </c>
      <c r="C33" s="815">
        <f>HLOOKUP($C$6,$P$12:$S$42,22,FALSE)</f>
        <v>74896</v>
      </c>
      <c r="D33" s="819">
        <f t="shared" si="2"/>
        <v>10484.4</v>
      </c>
      <c r="E33" s="819">
        <f t="shared" si="0"/>
        <v>17810.268800000002</v>
      </c>
      <c r="F33" s="820">
        <f t="shared" si="1"/>
        <v>374.48</v>
      </c>
      <c r="G33" s="817">
        <f t="shared" si="5"/>
        <v>103565.1488</v>
      </c>
      <c r="H33" s="843">
        <v>1560</v>
      </c>
      <c r="I33" s="842">
        <v>1</v>
      </c>
      <c r="J33" s="571">
        <f t="shared" si="3"/>
        <v>1560</v>
      </c>
      <c r="K33" s="818">
        <f t="shared" si="4"/>
        <v>66.39</v>
      </c>
      <c r="M33" s="829">
        <v>0.3</v>
      </c>
      <c r="N33" s="538">
        <v>0.6</v>
      </c>
      <c r="P33" s="554">
        <v>74896</v>
      </c>
      <c r="Q33" s="257">
        <v>83362</v>
      </c>
      <c r="R33" s="257">
        <v>80837</v>
      </c>
      <c r="S33" s="257">
        <v>77094</v>
      </c>
      <c r="U33" s="444" t="s">
        <v>841</v>
      </c>
      <c r="V33" s="844">
        <v>48</v>
      </c>
      <c r="W33" s="145"/>
    </row>
    <row r="34" spans="1:23" x14ac:dyDescent="0.3">
      <c r="A34" s="419" t="s">
        <v>839</v>
      </c>
      <c r="B34" s="413" t="s">
        <v>840</v>
      </c>
      <c r="C34" s="815">
        <f>HLOOKUP($C$6,$P$12:$S$42,23,FALSE)</f>
        <v>76965</v>
      </c>
      <c r="D34" s="819">
        <f t="shared" si="2"/>
        <v>10794.75</v>
      </c>
      <c r="E34" s="819">
        <f t="shared" si="0"/>
        <v>18302.277000000002</v>
      </c>
      <c r="F34" s="820">
        <f t="shared" si="1"/>
        <v>384.82499999999999</v>
      </c>
      <c r="G34" s="817">
        <f t="shared" si="5"/>
        <v>106446.852</v>
      </c>
      <c r="H34" s="843">
        <v>1560</v>
      </c>
      <c r="I34" s="842">
        <v>1</v>
      </c>
      <c r="J34" s="571">
        <f t="shared" si="3"/>
        <v>1560</v>
      </c>
      <c r="K34" s="818">
        <f t="shared" si="4"/>
        <v>68.239999999999995</v>
      </c>
      <c r="M34" s="829">
        <v>0.3</v>
      </c>
      <c r="N34" s="538">
        <v>0.6</v>
      </c>
      <c r="P34" s="554">
        <v>76965</v>
      </c>
      <c r="Q34" s="257">
        <v>85431</v>
      </c>
      <c r="R34" s="257">
        <v>82906</v>
      </c>
      <c r="S34" s="257">
        <v>79163</v>
      </c>
      <c r="U34" s="444" t="s">
        <v>843</v>
      </c>
      <c r="V34" s="844">
        <v>2145.6</v>
      </c>
      <c r="W34" s="145"/>
    </row>
    <row r="35" spans="1:23" x14ac:dyDescent="0.3">
      <c r="A35" s="419" t="s">
        <v>839</v>
      </c>
      <c r="B35" s="413" t="s">
        <v>842</v>
      </c>
      <c r="C35" s="815">
        <f>HLOOKUP($C$6,$P$12:$S$42,24,FALSE)</f>
        <v>81652</v>
      </c>
      <c r="D35" s="819">
        <f t="shared" si="2"/>
        <v>11497.8</v>
      </c>
      <c r="E35" s="819">
        <f t="shared" si="0"/>
        <v>19416.845600000001</v>
      </c>
      <c r="F35" s="820">
        <f t="shared" si="1"/>
        <v>408.26</v>
      </c>
      <c r="G35" s="817">
        <f t="shared" si="5"/>
        <v>112974.9056</v>
      </c>
      <c r="H35" s="843">
        <v>1560</v>
      </c>
      <c r="I35" s="842">
        <v>1</v>
      </c>
      <c r="J35" s="571">
        <f t="shared" si="3"/>
        <v>1560</v>
      </c>
      <c r="K35" s="818">
        <f t="shared" si="4"/>
        <v>72.42</v>
      </c>
      <c r="M35" s="829">
        <v>0.3</v>
      </c>
      <c r="N35" s="538">
        <v>0.6</v>
      </c>
      <c r="P35" s="554">
        <v>81652</v>
      </c>
      <c r="Q35" s="257">
        <v>90118</v>
      </c>
      <c r="R35" s="257">
        <v>87593</v>
      </c>
      <c r="S35" s="257">
        <v>83850</v>
      </c>
      <c r="U35" s="444" t="s">
        <v>2193</v>
      </c>
      <c r="V35" s="845">
        <v>0.6</v>
      </c>
      <c r="W35" s="145"/>
    </row>
    <row r="36" spans="1:23" x14ac:dyDescent="0.3">
      <c r="A36" s="419" t="s">
        <v>839</v>
      </c>
      <c r="B36" s="413" t="s">
        <v>844</v>
      </c>
      <c r="C36" s="815">
        <f>HLOOKUP($C$6,$P$12:$S$42,25,FALSE)</f>
        <v>88682</v>
      </c>
      <c r="D36" s="819">
        <f t="shared" si="2"/>
        <v>12552.3</v>
      </c>
      <c r="E36" s="819">
        <f t="shared" si="0"/>
        <v>21088.579600000001</v>
      </c>
      <c r="F36" s="820">
        <f t="shared" si="1"/>
        <v>443.41</v>
      </c>
      <c r="G36" s="817">
        <f t="shared" si="5"/>
        <v>122766.2896</v>
      </c>
      <c r="H36" s="843">
        <v>1560</v>
      </c>
      <c r="I36" s="842">
        <v>1</v>
      </c>
      <c r="J36" s="571">
        <f t="shared" si="3"/>
        <v>1560</v>
      </c>
      <c r="K36" s="818">
        <f t="shared" si="4"/>
        <v>78.7</v>
      </c>
      <c r="M36" s="829">
        <v>0.3</v>
      </c>
      <c r="N36" s="538">
        <v>0.6</v>
      </c>
      <c r="P36" s="554">
        <v>88682</v>
      </c>
      <c r="Q36" s="257">
        <v>97148</v>
      </c>
      <c r="R36" s="257">
        <v>94623</v>
      </c>
      <c r="S36" s="257">
        <v>90880</v>
      </c>
      <c r="U36" s="444" t="s">
        <v>847</v>
      </c>
      <c r="V36" s="806">
        <f>ROUND(V35*V34,0)</f>
        <v>1287</v>
      </c>
      <c r="W36" s="145"/>
    </row>
    <row r="37" spans="1:23" x14ac:dyDescent="0.3">
      <c r="A37" s="419" t="s">
        <v>845</v>
      </c>
      <c r="B37" s="413" t="s">
        <v>846</v>
      </c>
      <c r="C37" s="815">
        <f>HLOOKUP($C$6,$P$12:$S$42,26,FALSE)</f>
        <v>91342</v>
      </c>
      <c r="D37" s="819">
        <f t="shared" si="2"/>
        <v>12951.3</v>
      </c>
      <c r="E37" s="819">
        <f t="shared" si="0"/>
        <v>21721.1276</v>
      </c>
      <c r="F37" s="820">
        <f t="shared" si="1"/>
        <v>456.71000000000004</v>
      </c>
      <c r="G37" s="817">
        <f t="shared" si="5"/>
        <v>126471.1376</v>
      </c>
      <c r="H37" s="843">
        <v>1560</v>
      </c>
      <c r="I37" s="842">
        <v>1</v>
      </c>
      <c r="J37" s="571">
        <f t="shared" si="3"/>
        <v>1560</v>
      </c>
      <c r="K37" s="818">
        <f t="shared" si="4"/>
        <v>81.069999999999993</v>
      </c>
      <c r="M37" s="829">
        <v>0.3</v>
      </c>
      <c r="N37" s="538">
        <v>0.6</v>
      </c>
      <c r="P37" s="554">
        <v>91342</v>
      </c>
      <c r="Q37" s="257">
        <v>99808</v>
      </c>
      <c r="R37" s="257">
        <v>97283</v>
      </c>
      <c r="S37" s="257">
        <v>93540</v>
      </c>
      <c r="U37" s="147"/>
      <c r="V37" s="148"/>
      <c r="W37" s="149"/>
    </row>
    <row r="38" spans="1:23" x14ac:dyDescent="0.3">
      <c r="A38" s="419" t="s">
        <v>845</v>
      </c>
      <c r="B38" s="413" t="s">
        <v>848</v>
      </c>
      <c r="C38" s="815">
        <f>HLOOKUP($C$6,$P$12:$S$42,27,FALSE)</f>
        <v>96941</v>
      </c>
      <c r="D38" s="819">
        <f t="shared" si="2"/>
        <v>13791.15</v>
      </c>
      <c r="E38" s="819">
        <f t="shared" si="0"/>
        <v>23052.569800000001</v>
      </c>
      <c r="F38" s="820">
        <f t="shared" si="1"/>
        <v>484.70499999999998</v>
      </c>
      <c r="G38" s="817">
        <f t="shared" si="5"/>
        <v>134269.42479999998</v>
      </c>
      <c r="H38" s="843">
        <v>1560</v>
      </c>
      <c r="I38" s="842">
        <v>1</v>
      </c>
      <c r="J38" s="571">
        <f t="shared" si="3"/>
        <v>1560</v>
      </c>
      <c r="K38" s="818">
        <f t="shared" si="4"/>
        <v>86.07</v>
      </c>
      <c r="M38" s="829">
        <v>0.3</v>
      </c>
      <c r="N38" s="538">
        <v>0.6</v>
      </c>
      <c r="P38" s="554">
        <v>96941</v>
      </c>
      <c r="Q38" s="257">
        <v>105407</v>
      </c>
      <c r="R38" s="257">
        <v>102882</v>
      </c>
      <c r="S38" s="257">
        <v>99139</v>
      </c>
    </row>
    <row r="39" spans="1:23" x14ac:dyDescent="0.3">
      <c r="A39" s="419" t="s">
        <v>845</v>
      </c>
      <c r="B39" s="413" t="s">
        <v>849</v>
      </c>
      <c r="C39" s="815">
        <f>HLOOKUP($C$6,$P$12:$S$42,28,FALSE)</f>
        <v>105337</v>
      </c>
      <c r="D39" s="819">
        <f t="shared" si="2"/>
        <v>15050.55</v>
      </c>
      <c r="E39" s="819">
        <f t="shared" si="0"/>
        <v>25049.138600000002</v>
      </c>
      <c r="F39" s="820">
        <f t="shared" si="1"/>
        <v>526.68500000000006</v>
      </c>
      <c r="G39" s="817">
        <f t="shared" si="5"/>
        <v>145963.37359999999</v>
      </c>
      <c r="H39" s="843">
        <v>1560</v>
      </c>
      <c r="I39" s="842">
        <v>1</v>
      </c>
      <c r="J39" s="571">
        <f t="shared" si="3"/>
        <v>1560</v>
      </c>
      <c r="K39" s="818">
        <f t="shared" si="4"/>
        <v>93.57</v>
      </c>
      <c r="M39" s="829">
        <v>0.3</v>
      </c>
      <c r="N39" s="538">
        <v>0.6</v>
      </c>
      <c r="P39" s="554">
        <v>105337</v>
      </c>
      <c r="Q39" s="257">
        <v>113803</v>
      </c>
      <c r="R39" s="257">
        <v>111278</v>
      </c>
      <c r="S39" s="257">
        <v>107535</v>
      </c>
    </row>
    <row r="40" spans="1:23" x14ac:dyDescent="0.3">
      <c r="A40" s="419">
        <v>9</v>
      </c>
      <c r="B40" s="413" t="s">
        <v>850</v>
      </c>
      <c r="C40" s="815">
        <f>HLOOKUP($C$6,$P$12:$S$42,29,FALSE)</f>
        <v>109179</v>
      </c>
      <c r="D40" s="819">
        <f t="shared" si="2"/>
        <v>15626.849999999999</v>
      </c>
      <c r="E40" s="819">
        <f t="shared" si="0"/>
        <v>25962.766200000002</v>
      </c>
      <c r="F40" s="820">
        <f t="shared" si="1"/>
        <v>545.89499999999998</v>
      </c>
      <c r="G40" s="817">
        <f t="shared" si="5"/>
        <v>151314.51120000001</v>
      </c>
      <c r="H40" s="843">
        <v>1560</v>
      </c>
      <c r="I40" s="842">
        <v>1</v>
      </c>
      <c r="J40" s="571">
        <f t="shared" si="3"/>
        <v>1560</v>
      </c>
      <c r="K40" s="818">
        <f t="shared" si="4"/>
        <v>97</v>
      </c>
      <c r="M40" s="829">
        <v>0.3</v>
      </c>
      <c r="N40" s="538">
        <v>0.6</v>
      </c>
      <c r="P40" s="554">
        <v>109179</v>
      </c>
      <c r="Q40" s="257">
        <v>117645</v>
      </c>
      <c r="R40" s="257">
        <v>115120</v>
      </c>
      <c r="S40" s="257">
        <v>111377</v>
      </c>
    </row>
    <row r="41" spans="1:23" x14ac:dyDescent="0.3">
      <c r="A41" s="419">
        <v>9</v>
      </c>
      <c r="B41" s="413" t="s">
        <v>851</v>
      </c>
      <c r="C41" s="815">
        <f>HLOOKUP($C$6,$P$12:$S$42,30,FALSE)</f>
        <v>115763</v>
      </c>
      <c r="D41" s="819">
        <f t="shared" si="2"/>
        <v>16614.45</v>
      </c>
      <c r="E41" s="819">
        <f t="shared" si="0"/>
        <v>27528.4414</v>
      </c>
      <c r="F41" s="820">
        <f t="shared" si="1"/>
        <v>578.81500000000005</v>
      </c>
      <c r="G41" s="817">
        <f t="shared" si="5"/>
        <v>160484.70640000002</v>
      </c>
      <c r="H41" s="843">
        <v>1560</v>
      </c>
      <c r="I41" s="842">
        <v>1</v>
      </c>
      <c r="J41" s="571">
        <f t="shared" si="3"/>
        <v>1560</v>
      </c>
      <c r="K41" s="818">
        <f t="shared" si="4"/>
        <v>102.87</v>
      </c>
      <c r="M41" s="829">
        <v>0.3</v>
      </c>
      <c r="N41" s="538">
        <v>0.6</v>
      </c>
      <c r="P41" s="554">
        <v>115763</v>
      </c>
      <c r="Q41" s="257">
        <v>124229</v>
      </c>
      <c r="R41" s="257">
        <v>121704</v>
      </c>
      <c r="S41" s="257">
        <v>117961</v>
      </c>
    </row>
    <row r="42" spans="1:23" x14ac:dyDescent="0.3">
      <c r="A42" s="419">
        <v>9</v>
      </c>
      <c r="B42" s="413" t="s">
        <v>852</v>
      </c>
      <c r="C42" s="815">
        <f>HLOOKUP($C$6,$P$12:$S$42,31,FALSE)</f>
        <v>125637</v>
      </c>
      <c r="D42" s="819">
        <f t="shared" si="2"/>
        <v>18095.55</v>
      </c>
      <c r="E42" s="819">
        <f t="shared" si="0"/>
        <v>29876.478600000002</v>
      </c>
      <c r="F42" s="820">
        <f t="shared" si="1"/>
        <v>628.18500000000006</v>
      </c>
      <c r="G42" s="817">
        <f t="shared" si="5"/>
        <v>174237.21359999999</v>
      </c>
      <c r="H42" s="843">
        <v>1560</v>
      </c>
      <c r="I42" s="842">
        <v>1</v>
      </c>
      <c r="J42" s="571">
        <f t="shared" si="3"/>
        <v>1560</v>
      </c>
      <c r="K42" s="818">
        <f t="shared" si="4"/>
        <v>111.69</v>
      </c>
      <c r="M42" s="829">
        <v>0.3</v>
      </c>
      <c r="N42" s="538">
        <v>0.6</v>
      </c>
      <c r="P42" s="554">
        <v>125637</v>
      </c>
      <c r="Q42" s="257">
        <v>134103</v>
      </c>
      <c r="R42" s="257">
        <v>131578</v>
      </c>
      <c r="S42" s="257">
        <v>127835</v>
      </c>
    </row>
    <row r="43" spans="1:23" x14ac:dyDescent="0.3">
      <c r="A43" s="419" t="s">
        <v>836</v>
      </c>
      <c r="B43" s="137" t="s">
        <v>853</v>
      </c>
      <c r="C43" s="815">
        <v>73113</v>
      </c>
      <c r="D43" s="819">
        <f t="shared" si="2"/>
        <v>10216.949999999999</v>
      </c>
      <c r="E43" s="819">
        <f>C43*0.2068</f>
        <v>15119.768400000001</v>
      </c>
      <c r="F43" s="820">
        <f t="shared" si="1"/>
        <v>365.565</v>
      </c>
      <c r="G43" s="817">
        <f t="shared" si="5"/>
        <v>98815.2834</v>
      </c>
      <c r="H43" s="843">
        <f>V34</f>
        <v>2145.6</v>
      </c>
      <c r="I43" s="842">
        <f>V35</f>
        <v>0.6</v>
      </c>
      <c r="J43" s="571">
        <f t="shared" si="3"/>
        <v>1287.3599999999999</v>
      </c>
      <c r="K43" s="818">
        <f t="shared" si="4"/>
        <v>76.760000000000005</v>
      </c>
      <c r="M43" s="846">
        <v>0</v>
      </c>
      <c r="N43" s="539">
        <v>0</v>
      </c>
    </row>
    <row r="44" spans="1:23" x14ac:dyDescent="0.3">
      <c r="A44" s="419" t="s">
        <v>836</v>
      </c>
      <c r="B44" s="137" t="s">
        <v>854</v>
      </c>
      <c r="C44" s="815">
        <v>91722</v>
      </c>
      <c r="D44" s="819">
        <f t="shared" si="2"/>
        <v>13008.3</v>
      </c>
      <c r="E44" s="819">
        <f>C44*0.2068</f>
        <v>18968.1096</v>
      </c>
      <c r="F44" s="820">
        <f t="shared" si="1"/>
        <v>458.61</v>
      </c>
      <c r="G44" s="817">
        <f t="shared" si="5"/>
        <v>124157.0196</v>
      </c>
      <c r="H44" s="843">
        <f>V34</f>
        <v>2145.6</v>
      </c>
      <c r="I44" s="842">
        <f>V35</f>
        <v>0.6</v>
      </c>
      <c r="J44" s="571">
        <f t="shared" si="3"/>
        <v>1287.3599999999999</v>
      </c>
      <c r="K44" s="818">
        <f t="shared" si="4"/>
        <v>96.44</v>
      </c>
      <c r="M44" s="846">
        <v>0</v>
      </c>
      <c r="N44" s="539">
        <v>0</v>
      </c>
    </row>
    <row r="45" spans="1:23" x14ac:dyDescent="0.3">
      <c r="A45" s="565" t="s">
        <v>836</v>
      </c>
      <c r="B45" s="566" t="s">
        <v>854</v>
      </c>
      <c r="C45" s="815">
        <v>110330</v>
      </c>
      <c r="D45" s="819">
        <f t="shared" si="2"/>
        <v>15799.5</v>
      </c>
      <c r="E45" s="821">
        <f>C45*0.2068</f>
        <v>22816.244000000002</v>
      </c>
      <c r="F45" s="820">
        <f t="shared" si="1"/>
        <v>551.65</v>
      </c>
      <c r="G45" s="817">
        <f t="shared" si="5"/>
        <v>149497.394</v>
      </c>
      <c r="H45" s="843">
        <f>V34</f>
        <v>2145.6</v>
      </c>
      <c r="I45" s="842">
        <f>V35</f>
        <v>0.6</v>
      </c>
      <c r="J45" s="571">
        <f t="shared" si="3"/>
        <v>1287.3599999999999</v>
      </c>
      <c r="K45" s="818">
        <f t="shared" si="4"/>
        <v>116.13</v>
      </c>
      <c r="M45" s="846">
        <v>0</v>
      </c>
      <c r="N45" s="539">
        <v>0</v>
      </c>
    </row>
    <row r="46" spans="1:23" x14ac:dyDescent="0.3">
      <c r="A46" s="419" t="s">
        <v>824</v>
      </c>
      <c r="B46" s="137" t="s">
        <v>855</v>
      </c>
      <c r="C46" s="819">
        <v>109724.16</v>
      </c>
      <c r="D46" s="819">
        <f t="shared" si="2"/>
        <v>15708.624</v>
      </c>
      <c r="E46" s="819">
        <f>C46*$C$9</f>
        <v>26092.405248000003</v>
      </c>
      <c r="F46" s="820">
        <f t="shared" si="1"/>
        <v>548.62080000000003</v>
      </c>
      <c r="G46" s="817">
        <f t="shared" si="5"/>
        <v>152073.81004800001</v>
      </c>
      <c r="H46" s="843">
        <f>V24*V25*4</f>
        <v>1720</v>
      </c>
      <c r="I46" s="842">
        <f>V27/V25</f>
        <v>0.8</v>
      </c>
      <c r="J46" s="571">
        <f t="shared" si="3"/>
        <v>1376</v>
      </c>
      <c r="K46" s="818">
        <f t="shared" si="4"/>
        <v>110.52</v>
      </c>
      <c r="M46" s="846">
        <v>0</v>
      </c>
      <c r="N46" s="539">
        <v>0</v>
      </c>
    </row>
    <row r="47" spans="1:23" x14ac:dyDescent="0.3">
      <c r="A47" s="419" t="s">
        <v>824</v>
      </c>
      <c r="B47" s="137" t="s">
        <v>656</v>
      </c>
      <c r="C47" s="819">
        <v>126431.136</v>
      </c>
      <c r="D47" s="819">
        <f t="shared" si="2"/>
        <v>18214.670399999999</v>
      </c>
      <c r="E47" s="819">
        <f>C47*$C$9</f>
        <v>30065.324140799999</v>
      </c>
      <c r="F47" s="820">
        <f t="shared" si="1"/>
        <v>632.15567999999996</v>
      </c>
      <c r="G47" s="817">
        <f t="shared" si="5"/>
        <v>175343.28622079999</v>
      </c>
      <c r="H47" s="843">
        <f>H46</f>
        <v>1720</v>
      </c>
      <c r="I47" s="842">
        <f>I46</f>
        <v>0.8</v>
      </c>
      <c r="J47" s="571">
        <f t="shared" si="3"/>
        <v>1376</v>
      </c>
      <c r="K47" s="818">
        <f t="shared" si="4"/>
        <v>127.43</v>
      </c>
      <c r="M47" s="846">
        <v>0</v>
      </c>
      <c r="N47" s="539">
        <v>0</v>
      </c>
    </row>
    <row r="48" spans="1:23" ht="15" thickBot="1" x14ac:dyDescent="0.35">
      <c r="A48" s="420" t="s">
        <v>824</v>
      </c>
      <c r="B48" s="414" t="s">
        <v>856</v>
      </c>
      <c r="C48" s="822">
        <v>145477.28</v>
      </c>
      <c r="D48" s="822">
        <f t="shared" si="2"/>
        <v>21071.592000000001</v>
      </c>
      <c r="E48" s="822">
        <f>C48*$C$9</f>
        <v>34594.497184</v>
      </c>
      <c r="F48" s="823">
        <f t="shared" si="1"/>
        <v>727.38639999999998</v>
      </c>
      <c r="G48" s="824">
        <f t="shared" si="5"/>
        <v>201870.755584</v>
      </c>
      <c r="H48" s="847">
        <f>H46</f>
        <v>1720</v>
      </c>
      <c r="I48" s="848">
        <f>I46</f>
        <v>0.8</v>
      </c>
      <c r="J48" s="572">
        <f t="shared" si="3"/>
        <v>1376</v>
      </c>
      <c r="K48" s="825">
        <f t="shared" si="4"/>
        <v>146.71</v>
      </c>
      <c r="M48" s="849">
        <v>0</v>
      </c>
      <c r="N48" s="540">
        <v>0</v>
      </c>
    </row>
    <row r="49" spans="1:18" x14ac:dyDescent="0.3">
      <c r="A49" s="826"/>
      <c r="B49" s="826"/>
      <c r="C49" s="826"/>
      <c r="D49" s="826"/>
      <c r="E49" s="826"/>
      <c r="F49" s="826"/>
      <c r="G49" s="827"/>
      <c r="H49" s="826"/>
      <c r="I49" s="826"/>
      <c r="J49" s="826"/>
      <c r="K49" s="826"/>
      <c r="L49" s="884"/>
      <c r="M49" s="884"/>
      <c r="N49" s="826"/>
      <c r="O49" s="884"/>
      <c r="P49" s="884"/>
      <c r="Q49" s="826"/>
      <c r="R49" s="826"/>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XsR7C3ZLrijNu1U78AMsFgAXSLMFSeExOXDRz/VP8v4lFPpWWalusRq8WEw8rj1T30meJc0L5H811ClRdYo/PA==" saltValue="8ShxdRbuKa7wX3wE8WSPow==" spinCount="100000" sheet="1" objects="1" scenarios="1"/>
  <mergeCells count="2">
    <mergeCell ref="L49:M49"/>
    <mergeCell ref="O49:P49"/>
  </mergeCells>
  <dataValidations count="1">
    <dataValidation type="list" allowBlank="1" showInputMessage="1" showErrorMessage="1" sqref="C6" xr:uid="{2B10211B-093C-49EF-B967-65FA647CB3C9}">
      <formula1>$P$5:$P$8</formula1>
    </dataValidation>
  </dataValidations>
  <pageMargins left="0.7" right="0.7" top="0.75" bottom="0.75" header="0.3" footer="0.3"/>
  <pageSetup paperSize="9" scale="3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1875" defaultRowHeight="15" x14ac:dyDescent="0.25"/>
  <cols>
    <col min="1" max="1" width="28.77734375" style="578" customWidth="1"/>
    <col min="2" max="2" width="7.21875" style="646" customWidth="1"/>
    <col min="3" max="3" width="8.21875" style="578" customWidth="1"/>
    <col min="4" max="5" width="8.21875" style="648" customWidth="1"/>
    <col min="6" max="8" width="8.21875" style="646" customWidth="1"/>
    <col min="9" max="13" width="8.21875" style="578" customWidth="1"/>
    <col min="14" max="14" width="8.77734375" style="578" customWidth="1"/>
    <col min="15" max="24" width="8.21875" style="578" customWidth="1"/>
    <col min="25" max="25" width="12.21875" style="578" customWidth="1"/>
    <col min="26" max="43" width="8.21875" style="578" customWidth="1"/>
    <col min="44" max="16384" width="9.21875" style="578"/>
  </cols>
  <sheetData>
    <row r="1" spans="1:51" ht="30.6" customHeight="1" x14ac:dyDescent="0.25">
      <c r="A1" s="573" t="s">
        <v>507</v>
      </c>
      <c r="B1" s="574"/>
      <c r="C1" s="574"/>
      <c r="D1" s="574"/>
      <c r="E1" s="574"/>
      <c r="F1" s="574"/>
      <c r="G1" s="574"/>
      <c r="H1" s="574"/>
      <c r="I1" s="574"/>
      <c r="J1" s="574"/>
      <c r="K1" s="574"/>
      <c r="L1" s="574"/>
      <c r="M1" s="574"/>
      <c r="N1" s="574"/>
      <c r="O1" s="575"/>
      <c r="P1" s="575"/>
      <c r="Q1" s="575"/>
      <c r="R1" s="575"/>
      <c r="S1" s="575"/>
      <c r="T1" s="575"/>
      <c r="U1" s="575"/>
      <c r="V1" s="575"/>
      <c r="W1" s="575"/>
      <c r="X1" s="575"/>
      <c r="Y1" s="575"/>
      <c r="Z1" s="575"/>
      <c r="AA1" s="575"/>
      <c r="AB1" s="575"/>
      <c r="AC1" s="575"/>
      <c r="AD1" s="575"/>
      <c r="AE1" s="575"/>
      <c r="AF1" s="575"/>
      <c r="AG1" s="576"/>
      <c r="AH1" s="576"/>
      <c r="AI1" s="576"/>
      <c r="AJ1" s="576"/>
      <c r="AK1" s="576"/>
      <c r="AL1" s="576"/>
      <c r="AM1" s="577"/>
      <c r="AN1" s="577"/>
      <c r="AO1" s="577"/>
      <c r="AP1" s="577"/>
      <c r="AQ1" s="577"/>
      <c r="AR1" s="577"/>
      <c r="AS1" s="577"/>
      <c r="AT1" s="577"/>
      <c r="AU1" s="577"/>
      <c r="AV1" s="577"/>
      <c r="AW1" s="577"/>
      <c r="AX1" s="577"/>
      <c r="AY1" s="577"/>
    </row>
    <row r="2" spans="1:51" ht="15.75" customHeight="1" x14ac:dyDescent="0.25">
      <c r="A2" s="579"/>
      <c r="B2" s="580"/>
      <c r="C2" s="494"/>
      <c r="D2" s="51"/>
      <c r="E2" s="1"/>
      <c r="F2" s="1"/>
      <c r="G2" s="1"/>
      <c r="H2" s="649" t="s">
        <v>0</v>
      </c>
      <c r="I2" s="650"/>
      <c r="J2" s="650"/>
      <c r="K2" s="650"/>
      <c r="L2" s="650"/>
      <c r="M2" s="581"/>
      <c r="N2" s="581"/>
      <c r="O2" s="581"/>
      <c r="P2" s="581"/>
      <c r="Q2" s="581"/>
      <c r="R2" s="581"/>
      <c r="S2" s="581"/>
      <c r="T2" s="581"/>
      <c r="U2" s="581"/>
      <c r="V2" s="581"/>
      <c r="W2" s="581"/>
      <c r="X2" s="581"/>
      <c r="Y2" s="581"/>
      <c r="Z2" s="581"/>
      <c r="AA2" s="581"/>
      <c r="AB2" s="581"/>
      <c r="AC2" s="576"/>
      <c r="AD2" s="576"/>
      <c r="AE2" s="576"/>
      <c r="AF2" s="576"/>
      <c r="AG2" s="576"/>
      <c r="AH2" s="576"/>
      <c r="AI2" s="576"/>
      <c r="AJ2" s="576"/>
      <c r="AK2" s="576"/>
      <c r="AL2" s="576"/>
      <c r="AM2" s="577"/>
      <c r="AN2" s="577"/>
      <c r="AO2" s="577"/>
      <c r="AP2" s="577"/>
      <c r="AQ2" s="577"/>
      <c r="AR2" s="577"/>
      <c r="AS2" s="577"/>
      <c r="AT2" s="577"/>
      <c r="AU2" s="577"/>
      <c r="AV2" s="577"/>
      <c r="AW2" s="577"/>
      <c r="AX2" s="577"/>
      <c r="AY2" s="577"/>
    </row>
    <row r="3" spans="1:51" x14ac:dyDescent="0.25">
      <c r="A3" s="582"/>
      <c r="B3" s="580"/>
      <c r="C3" s="583" t="s">
        <v>508</v>
      </c>
      <c r="D3" s="583"/>
      <c r="E3" s="1"/>
      <c r="F3" s="1"/>
      <c r="G3" s="1"/>
      <c r="H3" s="581"/>
      <c r="I3" s="581"/>
      <c r="J3" s="581"/>
      <c r="K3" s="581"/>
      <c r="L3" s="581"/>
      <c r="M3" s="581"/>
      <c r="N3" s="581"/>
      <c r="O3" s="581"/>
      <c r="P3" s="581"/>
      <c r="Q3" s="584" t="s">
        <v>509</v>
      </c>
      <c r="R3" s="581"/>
      <c r="S3" s="1"/>
      <c r="T3" s="1"/>
      <c r="U3" s="1"/>
      <c r="V3" s="1"/>
      <c r="W3" s="581"/>
      <c r="X3" s="581"/>
      <c r="Y3" s="581"/>
      <c r="Z3" s="581"/>
      <c r="AA3" s="581"/>
      <c r="AB3" s="581"/>
      <c r="AC3" s="576"/>
      <c r="AD3" s="576"/>
      <c r="AE3" s="576"/>
      <c r="AF3" s="576"/>
      <c r="AG3" s="576"/>
      <c r="AH3" s="576"/>
      <c r="AI3" s="576"/>
      <c r="AJ3" s="576"/>
      <c r="AK3" s="576"/>
      <c r="AL3" s="576"/>
      <c r="AM3" s="577"/>
      <c r="AN3" s="577"/>
      <c r="AO3" s="577"/>
      <c r="AP3" s="577"/>
      <c r="AQ3" s="577"/>
      <c r="AR3" s="577"/>
      <c r="AS3" s="577"/>
      <c r="AT3" s="577"/>
      <c r="AU3" s="577"/>
      <c r="AV3" s="577"/>
      <c r="AW3" s="577"/>
      <c r="AX3" s="577"/>
      <c r="AY3" s="577"/>
    </row>
    <row r="4" spans="1:51" x14ac:dyDescent="0.25">
      <c r="A4" s="582"/>
      <c r="B4" s="580"/>
      <c r="C4" s="494" t="s">
        <v>510</v>
      </c>
      <c r="D4" s="51"/>
      <c r="E4" s="1"/>
      <c r="F4" s="1"/>
      <c r="G4" s="1"/>
      <c r="H4" s="581"/>
      <c r="I4" s="581"/>
      <c r="J4" s="581"/>
      <c r="K4" s="581"/>
      <c r="L4" s="581"/>
      <c r="M4" s="581"/>
      <c r="N4" s="581"/>
      <c r="O4" s="581"/>
      <c r="P4" s="581"/>
      <c r="Q4" s="585" t="s">
        <v>511</v>
      </c>
      <c r="R4" s="581"/>
      <c r="S4" s="581"/>
      <c r="T4" s="581"/>
      <c r="U4" s="581"/>
      <c r="V4" s="581"/>
      <c r="W4" s="581"/>
      <c r="X4" s="581"/>
      <c r="Y4" s="581"/>
      <c r="Z4" s="581"/>
      <c r="AA4" s="581"/>
      <c r="AB4" s="581"/>
      <c r="AC4" s="576"/>
      <c r="AD4" s="576"/>
      <c r="AE4" s="576"/>
      <c r="AF4" s="576"/>
      <c r="AG4" s="576"/>
      <c r="AH4" s="576"/>
      <c r="AI4" s="576"/>
      <c r="AJ4" s="576"/>
      <c r="AK4" s="576"/>
      <c r="AL4" s="576"/>
      <c r="AM4" s="577"/>
      <c r="AN4" s="576"/>
      <c r="AO4" s="576"/>
      <c r="AP4" s="577"/>
      <c r="AQ4" s="577"/>
      <c r="AR4" s="577"/>
      <c r="AS4" s="577"/>
      <c r="AT4" s="577"/>
      <c r="AU4" s="577"/>
      <c r="AV4" s="577"/>
      <c r="AW4" s="577"/>
      <c r="AX4" s="577"/>
      <c r="AY4" s="577"/>
    </row>
    <row r="5" spans="1:51" ht="15.6" thickBot="1" x14ac:dyDescent="0.3">
      <c r="A5" s="586"/>
      <c r="B5" s="587"/>
      <c r="C5" s="1"/>
      <c r="D5" s="1"/>
      <c r="E5" s="1"/>
      <c r="F5" s="1"/>
      <c r="G5" s="1"/>
      <c r="H5" s="581"/>
      <c r="I5" s="581"/>
      <c r="J5" s="581"/>
      <c r="K5" s="581"/>
      <c r="L5" s="581"/>
      <c r="M5" s="581"/>
      <c r="N5" s="581"/>
      <c r="O5" s="581"/>
      <c r="P5" s="581"/>
      <c r="Q5" s="585" t="s">
        <v>512</v>
      </c>
      <c r="R5" s="581"/>
      <c r="S5" s="581"/>
      <c r="T5" s="581"/>
      <c r="U5" s="581"/>
      <c r="V5" s="581"/>
      <c r="W5" s="581"/>
      <c r="X5" s="581"/>
      <c r="Y5" s="581"/>
      <c r="Z5" s="581"/>
      <c r="AA5" s="581"/>
      <c r="AB5" s="581"/>
      <c r="AC5" s="576"/>
      <c r="AD5" s="576"/>
      <c r="AE5" s="576"/>
      <c r="AF5" s="576"/>
      <c r="AG5" s="576"/>
      <c r="AH5" s="576"/>
      <c r="AI5" s="576"/>
      <c r="AJ5" s="576"/>
      <c r="AK5" s="576"/>
      <c r="AL5" s="576"/>
      <c r="AM5" s="577"/>
      <c r="AN5" s="577"/>
      <c r="AO5" s="577"/>
      <c r="AP5" s="577"/>
      <c r="AQ5" s="577"/>
      <c r="AR5" s="577"/>
      <c r="AS5" s="577"/>
      <c r="AT5" s="577"/>
      <c r="AU5" s="577"/>
      <c r="AV5" s="577"/>
      <c r="AW5" s="577"/>
      <c r="AX5" s="577"/>
      <c r="AY5" s="577"/>
    </row>
    <row r="6" spans="1:51" ht="15.6" x14ac:dyDescent="0.3">
      <c r="A6" s="586"/>
      <c r="B6" s="587"/>
      <c r="C6" s="588"/>
      <c r="D6" s="589"/>
      <c r="E6" s="589"/>
      <c r="F6" s="589"/>
      <c r="G6" s="589"/>
      <c r="H6" s="590" t="s">
        <v>513</v>
      </c>
      <c r="I6" s="589"/>
      <c r="J6" s="589"/>
      <c r="K6" s="589"/>
      <c r="L6" s="589"/>
      <c r="M6" s="589"/>
      <c r="N6" s="591"/>
      <c r="O6" s="581"/>
      <c r="P6" s="581"/>
      <c r="Q6" s="585" t="s">
        <v>514</v>
      </c>
      <c r="R6" s="581"/>
      <c r="S6" s="581"/>
      <c r="T6" s="581"/>
      <c r="U6" s="581"/>
      <c r="V6" s="581"/>
      <c r="W6" s="581"/>
      <c r="X6" s="581"/>
      <c r="Y6" s="581"/>
      <c r="Z6" s="581"/>
      <c r="AA6" s="581"/>
      <c r="AB6" s="581"/>
      <c r="AC6" s="576"/>
      <c r="AD6" s="576"/>
      <c r="AE6" s="576"/>
      <c r="AF6" s="576"/>
      <c r="AG6" s="576"/>
      <c r="AH6" s="576"/>
      <c r="AI6" s="576"/>
      <c r="AJ6" s="576"/>
      <c r="AK6" s="576"/>
      <c r="AL6" s="576"/>
      <c r="AM6" s="577"/>
      <c r="AN6" s="577"/>
      <c r="AO6" s="577"/>
      <c r="AP6" s="577"/>
      <c r="AQ6" s="577"/>
      <c r="AR6" s="577"/>
      <c r="AS6" s="577"/>
      <c r="AT6" s="577"/>
      <c r="AU6" s="577"/>
      <c r="AV6" s="577"/>
      <c r="AW6" s="577"/>
      <c r="AX6" s="577"/>
      <c r="AY6" s="577"/>
    </row>
    <row r="7" spans="1:51" s="597" customFormat="1" ht="15.6" thickBot="1" x14ac:dyDescent="0.3">
      <c r="A7" s="586"/>
      <c r="B7" s="587"/>
      <c r="C7" s="592" t="s">
        <v>515</v>
      </c>
      <c r="D7" s="593">
        <v>2</v>
      </c>
      <c r="E7" s="594">
        <v>3</v>
      </c>
      <c r="F7" s="595">
        <v>4</v>
      </c>
      <c r="G7" s="595">
        <v>5</v>
      </c>
      <c r="H7" s="594">
        <v>6</v>
      </c>
      <c r="I7" s="595">
        <v>7</v>
      </c>
      <c r="J7" s="595">
        <v>8</v>
      </c>
      <c r="K7" s="594">
        <v>9</v>
      </c>
      <c r="L7" s="595">
        <v>10</v>
      </c>
      <c r="M7" s="595">
        <v>11</v>
      </c>
      <c r="N7" s="596">
        <v>12</v>
      </c>
      <c r="O7" s="581"/>
      <c r="P7" s="581"/>
      <c r="Q7" s="581"/>
      <c r="R7" s="581" t="s">
        <v>516</v>
      </c>
      <c r="S7" s="1"/>
      <c r="T7" s="581"/>
      <c r="U7" s="581"/>
      <c r="V7" s="581"/>
      <c r="W7" s="581"/>
      <c r="X7" s="581"/>
      <c r="Y7" s="581"/>
      <c r="Z7" s="581"/>
      <c r="AA7" s="581"/>
      <c r="AB7" s="581"/>
      <c r="AC7" s="576"/>
      <c r="AD7" s="576"/>
      <c r="AE7" s="576"/>
      <c r="AF7" s="576"/>
      <c r="AG7" s="576"/>
      <c r="AH7" s="576"/>
      <c r="AI7" s="576"/>
      <c r="AJ7" s="576"/>
      <c r="AK7" s="576"/>
      <c r="AL7" s="576"/>
      <c r="AM7" s="577"/>
      <c r="AN7" s="577"/>
      <c r="AO7" s="577"/>
      <c r="AP7" s="577"/>
      <c r="AQ7" s="577"/>
      <c r="AR7" s="577"/>
      <c r="AS7" s="577"/>
      <c r="AT7" s="577"/>
      <c r="AU7" s="586"/>
      <c r="AV7" s="586"/>
      <c r="AW7" s="586"/>
      <c r="AX7" s="586"/>
      <c r="AY7" s="586"/>
    </row>
    <row r="8" spans="1:51" s="597" customFormat="1" x14ac:dyDescent="0.25">
      <c r="A8" s="586"/>
      <c r="B8" s="587"/>
      <c r="C8" s="598"/>
      <c r="D8" s="599"/>
      <c r="E8" s="600"/>
      <c r="F8" s="598"/>
      <c r="G8" s="599"/>
      <c r="H8" s="600"/>
      <c r="I8" s="601"/>
      <c r="J8" s="602"/>
      <c r="K8" s="603"/>
      <c r="L8" s="601"/>
      <c r="M8" s="602"/>
      <c r="N8" s="604">
        <v>90</v>
      </c>
      <c r="O8" s="581"/>
      <c r="P8" s="581"/>
      <c r="Q8" s="581"/>
      <c r="R8" s="581" t="s">
        <v>517</v>
      </c>
      <c r="S8" s="1"/>
      <c r="T8" s="581"/>
      <c r="U8" s="581"/>
      <c r="V8" s="581"/>
      <c r="W8" s="581"/>
      <c r="X8" s="581"/>
      <c r="Y8" s="581"/>
      <c r="Z8" s="581"/>
      <c r="AA8" s="581"/>
      <c r="AB8" s="581"/>
      <c r="AC8" s="576"/>
      <c r="AD8" s="576"/>
      <c r="AE8" s="576"/>
      <c r="AF8" s="576"/>
      <c r="AG8" s="576"/>
      <c r="AH8" s="576"/>
      <c r="AI8" s="576"/>
      <c r="AJ8" s="576"/>
      <c r="AK8" s="576"/>
      <c r="AL8" s="576"/>
      <c r="AM8" s="577"/>
      <c r="AN8" s="577"/>
      <c r="AO8" s="577"/>
      <c r="AP8" s="577"/>
      <c r="AQ8" s="577"/>
      <c r="AR8" s="577"/>
      <c r="AS8" s="577"/>
      <c r="AT8" s="577"/>
      <c r="AU8" s="586"/>
      <c r="AV8" s="586"/>
      <c r="AW8" s="586"/>
      <c r="AX8" s="586"/>
      <c r="AY8" s="586"/>
    </row>
    <row r="9" spans="1:51" s="6" customFormat="1" ht="15.6" customHeight="1" x14ac:dyDescent="0.25">
      <c r="A9" s="586"/>
      <c r="B9" s="587"/>
      <c r="C9" s="605"/>
      <c r="D9" s="605"/>
      <c r="E9" s="605"/>
      <c r="F9" s="606"/>
      <c r="G9" s="606"/>
      <c r="H9" s="606"/>
      <c r="I9" s="607"/>
      <c r="J9" s="607"/>
      <c r="K9" s="607"/>
      <c r="L9" s="608"/>
      <c r="M9" s="609">
        <v>90</v>
      </c>
      <c r="N9" s="609">
        <v>90</v>
      </c>
      <c r="O9" s="581"/>
      <c r="P9" s="581"/>
      <c r="Q9" s="581"/>
      <c r="R9" s="581" t="s">
        <v>518</v>
      </c>
      <c r="S9" s="1"/>
      <c r="T9" s="581"/>
      <c r="U9" s="581"/>
      <c r="V9" s="581"/>
      <c r="W9" s="581"/>
      <c r="X9" s="581"/>
      <c r="Y9" s="581"/>
      <c r="Z9" s="581"/>
      <c r="AA9" s="581"/>
      <c r="AB9" s="581"/>
      <c r="AC9" s="576"/>
      <c r="AD9" s="576"/>
      <c r="AE9" s="576"/>
      <c r="AF9" s="576"/>
      <c r="AG9" s="576"/>
      <c r="AH9" s="576"/>
      <c r="AI9" s="576"/>
      <c r="AJ9" s="576"/>
      <c r="AK9" s="576"/>
      <c r="AL9" s="576"/>
      <c r="AM9" s="577"/>
      <c r="AN9" s="577"/>
      <c r="AO9" s="577"/>
      <c r="AP9" s="577"/>
      <c r="AQ9" s="577"/>
      <c r="AR9" s="577"/>
      <c r="AS9" s="577"/>
      <c r="AT9" s="577"/>
      <c r="AU9" s="1"/>
      <c r="AV9" s="1"/>
      <c r="AW9" s="1"/>
      <c r="AX9" s="1"/>
      <c r="AY9" s="1"/>
    </row>
    <row r="10" spans="1:51" s="6" customFormat="1" ht="15.6" customHeight="1" x14ac:dyDescent="0.25">
      <c r="A10" s="586"/>
      <c r="B10" s="587"/>
      <c r="C10" s="605"/>
      <c r="D10" s="605"/>
      <c r="E10" s="605"/>
      <c r="F10" s="606"/>
      <c r="G10" s="606"/>
      <c r="H10" s="606"/>
      <c r="I10" s="607"/>
      <c r="J10" s="607"/>
      <c r="K10" s="607"/>
      <c r="L10" s="609">
        <v>90</v>
      </c>
      <c r="M10" s="609">
        <v>90</v>
      </c>
      <c r="N10" s="609">
        <v>90</v>
      </c>
      <c r="O10" s="581"/>
      <c r="P10" s="581"/>
      <c r="Q10" s="585" t="s">
        <v>519</v>
      </c>
      <c r="R10" s="581"/>
      <c r="S10" s="581"/>
      <c r="T10" s="581"/>
      <c r="U10" s="581"/>
      <c r="V10" s="581"/>
      <c r="W10" s="581"/>
      <c r="X10" s="581"/>
      <c r="Y10" s="581"/>
      <c r="Z10" s="581"/>
      <c r="AA10" s="581"/>
      <c r="AB10" s="581"/>
      <c r="AC10" s="576"/>
      <c r="AD10" s="576"/>
      <c r="AE10" s="576"/>
      <c r="AF10" s="576"/>
      <c r="AG10" s="576"/>
      <c r="AH10" s="576"/>
      <c r="AI10" s="576"/>
      <c r="AJ10" s="576"/>
      <c r="AK10" s="576"/>
      <c r="AL10" s="576"/>
      <c r="AM10" s="577"/>
      <c r="AN10" s="577"/>
      <c r="AO10" s="577"/>
      <c r="AP10" s="577"/>
      <c r="AQ10" s="577"/>
      <c r="AR10" s="577"/>
      <c r="AS10" s="577"/>
      <c r="AT10" s="577"/>
      <c r="AU10" s="1"/>
      <c r="AV10" s="1"/>
      <c r="AW10" s="1"/>
      <c r="AX10" s="1"/>
      <c r="AY10" s="1"/>
    </row>
    <row r="11" spans="1:51" s="6" customFormat="1" ht="15.6" customHeight="1" x14ac:dyDescent="0.25">
      <c r="A11" s="586"/>
      <c r="B11" s="587"/>
      <c r="C11" s="605"/>
      <c r="D11" s="605"/>
      <c r="E11" s="605"/>
      <c r="F11" s="606"/>
      <c r="G11" s="606"/>
      <c r="H11" s="606"/>
      <c r="I11" s="607"/>
      <c r="J11" s="607"/>
      <c r="K11" s="609">
        <v>90</v>
      </c>
      <c r="L11" s="609">
        <v>90</v>
      </c>
      <c r="M11" s="609">
        <v>90</v>
      </c>
      <c r="N11" s="609">
        <v>90</v>
      </c>
      <c r="O11" s="581"/>
      <c r="P11" s="581"/>
      <c r="Q11" s="585" t="s">
        <v>520</v>
      </c>
      <c r="R11" s="581"/>
      <c r="S11" s="581"/>
      <c r="T11" s="581"/>
      <c r="U11" s="581"/>
      <c r="V11" s="581"/>
      <c r="W11" s="581"/>
      <c r="X11" s="581"/>
      <c r="Y11" s="581"/>
      <c r="Z11" s="581"/>
      <c r="AA11" s="581"/>
      <c r="AB11" s="581"/>
      <c r="AC11" s="576"/>
      <c r="AD11" s="576"/>
      <c r="AE11" s="576"/>
      <c r="AF11" s="576"/>
      <c r="AG11" s="576"/>
      <c r="AH11" s="576"/>
      <c r="AI11" s="576"/>
      <c r="AJ11" s="576"/>
      <c r="AK11" s="576"/>
      <c r="AL11" s="576"/>
      <c r="AM11" s="577"/>
      <c r="AN11" s="577"/>
      <c r="AO11" s="577"/>
      <c r="AP11" s="577"/>
      <c r="AQ11" s="577"/>
      <c r="AR11" s="577"/>
      <c r="AS11" s="577"/>
      <c r="AT11" s="577"/>
      <c r="AU11" s="1"/>
      <c r="AV11" s="1"/>
      <c r="AW11" s="1"/>
      <c r="AX11" s="1"/>
      <c r="AY11" s="1"/>
    </row>
    <row r="12" spans="1:51" s="6" customFormat="1" ht="15.6" customHeight="1" x14ac:dyDescent="0.25">
      <c r="A12" s="586"/>
      <c r="B12" s="587"/>
      <c r="C12" s="610"/>
      <c r="D12" s="610"/>
      <c r="E12" s="610"/>
      <c r="F12" s="611"/>
      <c r="G12" s="611"/>
      <c r="H12" s="611"/>
      <c r="I12" s="612"/>
      <c r="J12" s="609">
        <v>90</v>
      </c>
      <c r="K12" s="609">
        <v>90</v>
      </c>
      <c r="L12" s="609">
        <v>90</v>
      </c>
      <c r="M12" s="609">
        <v>90</v>
      </c>
      <c r="N12" s="609">
        <v>90</v>
      </c>
      <c r="O12" s="581"/>
      <c r="P12" s="581"/>
      <c r="Q12" s="585" t="s">
        <v>521</v>
      </c>
      <c r="R12" s="581"/>
      <c r="S12" s="581"/>
      <c r="T12" s="581"/>
      <c r="U12" s="581"/>
      <c r="V12" s="581"/>
      <c r="W12" s="581"/>
      <c r="X12" s="581"/>
      <c r="Y12" s="581"/>
      <c r="Z12" s="581"/>
      <c r="AA12" s="581"/>
      <c r="AB12" s="581"/>
      <c r="AC12" s="576"/>
      <c r="AD12" s="576"/>
      <c r="AE12" s="576"/>
      <c r="AF12" s="576"/>
      <c r="AG12" s="576"/>
      <c r="AH12" s="576"/>
      <c r="AI12" s="576"/>
      <c r="AJ12" s="576"/>
      <c r="AK12" s="576"/>
      <c r="AL12" s="576"/>
      <c r="AM12" s="577"/>
      <c r="AN12" s="577"/>
      <c r="AO12" s="577"/>
      <c r="AP12" s="577"/>
      <c r="AQ12" s="577"/>
      <c r="AR12" s="577"/>
      <c r="AS12" s="577"/>
      <c r="AT12" s="577"/>
      <c r="AU12" s="1"/>
      <c r="AV12" s="1"/>
      <c r="AW12" s="1"/>
      <c r="AX12" s="1"/>
      <c r="AY12" s="1"/>
    </row>
    <row r="13" spans="1:51" s="6" customFormat="1" ht="15.6" customHeight="1" x14ac:dyDescent="0.25">
      <c r="A13" s="586"/>
      <c r="B13" s="587"/>
      <c r="C13" s="613"/>
      <c r="D13" s="614"/>
      <c r="E13" s="615"/>
      <c r="F13" s="616"/>
      <c r="G13" s="614"/>
      <c r="H13" s="615"/>
      <c r="I13" s="609">
        <v>90</v>
      </c>
      <c r="J13" s="609">
        <v>90</v>
      </c>
      <c r="K13" s="609">
        <v>90</v>
      </c>
      <c r="L13" s="609">
        <v>90</v>
      </c>
      <c r="M13" s="609">
        <v>90</v>
      </c>
      <c r="N13" s="609">
        <v>90</v>
      </c>
      <c r="O13" s="581"/>
      <c r="P13" s="581"/>
      <c r="Q13" s="585" t="s">
        <v>522</v>
      </c>
      <c r="R13" s="581"/>
      <c r="S13" s="581"/>
      <c r="T13" s="581"/>
      <c r="U13" s="581"/>
      <c r="V13" s="581"/>
      <c r="W13" s="581"/>
      <c r="X13" s="581"/>
      <c r="Y13" s="581"/>
      <c r="Z13" s="581"/>
      <c r="AA13" s="581"/>
      <c r="AB13" s="581"/>
      <c r="AC13" s="576"/>
      <c r="AD13" s="576"/>
      <c r="AE13" s="576"/>
      <c r="AF13" s="576"/>
      <c r="AG13" s="576"/>
      <c r="AH13" s="576"/>
      <c r="AI13" s="576"/>
      <c r="AJ13" s="576"/>
      <c r="AK13" s="576"/>
      <c r="AL13" s="576"/>
      <c r="AM13" s="577"/>
      <c r="AN13" s="577"/>
      <c r="AO13" s="577"/>
      <c r="AP13" s="577"/>
      <c r="AQ13" s="577"/>
      <c r="AR13" s="577"/>
      <c r="AS13" s="577"/>
      <c r="AT13" s="577"/>
      <c r="AU13" s="1"/>
      <c r="AV13" s="1"/>
      <c r="AW13" s="1"/>
      <c r="AX13" s="1"/>
      <c r="AY13" s="1"/>
    </row>
    <row r="14" spans="1:51" s="6" customFormat="1" ht="15.6" customHeight="1" x14ac:dyDescent="0.25">
      <c r="A14" s="586"/>
      <c r="B14" s="587"/>
      <c r="C14" s="607"/>
      <c r="D14" s="607"/>
      <c r="E14" s="607"/>
      <c r="F14" s="608"/>
      <c r="G14" s="608"/>
      <c r="H14" s="609">
        <v>90</v>
      </c>
      <c r="I14" s="609">
        <v>90</v>
      </c>
      <c r="J14" s="609">
        <v>90</v>
      </c>
      <c r="K14" s="609">
        <v>90</v>
      </c>
      <c r="L14" s="609">
        <v>90</v>
      </c>
      <c r="M14" s="609">
        <v>90</v>
      </c>
      <c r="N14" s="609">
        <v>90</v>
      </c>
      <c r="O14" s="581"/>
      <c r="P14" s="581"/>
      <c r="Q14" s="585" t="s">
        <v>523</v>
      </c>
      <c r="R14" s="581"/>
      <c r="S14" s="581"/>
      <c r="T14" s="581"/>
      <c r="U14" s="581"/>
      <c r="V14" s="581"/>
      <c r="W14" s="581"/>
      <c r="X14" s="581"/>
      <c r="Y14" s="581"/>
      <c r="Z14" s="581"/>
      <c r="AA14" s="581"/>
      <c r="AB14" s="581"/>
      <c r="AC14" s="576"/>
      <c r="AD14" s="576"/>
      <c r="AE14" s="576"/>
      <c r="AF14" s="576"/>
      <c r="AG14" s="576"/>
      <c r="AH14" s="576"/>
      <c r="AI14" s="576"/>
      <c r="AJ14" s="576"/>
      <c r="AK14" s="576"/>
      <c r="AL14" s="576"/>
      <c r="AM14" s="577"/>
      <c r="AN14" s="577"/>
      <c r="AO14" s="577"/>
      <c r="AP14" s="577"/>
      <c r="AQ14" s="577"/>
      <c r="AR14" s="577"/>
      <c r="AS14" s="577"/>
      <c r="AT14" s="577"/>
      <c r="AU14" s="1"/>
      <c r="AV14" s="1"/>
      <c r="AW14" s="1"/>
      <c r="AX14" s="1"/>
      <c r="AY14" s="1"/>
    </row>
    <row r="15" spans="1:51" s="6" customFormat="1" ht="15.6" customHeight="1" x14ac:dyDescent="0.25">
      <c r="A15" s="586"/>
      <c r="B15" s="587"/>
      <c r="C15" s="607"/>
      <c r="D15" s="607"/>
      <c r="E15" s="607"/>
      <c r="F15" s="608"/>
      <c r="G15" s="609">
        <v>90</v>
      </c>
      <c r="H15" s="609">
        <v>90</v>
      </c>
      <c r="I15" s="609">
        <v>90</v>
      </c>
      <c r="J15" s="609">
        <v>90</v>
      </c>
      <c r="K15" s="609">
        <v>90</v>
      </c>
      <c r="L15" s="609">
        <v>90</v>
      </c>
      <c r="M15" s="609">
        <v>90</v>
      </c>
      <c r="N15" s="609">
        <v>90</v>
      </c>
      <c r="O15" s="581"/>
      <c r="P15" s="581"/>
      <c r="Q15" s="581"/>
      <c r="R15" s="581"/>
      <c r="S15" s="581"/>
      <c r="T15" s="581"/>
      <c r="U15" s="581"/>
      <c r="V15" s="581"/>
      <c r="W15" s="581"/>
      <c r="X15" s="581"/>
      <c r="Y15" s="581"/>
      <c r="Z15" s="581"/>
      <c r="AA15" s="581"/>
      <c r="AB15" s="581"/>
      <c r="AC15" s="576"/>
      <c r="AD15" s="576"/>
      <c r="AE15" s="576"/>
      <c r="AF15" s="576"/>
      <c r="AG15" s="576"/>
      <c r="AH15" s="576"/>
      <c r="AI15" s="576"/>
      <c r="AJ15" s="576"/>
      <c r="AK15" s="576"/>
      <c r="AL15" s="576"/>
      <c r="AM15" s="577"/>
      <c r="AN15" s="577"/>
      <c r="AO15" s="577"/>
      <c r="AP15" s="577"/>
      <c r="AQ15" s="577"/>
      <c r="AR15" s="577"/>
      <c r="AS15" s="577"/>
      <c r="AT15" s="577"/>
      <c r="AU15" s="1"/>
      <c r="AV15" s="1"/>
      <c r="AW15" s="1"/>
      <c r="AX15" s="1"/>
      <c r="AY15" s="1"/>
    </row>
    <row r="16" spans="1:51" s="6" customFormat="1" ht="15.6" customHeight="1" x14ac:dyDescent="0.25">
      <c r="A16" s="586"/>
      <c r="B16" s="587"/>
      <c r="C16" s="607"/>
      <c r="D16" s="607"/>
      <c r="E16" s="607"/>
      <c r="F16" s="609">
        <v>90</v>
      </c>
      <c r="G16" s="609">
        <v>90</v>
      </c>
      <c r="H16" s="609">
        <v>90</v>
      </c>
      <c r="I16" s="609">
        <v>90</v>
      </c>
      <c r="J16" s="609">
        <v>90</v>
      </c>
      <c r="K16" s="609">
        <v>90</v>
      </c>
      <c r="L16" s="609">
        <v>90</v>
      </c>
      <c r="M16" s="609">
        <v>90</v>
      </c>
      <c r="N16" s="609">
        <v>90</v>
      </c>
      <c r="O16" s="581"/>
      <c r="P16" s="581"/>
      <c r="Q16" s="581"/>
      <c r="R16" s="581"/>
      <c r="S16" s="581"/>
      <c r="T16" s="581"/>
      <c r="U16" s="581"/>
      <c r="V16" s="581"/>
      <c r="W16" s="584" t="s">
        <v>524</v>
      </c>
      <c r="X16" s="581"/>
      <c r="Y16" s="581"/>
      <c r="Z16" s="581"/>
      <c r="AA16" s="581"/>
      <c r="AB16" s="581"/>
      <c r="AC16" s="576"/>
      <c r="AD16" s="576"/>
      <c r="AE16" s="576"/>
      <c r="AF16" s="576"/>
      <c r="AG16" s="576"/>
      <c r="AH16" s="576"/>
      <c r="AI16" s="576"/>
      <c r="AJ16" s="576"/>
      <c r="AK16" s="576"/>
      <c r="AL16" s="576"/>
      <c r="AM16" s="577"/>
      <c r="AN16" s="577"/>
      <c r="AO16" s="577"/>
      <c r="AP16" s="577"/>
      <c r="AQ16" s="577"/>
      <c r="AR16" s="577"/>
      <c r="AS16" s="577"/>
      <c r="AT16" s="577"/>
      <c r="AU16" s="1"/>
      <c r="AV16" s="1"/>
      <c r="AW16" s="1"/>
      <c r="AX16" s="1"/>
      <c r="AY16" s="1"/>
    </row>
    <row r="17" spans="1:51" s="6" customFormat="1" ht="15.6" customHeight="1" x14ac:dyDescent="0.25">
      <c r="A17" s="586"/>
      <c r="B17" s="587"/>
      <c r="C17" s="607"/>
      <c r="D17" s="607"/>
      <c r="E17" s="609">
        <v>90</v>
      </c>
      <c r="F17" s="609">
        <v>90</v>
      </c>
      <c r="G17" s="609">
        <v>90</v>
      </c>
      <c r="H17" s="609">
        <v>90</v>
      </c>
      <c r="I17" s="609">
        <v>90</v>
      </c>
      <c r="J17" s="609">
        <v>90</v>
      </c>
      <c r="K17" s="609">
        <v>90</v>
      </c>
      <c r="L17" s="609">
        <v>90</v>
      </c>
      <c r="M17" s="609">
        <v>90</v>
      </c>
      <c r="N17" s="609">
        <v>90</v>
      </c>
      <c r="O17" s="581"/>
      <c r="P17" s="581"/>
      <c r="Q17" s="581"/>
      <c r="R17" s="581"/>
      <c r="S17" s="581"/>
      <c r="T17" s="581"/>
      <c r="U17" s="581"/>
      <c r="V17" s="581"/>
      <c r="W17" s="617" t="s">
        <v>525</v>
      </c>
      <c r="X17" s="617" t="s">
        <v>526</v>
      </c>
      <c r="Y17" s="617" t="s">
        <v>527</v>
      </c>
      <c r="Z17" s="581"/>
      <c r="AA17" s="581"/>
      <c r="AB17" s="581"/>
      <c r="AC17" s="576"/>
      <c r="AD17" s="576"/>
      <c r="AE17" s="576"/>
      <c r="AF17" s="576"/>
      <c r="AG17" s="576"/>
      <c r="AH17" s="576"/>
      <c r="AI17" s="576"/>
      <c r="AJ17" s="576"/>
      <c r="AK17" s="576"/>
      <c r="AL17" s="576"/>
      <c r="AM17" s="577"/>
      <c r="AN17" s="577"/>
      <c r="AO17" s="577"/>
      <c r="AP17" s="577"/>
      <c r="AQ17" s="577"/>
      <c r="AR17" s="577"/>
      <c r="AS17" s="577"/>
      <c r="AT17" s="577"/>
      <c r="AU17" s="1"/>
      <c r="AV17" s="1"/>
      <c r="AW17" s="1"/>
      <c r="AX17" s="1"/>
      <c r="AY17" s="1"/>
    </row>
    <row r="18" spans="1:51" s="597" customFormat="1" ht="15.6" customHeight="1" x14ac:dyDescent="0.25">
      <c r="A18" s="586"/>
      <c r="B18" s="587"/>
      <c r="C18" s="607"/>
      <c r="D18" s="609">
        <v>90</v>
      </c>
      <c r="E18" s="609">
        <v>90</v>
      </c>
      <c r="F18" s="609">
        <v>90</v>
      </c>
      <c r="G18" s="609">
        <v>90</v>
      </c>
      <c r="H18" s="609">
        <v>90</v>
      </c>
      <c r="I18" s="609">
        <v>90</v>
      </c>
      <c r="J18" s="609">
        <v>90</v>
      </c>
      <c r="K18" s="609">
        <v>90</v>
      </c>
      <c r="L18" s="609">
        <v>90</v>
      </c>
      <c r="M18" s="609">
        <v>90</v>
      </c>
      <c r="N18" s="609">
        <v>90</v>
      </c>
      <c r="O18" s="581"/>
      <c r="P18" s="581"/>
      <c r="Q18" s="581"/>
      <c r="R18" s="581"/>
      <c r="S18" s="581"/>
      <c r="T18" s="581"/>
      <c r="U18" s="581"/>
      <c r="V18" s="581"/>
      <c r="W18" s="618">
        <v>0.5</v>
      </c>
      <c r="X18" s="619">
        <v>9</v>
      </c>
      <c r="Y18" s="620">
        <f>X18/12*W18</f>
        <v>0.375</v>
      </c>
      <c r="Z18" s="581"/>
      <c r="AA18" s="581"/>
      <c r="AB18" s="581"/>
      <c r="AC18" s="576"/>
      <c r="AD18" s="576"/>
      <c r="AE18" s="576"/>
      <c r="AF18" s="576"/>
      <c r="AG18" s="576"/>
      <c r="AH18" s="576"/>
      <c r="AI18" s="576"/>
      <c r="AJ18" s="576"/>
      <c r="AK18" s="576"/>
      <c r="AL18" s="576"/>
      <c r="AM18" s="577"/>
      <c r="AN18" s="577"/>
      <c r="AO18" s="577"/>
      <c r="AP18" s="577"/>
      <c r="AQ18" s="577"/>
      <c r="AR18" s="577"/>
      <c r="AS18" s="577"/>
      <c r="AT18" s="577"/>
      <c r="AU18" s="586"/>
      <c r="AV18" s="586"/>
      <c r="AW18" s="586"/>
      <c r="AX18" s="586"/>
      <c r="AY18" s="586"/>
    </row>
    <row r="19" spans="1:51" s="621" customFormat="1" ht="15.6" customHeight="1" x14ac:dyDescent="0.25">
      <c r="A19" s="586"/>
      <c r="B19" s="587"/>
      <c r="C19" s="609">
        <v>90</v>
      </c>
      <c r="D19" s="609">
        <v>90</v>
      </c>
      <c r="E19" s="609">
        <v>90</v>
      </c>
      <c r="F19" s="609">
        <v>90</v>
      </c>
      <c r="G19" s="609">
        <v>90</v>
      </c>
      <c r="H19" s="609">
        <v>90</v>
      </c>
      <c r="I19" s="609">
        <v>90</v>
      </c>
      <c r="J19" s="609">
        <v>90</v>
      </c>
      <c r="K19" s="609">
        <v>90</v>
      </c>
      <c r="L19" s="609">
        <v>90</v>
      </c>
      <c r="M19" s="609">
        <v>90</v>
      </c>
      <c r="N19" s="609">
        <v>90</v>
      </c>
      <c r="O19" s="581"/>
      <c r="P19" s="581"/>
      <c r="Q19" s="581"/>
      <c r="R19" s="581"/>
      <c r="S19" s="581"/>
      <c r="T19" s="581"/>
      <c r="U19" s="581"/>
      <c r="V19" s="581"/>
      <c r="W19" s="618">
        <v>0.9</v>
      </c>
      <c r="X19" s="619">
        <v>3</v>
      </c>
      <c r="Y19" s="620">
        <f>X19/12*W19</f>
        <v>0.22500000000000001</v>
      </c>
      <c r="Z19" s="581"/>
      <c r="AA19" s="581"/>
      <c r="AB19" s="581"/>
      <c r="AC19" s="576"/>
      <c r="AD19" s="576"/>
      <c r="AE19" s="576"/>
      <c r="AF19" s="576"/>
      <c r="AG19" s="576"/>
      <c r="AH19" s="576"/>
      <c r="AI19" s="576"/>
      <c r="AJ19" s="576"/>
      <c r="AK19" s="576"/>
      <c r="AL19" s="576"/>
      <c r="AM19" s="577"/>
      <c r="AN19" s="577"/>
      <c r="AO19" s="577"/>
      <c r="AP19" s="577"/>
      <c r="AQ19" s="577"/>
      <c r="AR19" s="577"/>
      <c r="AS19" s="577"/>
      <c r="AT19" s="577"/>
      <c r="AU19" s="8"/>
      <c r="AV19" s="8"/>
      <c r="AW19" s="8"/>
      <c r="AX19" s="8"/>
      <c r="AY19" s="8"/>
    </row>
    <row r="20" spans="1:51" s="621" customFormat="1" x14ac:dyDescent="0.25">
      <c r="A20" s="586"/>
      <c r="B20" s="587"/>
      <c r="C20" s="587"/>
      <c r="D20" s="587"/>
      <c r="E20" s="587"/>
      <c r="F20" s="587"/>
      <c r="G20" s="587"/>
      <c r="H20" s="587"/>
      <c r="I20" s="587"/>
      <c r="J20" s="587"/>
      <c r="K20" s="587"/>
      <c r="L20" s="587"/>
      <c r="M20" s="587"/>
      <c r="N20" s="587"/>
      <c r="O20" s="587"/>
      <c r="P20" s="587"/>
      <c r="Q20" s="587"/>
      <c r="R20" s="581"/>
      <c r="S20" s="581"/>
      <c r="T20" s="581"/>
      <c r="U20" s="581"/>
      <c r="V20" s="581"/>
      <c r="W20" s="581"/>
      <c r="X20" s="581"/>
      <c r="Y20" s="793">
        <f>SUM(Y18:Y19)</f>
        <v>0.6</v>
      </c>
      <c r="Z20" s="581"/>
      <c r="AA20" s="581"/>
      <c r="AB20" s="581"/>
      <c r="AC20" s="576"/>
      <c r="AD20" s="576"/>
      <c r="AE20" s="576"/>
      <c r="AF20" s="576"/>
      <c r="AG20" s="576"/>
      <c r="AH20" s="576"/>
      <c r="AI20" s="576"/>
      <c r="AJ20" s="576"/>
      <c r="AK20" s="576"/>
      <c r="AL20" s="576"/>
      <c r="AM20" s="577"/>
      <c r="AN20" s="577"/>
      <c r="AO20" s="577"/>
      <c r="AP20" s="577"/>
      <c r="AQ20" s="577"/>
      <c r="AR20" s="577"/>
      <c r="AS20" s="577"/>
      <c r="AT20" s="577"/>
      <c r="AU20" s="8"/>
      <c r="AV20" s="8"/>
      <c r="AW20" s="8"/>
      <c r="AX20" s="8"/>
      <c r="AY20" s="8"/>
    </row>
    <row r="21" spans="1:51" s="621" customFormat="1" x14ac:dyDescent="0.25">
      <c r="A21" s="586" t="s">
        <v>528</v>
      </c>
      <c r="B21" s="622">
        <v>1200</v>
      </c>
      <c r="C21" s="623">
        <f>$B$21/12</f>
        <v>100</v>
      </c>
      <c r="D21" s="623">
        <f t="shared" ref="D21:M21" si="0">$B$21/12</f>
        <v>100</v>
      </c>
      <c r="E21" s="623">
        <f t="shared" si="0"/>
        <v>100</v>
      </c>
      <c r="F21" s="623">
        <f t="shared" si="0"/>
        <v>100</v>
      </c>
      <c r="G21" s="623">
        <f t="shared" si="0"/>
        <v>100</v>
      </c>
      <c r="H21" s="623">
        <f t="shared" si="0"/>
        <v>100</v>
      </c>
      <c r="I21" s="623">
        <f t="shared" si="0"/>
        <v>100</v>
      </c>
      <c r="J21" s="623">
        <f t="shared" si="0"/>
        <v>100</v>
      </c>
      <c r="K21" s="623">
        <f t="shared" si="0"/>
        <v>100</v>
      </c>
      <c r="L21" s="623">
        <f t="shared" si="0"/>
        <v>100</v>
      </c>
      <c r="M21" s="623">
        <f t="shared" si="0"/>
        <v>100</v>
      </c>
      <c r="N21" s="623">
        <f>$B$21/12</f>
        <v>100</v>
      </c>
      <c r="O21" s="581"/>
      <c r="P21" s="581"/>
      <c r="Q21" s="581"/>
      <c r="R21" s="581"/>
      <c r="S21" s="581"/>
      <c r="T21" s="581"/>
      <c r="U21" s="581"/>
      <c r="V21" s="581"/>
      <c r="W21" s="581"/>
      <c r="X21" s="581"/>
      <c r="Y21" s="581"/>
      <c r="Z21" s="581"/>
      <c r="AA21" s="581"/>
      <c r="AB21" s="581"/>
      <c r="AC21" s="576"/>
      <c r="AD21" s="576"/>
      <c r="AE21" s="576"/>
      <c r="AF21" s="576"/>
      <c r="AG21" s="576"/>
      <c r="AH21" s="576"/>
      <c r="AI21" s="576"/>
      <c r="AJ21" s="576"/>
      <c r="AK21" s="576"/>
      <c r="AL21" s="576"/>
      <c r="AM21" s="577"/>
      <c r="AN21" s="577"/>
      <c r="AO21" s="577"/>
      <c r="AP21" s="577"/>
      <c r="AQ21" s="577"/>
      <c r="AR21" s="577"/>
      <c r="AS21" s="577"/>
      <c r="AT21" s="577"/>
      <c r="AU21" s="8"/>
      <c r="AV21" s="8"/>
      <c r="AW21" s="8"/>
      <c r="AX21" s="8"/>
      <c r="AY21" s="8"/>
    </row>
    <row r="22" spans="1:51" s="621" customFormat="1" x14ac:dyDescent="0.25">
      <c r="A22" s="586" t="s">
        <v>529</v>
      </c>
      <c r="B22" s="624">
        <v>0.9</v>
      </c>
      <c r="C22" s="625"/>
      <c r="D22" s="625"/>
      <c r="E22" s="625"/>
      <c r="F22" s="625"/>
      <c r="G22" s="625"/>
      <c r="H22" s="625"/>
      <c r="I22" s="625"/>
      <c r="J22" s="625"/>
      <c r="K22" s="625"/>
      <c r="L22" s="625"/>
      <c r="M22" s="625"/>
      <c r="N22" s="625"/>
      <c r="O22" s="581"/>
      <c r="P22" s="581"/>
      <c r="Q22" s="581"/>
      <c r="R22" s="581"/>
      <c r="S22" s="581"/>
      <c r="T22" s="581"/>
      <c r="U22" s="581"/>
      <c r="V22" s="581"/>
      <c r="W22" s="581"/>
      <c r="X22" s="581"/>
      <c r="Y22" s="581"/>
      <c r="Z22" s="581"/>
      <c r="AA22" s="581"/>
      <c r="AB22" s="581"/>
      <c r="AC22" s="576"/>
      <c r="AD22" s="576"/>
      <c r="AE22" s="576"/>
      <c r="AF22" s="576"/>
      <c r="AG22" s="576"/>
      <c r="AH22" s="576"/>
      <c r="AI22" s="576"/>
      <c r="AJ22" s="576"/>
      <c r="AK22" s="576"/>
      <c r="AL22" s="576"/>
      <c r="AM22" s="577"/>
      <c r="AN22" s="577"/>
      <c r="AO22" s="577"/>
      <c r="AP22" s="577"/>
      <c r="AQ22" s="577"/>
      <c r="AR22" s="577"/>
      <c r="AS22" s="577"/>
      <c r="AT22" s="577"/>
      <c r="AU22" s="8"/>
      <c r="AV22" s="8"/>
      <c r="AW22" s="8"/>
      <c r="AX22" s="8"/>
      <c r="AY22" s="8"/>
    </row>
    <row r="23" spans="1:51" s="6" customFormat="1" ht="13.8" x14ac:dyDescent="0.25">
      <c r="A23" s="586" t="s">
        <v>530</v>
      </c>
      <c r="B23" s="587"/>
      <c r="C23" s="626">
        <f>SUM(C8:C19)</f>
        <v>90</v>
      </c>
      <c r="D23" s="626">
        <f t="shared" ref="D23:N23" si="1">SUM(D8:D19)</f>
        <v>180</v>
      </c>
      <c r="E23" s="626">
        <f t="shared" si="1"/>
        <v>270</v>
      </c>
      <c r="F23" s="626">
        <f t="shared" si="1"/>
        <v>360</v>
      </c>
      <c r="G23" s="626">
        <f t="shared" si="1"/>
        <v>450</v>
      </c>
      <c r="H23" s="626">
        <f t="shared" si="1"/>
        <v>540</v>
      </c>
      <c r="I23" s="626">
        <f t="shared" si="1"/>
        <v>630</v>
      </c>
      <c r="J23" s="626">
        <f t="shared" si="1"/>
        <v>720</v>
      </c>
      <c r="K23" s="626">
        <f t="shared" si="1"/>
        <v>810</v>
      </c>
      <c r="L23" s="626">
        <f t="shared" si="1"/>
        <v>900</v>
      </c>
      <c r="M23" s="626">
        <f t="shared" si="1"/>
        <v>990</v>
      </c>
      <c r="N23" s="627">
        <f t="shared" si="1"/>
        <v>1080</v>
      </c>
      <c r="O23" s="628" t="s">
        <v>531</v>
      </c>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1"/>
      <c r="AR23" s="1"/>
      <c r="AS23" s="1"/>
      <c r="AT23" s="1"/>
      <c r="AU23" s="1"/>
      <c r="AV23" s="1"/>
      <c r="AW23" s="1"/>
      <c r="AX23" s="1"/>
      <c r="AY23" s="1"/>
    </row>
    <row r="24" spans="1:51" x14ac:dyDescent="0.25">
      <c r="A24" s="586" t="s">
        <v>532</v>
      </c>
      <c r="B24" s="587"/>
      <c r="C24" s="629">
        <f>C23/$B$21</f>
        <v>7.4999999999999997E-2</v>
      </c>
      <c r="D24" s="629">
        <f t="shared" ref="D24:N24" si="2">D23/$B$21</f>
        <v>0.15</v>
      </c>
      <c r="E24" s="629">
        <f t="shared" si="2"/>
        <v>0.22500000000000001</v>
      </c>
      <c r="F24" s="629">
        <f t="shared" si="2"/>
        <v>0.3</v>
      </c>
      <c r="G24" s="629">
        <f t="shared" si="2"/>
        <v>0.375</v>
      </c>
      <c r="H24" s="629">
        <f t="shared" si="2"/>
        <v>0.45</v>
      </c>
      <c r="I24" s="629">
        <f t="shared" si="2"/>
        <v>0.52500000000000002</v>
      </c>
      <c r="J24" s="629">
        <f t="shared" si="2"/>
        <v>0.6</v>
      </c>
      <c r="K24" s="629">
        <f t="shared" si="2"/>
        <v>0.67500000000000004</v>
      </c>
      <c r="L24" s="629">
        <f t="shared" si="2"/>
        <v>0.75</v>
      </c>
      <c r="M24" s="629">
        <f t="shared" si="2"/>
        <v>0.82499999999999996</v>
      </c>
      <c r="N24" s="629">
        <f t="shared" si="2"/>
        <v>0.9</v>
      </c>
      <c r="O24" s="628" t="s">
        <v>533</v>
      </c>
      <c r="P24" s="581"/>
      <c r="Q24" s="581"/>
      <c r="R24" s="581"/>
      <c r="S24" s="581"/>
      <c r="T24" s="581"/>
      <c r="U24" s="581"/>
      <c r="V24" s="581"/>
      <c r="W24" s="581"/>
      <c r="X24" s="581"/>
      <c r="Y24" s="581"/>
      <c r="Z24" s="581"/>
      <c r="AA24" s="581"/>
      <c r="AB24" s="630"/>
      <c r="AC24" s="631"/>
      <c r="AD24" s="631"/>
      <c r="AE24" s="631"/>
      <c r="AF24" s="631"/>
      <c r="AG24" s="631"/>
      <c r="AH24" s="631"/>
      <c r="AI24" s="631"/>
      <c r="AJ24" s="631"/>
      <c r="AK24" s="631"/>
      <c r="AL24" s="631"/>
      <c r="AM24" s="631"/>
      <c r="AN24" s="631"/>
      <c r="AO24" s="631"/>
      <c r="AP24" s="631"/>
      <c r="AQ24" s="577"/>
      <c r="AR24" s="577"/>
      <c r="AS24" s="577"/>
      <c r="AT24" s="577"/>
      <c r="AU24" s="577"/>
      <c r="AV24" s="577"/>
      <c r="AW24" s="577"/>
      <c r="AX24" s="577"/>
      <c r="AY24" s="577"/>
    </row>
    <row r="25" spans="1:51" x14ac:dyDescent="0.25">
      <c r="A25" s="632"/>
      <c r="B25" s="587"/>
      <c r="C25" s="581"/>
      <c r="D25" s="633"/>
      <c r="E25" s="633"/>
      <c r="F25" s="634"/>
      <c r="G25" s="634"/>
      <c r="H25" s="634"/>
      <c r="I25" s="581"/>
      <c r="J25" s="581"/>
      <c r="K25" s="581"/>
      <c r="L25" s="581"/>
      <c r="M25" s="581"/>
      <c r="N25" s="635" t="s">
        <v>534</v>
      </c>
      <c r="O25" s="1"/>
      <c r="P25" s="581"/>
      <c r="Q25" s="581"/>
      <c r="R25" s="581"/>
      <c r="S25" s="581"/>
      <c r="T25" s="581"/>
      <c r="U25" s="581"/>
      <c r="V25" s="581"/>
      <c r="W25" s="581"/>
      <c r="X25" s="581"/>
      <c r="Y25" s="581"/>
      <c r="Z25" s="581"/>
      <c r="AA25" s="581"/>
      <c r="AB25" s="581"/>
      <c r="AC25" s="576"/>
      <c r="AD25" s="636"/>
      <c r="AE25" s="576"/>
      <c r="AF25" s="576"/>
      <c r="AG25" s="576"/>
      <c r="AH25" s="576"/>
      <c r="AI25" s="576"/>
      <c r="AJ25" s="576"/>
      <c r="AK25" s="576"/>
      <c r="AL25" s="576"/>
      <c r="AM25" s="576"/>
      <c r="AN25" s="576"/>
      <c r="AO25" s="576"/>
      <c r="AP25" s="636"/>
      <c r="AQ25" s="577"/>
      <c r="AR25" s="577"/>
      <c r="AS25" s="577"/>
      <c r="AT25" s="577"/>
      <c r="AU25" s="577"/>
      <c r="AV25" s="577"/>
      <c r="AW25" s="577"/>
      <c r="AX25" s="577"/>
      <c r="AY25" s="577"/>
    </row>
    <row r="26" spans="1:51" x14ac:dyDescent="0.25">
      <c r="A26" s="632"/>
      <c r="B26" s="587"/>
      <c r="C26" s="581"/>
      <c r="D26" s="633"/>
      <c r="E26" s="633"/>
      <c r="F26" s="634"/>
      <c r="G26" s="634"/>
      <c r="H26" s="634"/>
      <c r="I26" s="581"/>
      <c r="J26" s="581"/>
      <c r="K26" s="581"/>
      <c r="L26" s="581"/>
      <c r="M26" s="581"/>
      <c r="N26" s="637"/>
      <c r="O26" s="581"/>
      <c r="P26" s="581"/>
      <c r="Q26" s="581"/>
      <c r="R26" s="581"/>
      <c r="S26" s="581"/>
      <c r="T26" s="581"/>
      <c r="U26" s="581"/>
      <c r="V26" s="581"/>
      <c r="W26" s="581"/>
      <c r="X26" s="581"/>
      <c r="Y26" s="581"/>
      <c r="Z26" s="581"/>
      <c r="AA26" s="581"/>
      <c r="AB26" s="581"/>
      <c r="AC26" s="576"/>
      <c r="AD26" s="638"/>
      <c r="AE26" s="576"/>
      <c r="AF26" s="576"/>
      <c r="AG26" s="576"/>
      <c r="AH26" s="576"/>
      <c r="AI26" s="576"/>
      <c r="AJ26" s="576"/>
      <c r="AK26" s="576"/>
      <c r="AL26" s="576"/>
      <c r="AM26" s="576"/>
      <c r="AN26" s="576"/>
      <c r="AO26" s="576"/>
      <c r="AP26" s="638"/>
      <c r="AQ26" s="577"/>
      <c r="AR26" s="577"/>
      <c r="AS26" s="577"/>
      <c r="AT26" s="577"/>
      <c r="AU26" s="577"/>
      <c r="AV26" s="577"/>
      <c r="AW26" s="577"/>
      <c r="AX26" s="577"/>
      <c r="AY26" s="577"/>
    </row>
    <row r="27" spans="1:51" ht="15.6" x14ac:dyDescent="0.3">
      <c r="A27" s="632"/>
      <c r="B27" s="634"/>
      <c r="C27" s="581"/>
      <c r="D27" s="633"/>
      <c r="E27" s="633"/>
      <c r="F27" s="634"/>
      <c r="G27" s="634"/>
      <c r="H27" s="634"/>
      <c r="I27" s="581"/>
      <c r="J27" s="581"/>
      <c r="K27" s="581"/>
      <c r="L27" s="581"/>
      <c r="M27" s="637" t="s">
        <v>535</v>
      </c>
      <c r="N27" s="639">
        <f>ROUNDUP((C23+D23+E23+F23+G23+H23+I23+J23+K23+L23+M23+N23)/(12*1200),1)</f>
        <v>0.5</v>
      </c>
      <c r="O27" s="584"/>
      <c r="P27" s="581"/>
      <c r="Q27" s="581"/>
      <c r="R27" s="581"/>
      <c r="S27" s="581"/>
      <c r="T27" s="581"/>
      <c r="U27" s="581"/>
      <c r="V27" s="581"/>
      <c r="W27" s="581"/>
      <c r="X27" s="581"/>
      <c r="Y27" s="581"/>
      <c r="Z27" s="581"/>
      <c r="AA27" s="581"/>
      <c r="AB27" s="581"/>
      <c r="AC27" s="576"/>
      <c r="AD27" s="640"/>
      <c r="AE27" s="576"/>
      <c r="AF27" s="576"/>
      <c r="AG27" s="576"/>
      <c r="AH27" s="576"/>
      <c r="AI27" s="576"/>
      <c r="AJ27" s="576"/>
      <c r="AK27" s="576"/>
      <c r="AL27" s="576"/>
      <c r="AM27" s="576"/>
      <c r="AN27" s="576"/>
      <c r="AO27" s="576"/>
      <c r="AP27" s="641"/>
      <c r="AQ27" s="577"/>
      <c r="AR27" s="577"/>
      <c r="AS27" s="577"/>
      <c r="AT27" s="577"/>
      <c r="AU27" s="577"/>
      <c r="AV27" s="577"/>
      <c r="AW27" s="577"/>
      <c r="AX27" s="577"/>
      <c r="AY27" s="577"/>
    </row>
    <row r="28" spans="1:51" ht="15.6" x14ac:dyDescent="0.3">
      <c r="A28" s="632"/>
      <c r="B28" s="634"/>
      <c r="C28" s="581"/>
      <c r="D28" s="633"/>
      <c r="E28" s="633"/>
      <c r="F28" s="634"/>
      <c r="G28" s="634"/>
      <c r="H28" s="634"/>
      <c r="I28" s="581"/>
      <c r="J28" s="581"/>
      <c r="K28" s="581"/>
      <c r="L28" s="581"/>
      <c r="M28" s="581"/>
      <c r="N28" s="637"/>
      <c r="O28" s="581"/>
      <c r="P28" s="581"/>
      <c r="Q28" s="581"/>
      <c r="R28" s="581"/>
      <c r="S28" s="581"/>
      <c r="T28" s="581"/>
      <c r="U28" s="581"/>
      <c r="V28" s="581"/>
      <c r="W28" s="581"/>
      <c r="X28" s="581"/>
      <c r="Y28" s="581"/>
      <c r="Z28" s="581"/>
      <c r="AA28" s="581"/>
      <c r="AB28" s="581"/>
      <c r="AC28" s="576"/>
      <c r="AD28" s="642"/>
      <c r="AE28" s="576"/>
      <c r="AF28" s="576"/>
      <c r="AG28" s="576"/>
      <c r="AH28" s="576"/>
      <c r="AI28" s="576"/>
      <c r="AJ28" s="576"/>
      <c r="AK28" s="576"/>
      <c r="AL28" s="576"/>
      <c r="AM28" s="576"/>
      <c r="AN28" s="576"/>
      <c r="AO28" s="576"/>
      <c r="AP28" s="642"/>
      <c r="AQ28" s="577"/>
      <c r="AR28" s="577"/>
      <c r="AS28" s="577"/>
      <c r="AT28" s="577"/>
      <c r="AU28" s="577"/>
      <c r="AV28" s="577"/>
      <c r="AW28" s="577"/>
      <c r="AX28" s="577"/>
      <c r="AY28" s="577"/>
    </row>
    <row r="29" spans="1:51" ht="15.6" x14ac:dyDescent="0.3">
      <c r="A29" s="632"/>
      <c r="B29" s="634"/>
      <c r="C29" s="581"/>
      <c r="D29" s="633"/>
      <c r="E29" s="633"/>
      <c r="F29" s="634"/>
      <c r="G29" s="634"/>
      <c r="H29" s="634"/>
      <c r="I29" s="581"/>
      <c r="J29" s="581"/>
      <c r="K29" s="581"/>
      <c r="L29" s="581"/>
      <c r="M29" s="581"/>
      <c r="N29" s="643" t="s">
        <v>536</v>
      </c>
      <c r="O29" s="581"/>
      <c r="P29" s="581"/>
      <c r="Q29" s="581"/>
      <c r="R29" s="581"/>
      <c r="S29" s="581"/>
      <c r="T29" s="581"/>
      <c r="U29" s="581"/>
      <c r="V29" s="581"/>
      <c r="W29" s="581"/>
      <c r="X29" s="581"/>
      <c r="Y29" s="581"/>
      <c r="Z29" s="581"/>
      <c r="AA29" s="581"/>
      <c r="AB29" s="581"/>
      <c r="AC29" s="576"/>
      <c r="AD29" s="642"/>
      <c r="AE29" s="576"/>
      <c r="AF29" s="576"/>
      <c r="AG29" s="576"/>
      <c r="AH29" s="576"/>
      <c r="AI29" s="576"/>
      <c r="AJ29" s="576"/>
      <c r="AK29" s="576"/>
      <c r="AL29" s="576"/>
      <c r="AM29" s="576"/>
      <c r="AN29" s="576"/>
      <c r="AO29" s="576"/>
      <c r="AP29" s="642"/>
      <c r="AQ29" s="577"/>
      <c r="AR29" s="577"/>
      <c r="AS29" s="577"/>
      <c r="AT29" s="577"/>
      <c r="AU29" s="577"/>
      <c r="AV29" s="577"/>
      <c r="AW29" s="577"/>
      <c r="AX29" s="577"/>
      <c r="AY29" s="577"/>
    </row>
    <row r="30" spans="1:51" ht="15.6" x14ac:dyDescent="0.3">
      <c r="A30" s="632"/>
      <c r="B30" s="634"/>
      <c r="C30" s="581"/>
      <c r="D30" s="633"/>
      <c r="E30" s="633"/>
      <c r="F30" s="634"/>
      <c r="G30" s="634"/>
      <c r="H30" s="634"/>
      <c r="I30" s="581"/>
      <c r="J30" s="581"/>
      <c r="K30" s="581"/>
      <c r="L30" s="581"/>
      <c r="M30" s="581"/>
      <c r="N30" s="637" t="s">
        <v>537</v>
      </c>
      <c r="O30" s="581"/>
      <c r="P30" s="581"/>
      <c r="Q30" s="581"/>
      <c r="R30" s="581"/>
      <c r="S30" s="581"/>
      <c r="T30" s="581"/>
      <c r="U30" s="581"/>
      <c r="V30" s="581"/>
      <c r="W30" s="581"/>
      <c r="X30" s="581"/>
      <c r="Y30" s="581"/>
      <c r="Z30" s="581"/>
      <c r="AA30" s="581"/>
      <c r="AB30" s="581"/>
      <c r="AC30" s="576"/>
      <c r="AD30" s="640"/>
      <c r="AE30" s="576"/>
      <c r="AF30" s="576"/>
      <c r="AG30" s="576"/>
      <c r="AH30" s="576"/>
      <c r="AI30" s="576"/>
      <c r="AJ30" s="576"/>
      <c r="AK30" s="576"/>
      <c r="AL30" s="576"/>
      <c r="AM30" s="576"/>
      <c r="AN30" s="576"/>
      <c r="AO30" s="576"/>
      <c r="AP30" s="641"/>
      <c r="AQ30" s="577"/>
      <c r="AR30" s="577"/>
      <c r="AS30" s="577"/>
      <c r="AT30" s="577"/>
      <c r="AU30" s="577"/>
      <c r="AV30" s="577"/>
      <c r="AW30" s="577"/>
      <c r="AX30" s="577"/>
      <c r="AY30" s="577"/>
    </row>
    <row r="31" spans="1:51" s="646" customFormat="1" x14ac:dyDescent="0.25">
      <c r="A31" s="644"/>
      <c r="B31" s="587"/>
      <c r="C31" s="1"/>
      <c r="D31" s="51"/>
      <c r="E31" s="51"/>
      <c r="F31" s="51"/>
      <c r="G31" s="51"/>
      <c r="H31" s="51"/>
      <c r="I31" s="51"/>
      <c r="J31" s="51"/>
      <c r="K31" s="51"/>
      <c r="L31" s="51"/>
      <c r="M31" s="51"/>
      <c r="N31" s="637" t="s">
        <v>538</v>
      </c>
      <c r="O31" s="587"/>
      <c r="P31" s="587"/>
      <c r="Q31" s="587"/>
      <c r="R31" s="587"/>
      <c r="S31" s="587"/>
      <c r="T31" s="587"/>
      <c r="U31" s="587"/>
      <c r="V31" s="587"/>
      <c r="W31" s="587"/>
      <c r="X31" s="587"/>
      <c r="Y31" s="587"/>
      <c r="Z31" s="587"/>
      <c r="AA31" s="587"/>
      <c r="AB31" s="587"/>
      <c r="AC31" s="645"/>
      <c r="AD31" s="645"/>
      <c r="AE31" s="645"/>
      <c r="AF31" s="645"/>
      <c r="AG31" s="645"/>
      <c r="AH31" s="645"/>
      <c r="AI31" s="645"/>
      <c r="AJ31" s="645"/>
      <c r="AK31" s="645"/>
      <c r="AL31" s="645"/>
      <c r="AM31" s="645"/>
      <c r="AN31" s="645"/>
      <c r="AO31" s="645"/>
      <c r="AP31" s="645"/>
      <c r="AQ31" s="645"/>
      <c r="AR31" s="645"/>
      <c r="AS31" s="645"/>
      <c r="AT31" s="645"/>
      <c r="AU31" s="645"/>
      <c r="AV31" s="645"/>
      <c r="AW31" s="645"/>
      <c r="AX31" s="645"/>
      <c r="AY31" s="645"/>
    </row>
    <row r="32" spans="1:51" s="646" customFormat="1" x14ac:dyDescent="0.25">
      <c r="A32" s="644"/>
      <c r="B32" s="587"/>
      <c r="C32" s="1"/>
      <c r="D32" s="51"/>
      <c r="E32" s="51"/>
      <c r="F32" s="51"/>
      <c r="G32" s="51"/>
      <c r="H32" s="51"/>
      <c r="I32" s="51"/>
      <c r="J32" s="51"/>
      <c r="K32" s="51"/>
      <c r="L32" s="51"/>
      <c r="M32" s="51"/>
      <c r="N32" s="637" t="s">
        <v>539</v>
      </c>
      <c r="O32" s="587"/>
      <c r="P32" s="587"/>
      <c r="Q32" s="587"/>
      <c r="R32" s="587"/>
      <c r="S32" s="587"/>
      <c r="T32" s="587"/>
      <c r="U32" s="587"/>
      <c r="V32" s="587"/>
      <c r="W32" s="587"/>
      <c r="X32" s="587"/>
      <c r="Y32" s="587"/>
      <c r="Z32" s="587"/>
      <c r="AA32" s="587"/>
      <c r="AB32" s="587"/>
      <c r="AC32" s="645"/>
      <c r="AD32" s="645"/>
      <c r="AE32" s="645"/>
      <c r="AF32" s="645"/>
      <c r="AG32" s="645"/>
      <c r="AH32" s="645"/>
      <c r="AI32" s="645"/>
      <c r="AJ32" s="645"/>
      <c r="AK32" s="645"/>
      <c r="AL32" s="645"/>
      <c r="AM32" s="645"/>
      <c r="AN32" s="645"/>
      <c r="AO32" s="645"/>
      <c r="AP32" s="645"/>
      <c r="AQ32" s="645"/>
      <c r="AR32" s="645"/>
      <c r="AS32" s="645"/>
      <c r="AT32" s="645"/>
      <c r="AU32" s="645"/>
      <c r="AV32" s="645"/>
      <c r="AW32" s="645"/>
      <c r="AX32" s="645"/>
      <c r="AY32" s="645"/>
    </row>
    <row r="33" spans="1:5" s="646" customFormat="1" ht="15.6" x14ac:dyDescent="0.25">
      <c r="A33" s="647"/>
      <c r="C33" s="578"/>
      <c r="D33" s="648"/>
      <c r="E33" s="648"/>
    </row>
    <row r="34" spans="1:5" s="646" customFormat="1" ht="15.6" x14ac:dyDescent="0.25">
      <c r="A34" s="647"/>
      <c r="C34" s="578"/>
      <c r="D34" s="648"/>
      <c r="E34" s="648"/>
    </row>
    <row r="35" spans="1:5" s="646" customFormat="1" ht="15.6" x14ac:dyDescent="0.25">
      <c r="A35" s="647"/>
      <c r="C35" s="578"/>
      <c r="D35" s="648"/>
      <c r="E35" s="648"/>
    </row>
    <row r="36" spans="1:5" s="646" customFormat="1" ht="15.6" x14ac:dyDescent="0.25">
      <c r="A36" s="647"/>
      <c r="C36" s="578"/>
      <c r="D36" s="648"/>
      <c r="E36" s="648"/>
    </row>
    <row r="37" spans="1:5" s="646" customFormat="1" ht="15.6" x14ac:dyDescent="0.25">
      <c r="A37" s="647"/>
      <c r="C37" s="578"/>
      <c r="D37" s="648"/>
      <c r="E37" s="648"/>
    </row>
    <row r="38" spans="1:5" s="646" customFormat="1" ht="15.6" x14ac:dyDescent="0.25">
      <c r="A38" s="647"/>
      <c r="C38" s="578"/>
      <c r="D38" s="648"/>
      <c r="E38" s="648"/>
    </row>
    <row r="39" spans="1:5" s="646" customFormat="1" ht="15.6" x14ac:dyDescent="0.25">
      <c r="A39" s="647"/>
      <c r="C39" s="578"/>
      <c r="D39" s="648"/>
      <c r="E39" s="648"/>
    </row>
    <row r="40" spans="1:5" s="646" customFormat="1" ht="15.6" x14ac:dyDescent="0.25">
      <c r="A40" s="647"/>
      <c r="C40" s="578"/>
      <c r="D40" s="648"/>
      <c r="E40" s="648"/>
    </row>
    <row r="41" spans="1:5" s="646" customFormat="1" ht="15.6" x14ac:dyDescent="0.25">
      <c r="A41" s="647"/>
      <c r="C41" s="578"/>
      <c r="D41" s="648"/>
      <c r="E41" s="648"/>
    </row>
    <row r="42" spans="1:5" s="646" customFormat="1" ht="15.6" x14ac:dyDescent="0.25">
      <c r="A42" s="647"/>
      <c r="C42" s="578"/>
      <c r="D42" s="648"/>
      <c r="E42" s="648"/>
    </row>
    <row r="43" spans="1:5" s="646" customFormat="1" ht="15.6" x14ac:dyDescent="0.25">
      <c r="A43" s="647"/>
      <c r="C43" s="578"/>
      <c r="D43" s="648"/>
      <c r="E43" s="648"/>
    </row>
    <row r="44" spans="1:5" s="646" customFormat="1" ht="15.6" x14ac:dyDescent="0.25">
      <c r="A44" s="647"/>
      <c r="C44" s="578"/>
      <c r="D44" s="648"/>
      <c r="E44" s="648"/>
    </row>
    <row r="45" spans="1:5" s="646" customFormat="1" ht="15.6" x14ac:dyDescent="0.25">
      <c r="A45" s="647"/>
      <c r="C45" s="578"/>
      <c r="D45" s="648"/>
      <c r="E45" s="648"/>
    </row>
    <row r="46" spans="1:5" s="646" customFormat="1" ht="15.6" x14ac:dyDescent="0.25">
      <c r="A46" s="647"/>
      <c r="C46" s="578"/>
      <c r="D46" s="648"/>
      <c r="E46" s="648"/>
    </row>
    <row r="47" spans="1:5" s="646" customFormat="1" ht="15.6" x14ac:dyDescent="0.25">
      <c r="A47" s="647"/>
      <c r="C47" s="578"/>
      <c r="D47" s="648"/>
      <c r="E47" s="648"/>
    </row>
    <row r="48" spans="1:5" s="646" customFormat="1" ht="15.6" x14ac:dyDescent="0.25">
      <c r="A48" s="647"/>
      <c r="C48" s="578"/>
      <c r="D48" s="648"/>
      <c r="E48" s="648"/>
    </row>
    <row r="49" spans="1:5" s="646" customFormat="1" ht="15.6" x14ac:dyDescent="0.25">
      <c r="A49" s="647"/>
      <c r="C49" s="578"/>
      <c r="D49" s="648"/>
      <c r="E49" s="648"/>
    </row>
    <row r="50" spans="1:5" s="646" customFormat="1" ht="15.6" x14ac:dyDescent="0.25">
      <c r="A50" s="647"/>
      <c r="C50" s="578"/>
      <c r="D50" s="648"/>
      <c r="E50" s="648"/>
    </row>
    <row r="51" spans="1:5" s="646" customFormat="1" ht="15.6" x14ac:dyDescent="0.25">
      <c r="A51" s="647"/>
      <c r="C51" s="578"/>
      <c r="D51" s="648"/>
      <c r="E51" s="648"/>
    </row>
    <row r="52" spans="1:5" s="646" customFormat="1" ht="15.6" x14ac:dyDescent="0.25">
      <c r="A52" s="647"/>
      <c r="C52" s="578"/>
      <c r="D52" s="648"/>
      <c r="E52" s="648"/>
    </row>
    <row r="53" spans="1:5" s="646" customFormat="1" ht="15.6" x14ac:dyDescent="0.25">
      <c r="A53" s="647"/>
      <c r="C53" s="578"/>
      <c r="D53" s="648"/>
      <c r="E53" s="648"/>
    </row>
    <row r="54" spans="1:5" s="646" customFormat="1" ht="15.6" x14ac:dyDescent="0.25">
      <c r="A54" s="647"/>
      <c r="C54" s="578"/>
      <c r="D54" s="648"/>
      <c r="E54" s="648"/>
    </row>
    <row r="55" spans="1:5" s="646" customFormat="1" ht="15.6" x14ac:dyDescent="0.25">
      <c r="A55" s="647"/>
      <c r="C55" s="578"/>
      <c r="D55" s="648"/>
      <c r="E55" s="648"/>
    </row>
    <row r="56" spans="1:5" s="646" customFormat="1" ht="15.6" x14ac:dyDescent="0.25">
      <c r="A56" s="647"/>
      <c r="C56" s="578"/>
      <c r="D56" s="648"/>
      <c r="E56" s="648"/>
    </row>
    <row r="57" spans="1:5" s="646" customFormat="1" ht="15.6" x14ac:dyDescent="0.25">
      <c r="A57" s="647"/>
      <c r="C57" s="578"/>
      <c r="D57" s="648"/>
      <c r="E57" s="648"/>
    </row>
    <row r="58" spans="1:5" s="646" customFormat="1" ht="15.6" x14ac:dyDescent="0.25">
      <c r="A58" s="647"/>
      <c r="C58" s="578"/>
      <c r="D58" s="648"/>
      <c r="E58" s="648"/>
    </row>
    <row r="59" spans="1:5" s="646" customFormat="1" ht="15.6" x14ac:dyDescent="0.25">
      <c r="A59" s="647"/>
      <c r="C59" s="578"/>
      <c r="D59" s="648"/>
      <c r="E59" s="648"/>
    </row>
    <row r="60" spans="1:5" s="646" customFormat="1" ht="15.6" x14ac:dyDescent="0.25">
      <c r="A60" s="647"/>
      <c r="C60" s="578"/>
      <c r="D60" s="648"/>
      <c r="E60" s="648"/>
    </row>
    <row r="61" spans="1:5" s="646" customFormat="1" ht="15.6" x14ac:dyDescent="0.25">
      <c r="A61" s="647"/>
      <c r="C61" s="578"/>
      <c r="D61" s="648"/>
      <c r="E61" s="648"/>
    </row>
    <row r="62" spans="1:5" s="646" customFormat="1" ht="15.6" x14ac:dyDescent="0.25">
      <c r="A62" s="647"/>
      <c r="C62" s="578"/>
      <c r="D62" s="648"/>
      <c r="E62" s="648"/>
    </row>
    <row r="63" spans="1:5" s="646" customFormat="1" ht="15.6" x14ac:dyDescent="0.25">
      <c r="A63" s="647"/>
      <c r="C63" s="578"/>
      <c r="D63" s="648"/>
      <c r="E63" s="648"/>
    </row>
    <row r="64" spans="1:5" s="646" customFormat="1" ht="15.6" x14ac:dyDescent="0.25">
      <c r="A64" s="647"/>
      <c r="C64" s="578"/>
      <c r="D64" s="648"/>
      <c r="E64" s="648"/>
    </row>
    <row r="65" spans="1:5" s="646" customFormat="1" ht="15.6" x14ac:dyDescent="0.25">
      <c r="A65" s="647"/>
      <c r="C65" s="578"/>
      <c r="D65" s="648"/>
      <c r="E65" s="648"/>
    </row>
    <row r="66" spans="1:5" s="646" customFormat="1" ht="15.6" x14ac:dyDescent="0.25">
      <c r="A66" s="647"/>
      <c r="C66" s="578"/>
      <c r="D66" s="648"/>
      <c r="E66" s="648"/>
    </row>
    <row r="67" spans="1:5" s="646" customFormat="1" ht="15.6" x14ac:dyDescent="0.25">
      <c r="A67" s="647"/>
      <c r="C67" s="578"/>
      <c r="D67" s="648"/>
      <c r="E67" s="648"/>
    </row>
    <row r="68" spans="1:5" s="646" customFormat="1" ht="15.6" x14ac:dyDescent="0.25">
      <c r="A68" s="647"/>
      <c r="C68" s="578"/>
      <c r="D68" s="648"/>
      <c r="E68" s="648"/>
    </row>
    <row r="69" spans="1:5" s="646" customFormat="1" ht="15.6" x14ac:dyDescent="0.25">
      <c r="A69" s="647"/>
      <c r="C69" s="578"/>
      <c r="D69" s="648"/>
      <c r="E69" s="648"/>
    </row>
    <row r="70" spans="1:5" s="646" customFormat="1" ht="15.6" x14ac:dyDescent="0.25">
      <c r="A70" s="647"/>
      <c r="C70" s="578"/>
      <c r="D70" s="648"/>
      <c r="E70" s="648"/>
    </row>
    <row r="71" spans="1:5" s="646" customFormat="1" ht="15.6" x14ac:dyDescent="0.25">
      <c r="A71" s="647"/>
      <c r="C71" s="578"/>
      <c r="D71" s="648"/>
      <c r="E71" s="648"/>
    </row>
    <row r="72" spans="1:5" s="646" customFormat="1" ht="15.6" x14ac:dyDescent="0.25">
      <c r="A72" s="647"/>
      <c r="C72" s="578"/>
      <c r="D72" s="648"/>
      <c r="E72" s="648"/>
    </row>
    <row r="73" spans="1:5" s="646" customFormat="1" ht="15.6" x14ac:dyDescent="0.25">
      <c r="A73" s="647"/>
      <c r="C73" s="578"/>
      <c r="D73" s="648"/>
      <c r="E73" s="648"/>
    </row>
    <row r="74" spans="1:5" s="646" customFormat="1" ht="15.6" x14ac:dyDescent="0.25">
      <c r="A74" s="647"/>
      <c r="C74" s="578"/>
      <c r="D74" s="648"/>
      <c r="E74" s="648"/>
    </row>
    <row r="75" spans="1:5" s="646" customFormat="1" ht="15.6" x14ac:dyDescent="0.25">
      <c r="A75" s="647"/>
      <c r="C75" s="578"/>
      <c r="D75" s="648"/>
      <c r="E75" s="648"/>
    </row>
    <row r="76" spans="1:5" s="646" customFormat="1" ht="15.6" x14ac:dyDescent="0.25">
      <c r="A76" s="647"/>
      <c r="C76" s="578"/>
      <c r="D76" s="648"/>
      <c r="E76" s="648"/>
    </row>
    <row r="77" spans="1:5" s="646" customFormat="1" ht="15.6" x14ac:dyDescent="0.25">
      <c r="A77" s="647"/>
      <c r="C77" s="578"/>
      <c r="D77" s="648"/>
      <c r="E77" s="648"/>
    </row>
    <row r="78" spans="1:5" s="646" customFormat="1" ht="15.6" x14ac:dyDescent="0.25">
      <c r="A78" s="647"/>
      <c r="C78" s="578"/>
      <c r="D78" s="648"/>
      <c r="E78" s="648"/>
    </row>
    <row r="79" spans="1:5" s="646" customFormat="1" ht="15.6" x14ac:dyDescent="0.25">
      <c r="A79" s="647"/>
      <c r="C79" s="578"/>
      <c r="D79" s="648"/>
      <c r="E79" s="648"/>
    </row>
    <row r="80" spans="1:5" s="646" customFormat="1" ht="15.6" x14ac:dyDescent="0.25">
      <c r="A80" s="647"/>
      <c r="C80" s="578"/>
      <c r="D80" s="648"/>
      <c r="E80" s="648"/>
    </row>
    <row r="81" spans="1:5" s="646" customFormat="1" ht="15.6" x14ac:dyDescent="0.25">
      <c r="A81" s="647"/>
      <c r="C81" s="578"/>
      <c r="D81" s="648"/>
      <c r="E81" s="648"/>
    </row>
    <row r="82" spans="1:5" s="646" customFormat="1" ht="15.6" x14ac:dyDescent="0.25">
      <c r="A82" s="647"/>
      <c r="C82" s="578"/>
      <c r="D82" s="648"/>
      <c r="E82" s="648"/>
    </row>
    <row r="83" spans="1:5" s="646" customFormat="1" ht="15.6" x14ac:dyDescent="0.25">
      <c r="A83" s="647"/>
      <c r="C83" s="578"/>
      <c r="D83" s="648"/>
      <c r="E83" s="648"/>
    </row>
    <row r="84" spans="1:5" s="646" customFormat="1" ht="15.6" x14ac:dyDescent="0.25">
      <c r="A84" s="647"/>
      <c r="C84" s="578"/>
      <c r="D84" s="648"/>
      <c r="E84" s="648"/>
    </row>
    <row r="85" spans="1:5" s="646" customFormat="1" ht="15.6" x14ac:dyDescent="0.25">
      <c r="A85" s="647"/>
      <c r="C85" s="578"/>
      <c r="D85" s="648"/>
      <c r="E85" s="648"/>
    </row>
    <row r="86" spans="1:5" s="646" customFormat="1" ht="15.6" x14ac:dyDescent="0.25">
      <c r="A86" s="647"/>
      <c r="C86" s="578"/>
      <c r="D86" s="648"/>
      <c r="E86" s="648"/>
    </row>
    <row r="87" spans="1:5" s="646" customFormat="1" ht="15.6" x14ac:dyDescent="0.25">
      <c r="A87" s="647"/>
      <c r="C87" s="578"/>
      <c r="D87" s="648"/>
      <c r="E87" s="648"/>
    </row>
    <row r="88" spans="1:5" s="646" customFormat="1" ht="15.6" x14ac:dyDescent="0.25">
      <c r="A88" s="647"/>
      <c r="C88" s="578"/>
      <c r="D88" s="648"/>
      <c r="E88" s="648"/>
    </row>
    <row r="89" spans="1:5" s="646" customFormat="1" ht="15.6" x14ac:dyDescent="0.25">
      <c r="A89" s="647"/>
      <c r="C89" s="578"/>
      <c r="D89" s="648"/>
      <c r="E89" s="648"/>
    </row>
    <row r="90" spans="1:5" s="646" customFormat="1" ht="15.6" x14ac:dyDescent="0.25">
      <c r="A90" s="647"/>
      <c r="C90" s="578"/>
      <c r="D90" s="648"/>
      <c r="E90" s="648"/>
    </row>
    <row r="91" spans="1:5" s="646" customFormat="1" ht="15.6" x14ac:dyDescent="0.25">
      <c r="A91" s="647"/>
      <c r="C91" s="578"/>
      <c r="D91" s="648"/>
      <c r="E91" s="648"/>
    </row>
    <row r="92" spans="1:5" s="646" customFormat="1" ht="15.6" x14ac:dyDescent="0.25">
      <c r="A92" s="647"/>
      <c r="C92" s="578"/>
      <c r="D92" s="648"/>
      <c r="E92" s="648"/>
    </row>
    <row r="93" spans="1:5" s="646" customFormat="1" ht="15.6" x14ac:dyDescent="0.25">
      <c r="A93" s="647"/>
      <c r="C93" s="578"/>
      <c r="D93" s="648"/>
      <c r="E93" s="648"/>
    </row>
    <row r="94" spans="1:5" s="646" customFormat="1" ht="15.6" x14ac:dyDescent="0.25">
      <c r="A94" s="647"/>
      <c r="C94" s="578"/>
      <c r="D94" s="648"/>
      <c r="E94" s="648"/>
    </row>
    <row r="95" spans="1:5" s="646" customFormat="1" ht="15.6" x14ac:dyDescent="0.25">
      <c r="A95" s="647"/>
      <c r="C95" s="578"/>
      <c r="D95" s="648"/>
      <c r="E95" s="648"/>
    </row>
    <row r="96" spans="1:5" s="646" customFormat="1" ht="15.6" x14ac:dyDescent="0.25">
      <c r="A96" s="647"/>
      <c r="C96" s="578"/>
      <c r="D96" s="648"/>
      <c r="E96" s="648"/>
    </row>
    <row r="97" spans="1:5" s="646" customFormat="1" ht="15.6" x14ac:dyDescent="0.25">
      <c r="A97" s="647"/>
      <c r="C97" s="578"/>
      <c r="D97" s="648"/>
      <c r="E97" s="648"/>
    </row>
    <row r="98" spans="1:5" s="646" customFormat="1" ht="15.6" x14ac:dyDescent="0.25">
      <c r="A98" s="647"/>
      <c r="C98" s="578"/>
      <c r="D98" s="648"/>
      <c r="E98" s="648"/>
    </row>
    <row r="99" spans="1:5" s="646" customFormat="1" ht="15.6" x14ac:dyDescent="0.25">
      <c r="A99" s="647"/>
      <c r="C99" s="578"/>
      <c r="D99" s="648"/>
      <c r="E99" s="648"/>
    </row>
    <row r="100" spans="1:5" s="646" customFormat="1" ht="15.6" x14ac:dyDescent="0.25">
      <c r="A100" s="647"/>
      <c r="C100" s="578"/>
      <c r="D100" s="648"/>
      <c r="E100" s="648"/>
    </row>
    <row r="101" spans="1:5" s="646" customFormat="1" ht="15.6" x14ac:dyDescent="0.25">
      <c r="A101" s="647"/>
      <c r="C101" s="578"/>
      <c r="D101" s="648"/>
      <c r="E101" s="648"/>
    </row>
    <row r="102" spans="1:5" s="646" customFormat="1" ht="15.6" x14ac:dyDescent="0.25">
      <c r="A102" s="647"/>
      <c r="C102" s="578"/>
      <c r="D102" s="648"/>
      <c r="E102" s="648"/>
    </row>
    <row r="103" spans="1:5" s="646" customFormat="1" ht="15.6" x14ac:dyDescent="0.25">
      <c r="A103" s="647"/>
      <c r="C103" s="578"/>
      <c r="D103" s="648"/>
      <c r="E103" s="648"/>
    </row>
    <row r="104" spans="1:5" s="646" customFormat="1" ht="15.6" x14ac:dyDescent="0.25">
      <c r="A104" s="647"/>
      <c r="C104" s="578"/>
      <c r="D104" s="648"/>
      <c r="E104" s="648"/>
    </row>
    <row r="105" spans="1:5" s="646" customFormat="1" ht="15.6" x14ac:dyDescent="0.25">
      <c r="A105" s="647"/>
      <c r="C105" s="578"/>
      <c r="D105" s="648"/>
      <c r="E105" s="648"/>
    </row>
    <row r="106" spans="1:5" s="646" customFormat="1" ht="15.6" x14ac:dyDescent="0.25">
      <c r="A106" s="647"/>
      <c r="C106" s="578"/>
      <c r="D106" s="648"/>
      <c r="E106" s="648"/>
    </row>
    <row r="107" spans="1:5" s="646" customFormat="1" ht="15.6" x14ac:dyDescent="0.25">
      <c r="A107" s="647"/>
      <c r="C107" s="578"/>
      <c r="D107" s="648"/>
      <c r="E107" s="648"/>
    </row>
    <row r="108" spans="1:5" s="646" customFormat="1" ht="15.6" x14ac:dyDescent="0.25">
      <c r="A108" s="647"/>
      <c r="C108" s="578"/>
      <c r="D108" s="648"/>
      <c r="E108" s="648"/>
    </row>
    <row r="109" spans="1:5" s="646" customFormat="1" ht="15.6" x14ac:dyDescent="0.25">
      <c r="A109" s="647"/>
      <c r="C109" s="578"/>
      <c r="D109" s="648"/>
      <c r="E109" s="648"/>
    </row>
    <row r="110" spans="1:5" s="646" customFormat="1" ht="15.6" x14ac:dyDescent="0.25">
      <c r="A110" s="647"/>
      <c r="C110" s="578"/>
      <c r="D110" s="648"/>
      <c r="E110" s="648"/>
    </row>
    <row r="111" spans="1:5" s="646" customFormat="1" ht="15.6" x14ac:dyDescent="0.25">
      <c r="A111" s="647"/>
      <c r="C111" s="578"/>
      <c r="D111" s="648"/>
      <c r="E111" s="648"/>
    </row>
    <row r="112" spans="1:5" s="646" customFormat="1" ht="15.6" x14ac:dyDescent="0.25">
      <c r="A112" s="647"/>
      <c r="C112" s="578"/>
      <c r="D112" s="648"/>
      <c r="E112" s="648"/>
    </row>
    <row r="113" spans="1:5" s="646" customFormat="1" ht="15.6" x14ac:dyDescent="0.25">
      <c r="A113" s="647"/>
      <c r="C113" s="578"/>
      <c r="D113" s="648"/>
      <c r="E113" s="648"/>
    </row>
    <row r="114" spans="1:5" s="646" customFormat="1" ht="15.6" x14ac:dyDescent="0.25">
      <c r="A114" s="647"/>
      <c r="C114" s="578"/>
      <c r="D114" s="648"/>
      <c r="E114" s="648"/>
    </row>
    <row r="115" spans="1:5" s="646" customFormat="1" ht="15.6" x14ac:dyDescent="0.25">
      <c r="A115" s="647"/>
      <c r="C115" s="578"/>
      <c r="D115" s="648"/>
      <c r="E115" s="648"/>
    </row>
    <row r="116" spans="1:5" s="646" customFormat="1" ht="15.6" x14ac:dyDescent="0.25">
      <c r="A116" s="647"/>
      <c r="C116" s="578"/>
      <c r="D116" s="648"/>
      <c r="E116" s="648"/>
    </row>
    <row r="117" spans="1:5" s="646" customFormat="1" ht="15.6" x14ac:dyDescent="0.25">
      <c r="A117" s="647"/>
      <c r="C117" s="578"/>
      <c r="D117" s="648"/>
      <c r="E117" s="648"/>
    </row>
    <row r="118" spans="1:5" s="646" customFormat="1" ht="15.6" x14ac:dyDescent="0.25">
      <c r="A118" s="647"/>
      <c r="C118" s="578"/>
      <c r="D118" s="648"/>
      <c r="E118" s="648"/>
    </row>
    <row r="119" spans="1:5" s="646" customFormat="1" ht="15.6" x14ac:dyDescent="0.25">
      <c r="A119" s="647"/>
      <c r="C119" s="578"/>
      <c r="D119" s="648"/>
      <c r="E119" s="648"/>
    </row>
    <row r="120" spans="1:5" s="646" customFormat="1" ht="15.6" x14ac:dyDescent="0.25">
      <c r="A120" s="647"/>
      <c r="C120" s="578"/>
      <c r="D120" s="648"/>
      <c r="E120" s="648"/>
    </row>
    <row r="121" spans="1:5" s="646" customFormat="1" ht="15.6" x14ac:dyDescent="0.25">
      <c r="A121" s="647"/>
      <c r="C121" s="578"/>
      <c r="D121" s="648"/>
      <c r="E121" s="648"/>
    </row>
    <row r="122" spans="1:5" s="646" customFormat="1" ht="15.6" x14ac:dyDescent="0.25">
      <c r="A122" s="647"/>
      <c r="C122" s="578"/>
      <c r="D122" s="648"/>
      <c r="E122" s="648"/>
    </row>
    <row r="123" spans="1:5" s="646" customFormat="1" ht="15.6" x14ac:dyDescent="0.25">
      <c r="A123" s="647"/>
      <c r="C123" s="578"/>
      <c r="D123" s="648"/>
      <c r="E123" s="648"/>
    </row>
    <row r="124" spans="1:5" s="646" customFormat="1" ht="15.6" x14ac:dyDescent="0.25">
      <c r="A124" s="647"/>
      <c r="C124" s="578"/>
      <c r="D124" s="648"/>
      <c r="E124" s="648"/>
    </row>
    <row r="125" spans="1:5" s="646" customFormat="1" ht="15.6" x14ac:dyDescent="0.25">
      <c r="A125" s="647"/>
      <c r="C125" s="578"/>
      <c r="D125" s="648"/>
      <c r="E125" s="648"/>
    </row>
    <row r="126" spans="1:5" s="646" customFormat="1" ht="15.6" x14ac:dyDescent="0.25">
      <c r="A126" s="647"/>
      <c r="C126" s="578"/>
      <c r="D126" s="648"/>
      <c r="E126" s="648"/>
    </row>
    <row r="127" spans="1:5" s="646" customFormat="1" ht="15.6" x14ac:dyDescent="0.25">
      <c r="A127" s="647"/>
      <c r="C127" s="578"/>
      <c r="D127" s="648"/>
      <c r="E127" s="648"/>
    </row>
    <row r="128" spans="1:5" s="646" customFormat="1" ht="15.6" x14ac:dyDescent="0.25">
      <c r="A128" s="647"/>
      <c r="C128" s="578"/>
      <c r="D128" s="648"/>
      <c r="E128" s="648"/>
    </row>
    <row r="129" spans="1:5" s="646" customFormat="1" ht="15.6" x14ac:dyDescent="0.25">
      <c r="A129" s="647"/>
      <c r="C129" s="578"/>
      <c r="D129" s="648"/>
      <c r="E129" s="648"/>
    </row>
    <row r="130" spans="1:5" s="646" customFormat="1" ht="15.6" x14ac:dyDescent="0.25">
      <c r="A130" s="647"/>
      <c r="C130" s="578"/>
      <c r="D130" s="648"/>
      <c r="E130" s="648"/>
    </row>
    <row r="131" spans="1:5" s="646" customFormat="1" ht="15.6" x14ac:dyDescent="0.25">
      <c r="A131" s="647"/>
      <c r="C131" s="578"/>
      <c r="D131" s="648"/>
      <c r="E131" s="648"/>
    </row>
    <row r="132" spans="1:5" s="646" customFormat="1" ht="15.6" x14ac:dyDescent="0.25">
      <c r="A132" s="647"/>
      <c r="C132" s="578"/>
      <c r="D132" s="648"/>
      <c r="E132" s="648"/>
    </row>
    <row r="133" spans="1:5" s="646" customFormat="1" ht="15.6" x14ac:dyDescent="0.25">
      <c r="A133" s="647"/>
      <c r="C133" s="578"/>
      <c r="D133" s="648"/>
      <c r="E133" s="648"/>
    </row>
    <row r="134" spans="1:5" s="646" customFormat="1" ht="15.6" x14ac:dyDescent="0.25">
      <c r="A134" s="647"/>
      <c r="C134" s="578"/>
      <c r="D134" s="648"/>
      <c r="E134" s="648"/>
    </row>
    <row r="135" spans="1:5" s="646" customFormat="1" ht="15.6" x14ac:dyDescent="0.25">
      <c r="A135" s="647"/>
      <c r="C135" s="578"/>
      <c r="D135" s="648"/>
      <c r="E135" s="648"/>
    </row>
    <row r="136" spans="1:5" s="646" customFormat="1" ht="15.6" x14ac:dyDescent="0.25">
      <c r="A136" s="647"/>
      <c r="C136" s="578"/>
      <c r="D136" s="648"/>
      <c r="E136" s="648"/>
    </row>
    <row r="137" spans="1:5" s="646" customFormat="1" ht="15.6" x14ac:dyDescent="0.25">
      <c r="A137" s="647"/>
      <c r="C137" s="578"/>
      <c r="D137" s="648"/>
      <c r="E137" s="648"/>
    </row>
    <row r="138" spans="1:5" s="646" customFormat="1" ht="15.6" x14ac:dyDescent="0.25">
      <c r="A138" s="647"/>
      <c r="C138" s="578"/>
      <c r="D138" s="648"/>
      <c r="E138" s="648"/>
    </row>
    <row r="139" spans="1:5" s="646" customFormat="1" ht="15.6" x14ac:dyDescent="0.25">
      <c r="A139" s="647"/>
      <c r="C139" s="578"/>
      <c r="D139" s="648"/>
      <c r="E139" s="648"/>
    </row>
    <row r="140" spans="1:5" s="646" customFormat="1" ht="15.6" x14ac:dyDescent="0.25">
      <c r="A140" s="647"/>
      <c r="C140" s="578"/>
      <c r="D140" s="648"/>
      <c r="E140" s="648"/>
    </row>
    <row r="141" spans="1:5" s="646" customFormat="1" ht="15.6" x14ac:dyDescent="0.25">
      <c r="A141" s="647"/>
      <c r="C141" s="578"/>
      <c r="D141" s="648"/>
      <c r="E141" s="648"/>
    </row>
    <row r="142" spans="1:5" s="646" customFormat="1" ht="15.6" x14ac:dyDescent="0.25">
      <c r="A142" s="647"/>
      <c r="C142" s="578"/>
      <c r="D142" s="648"/>
      <c r="E142" s="648"/>
    </row>
    <row r="143" spans="1:5" s="646" customFormat="1" ht="15.6" x14ac:dyDescent="0.25">
      <c r="A143" s="647"/>
      <c r="C143" s="578"/>
      <c r="D143" s="648"/>
      <c r="E143" s="648"/>
    </row>
    <row r="144" spans="1:5" s="646" customFormat="1" ht="15.6" x14ac:dyDescent="0.25">
      <c r="A144" s="647"/>
      <c r="C144" s="578"/>
      <c r="D144" s="648"/>
      <c r="E144" s="648"/>
    </row>
    <row r="145" spans="1:5" s="646" customFormat="1" ht="15.6" x14ac:dyDescent="0.25">
      <c r="A145" s="647"/>
      <c r="C145" s="578"/>
      <c r="D145" s="648"/>
      <c r="E145" s="648"/>
    </row>
    <row r="146" spans="1:5" s="646" customFormat="1" ht="15.6" x14ac:dyDescent="0.25">
      <c r="A146" s="647"/>
      <c r="C146" s="578"/>
      <c r="D146" s="648"/>
      <c r="E146" s="648"/>
    </row>
    <row r="147" spans="1:5" s="646" customFormat="1" ht="15.6" x14ac:dyDescent="0.25">
      <c r="A147" s="647"/>
      <c r="C147" s="578"/>
      <c r="D147" s="648"/>
      <c r="E147" s="648"/>
    </row>
    <row r="148" spans="1:5" s="646" customFormat="1" ht="15.6" x14ac:dyDescent="0.25">
      <c r="A148" s="647"/>
      <c r="C148" s="578"/>
      <c r="D148" s="648"/>
      <c r="E148" s="648"/>
    </row>
    <row r="149" spans="1:5" s="646" customFormat="1" ht="15.6" x14ac:dyDescent="0.25">
      <c r="A149" s="647"/>
      <c r="C149" s="578"/>
      <c r="D149" s="648"/>
      <c r="E149" s="648"/>
    </row>
    <row r="150" spans="1:5" s="646" customFormat="1" ht="15.6" x14ac:dyDescent="0.25">
      <c r="A150" s="647"/>
      <c r="C150" s="578"/>
      <c r="D150" s="648"/>
      <c r="E150" s="648"/>
    </row>
    <row r="151" spans="1:5" s="646" customFormat="1" ht="15.6" x14ac:dyDescent="0.25">
      <c r="A151" s="647"/>
      <c r="C151" s="578"/>
      <c r="D151" s="648"/>
      <c r="E151" s="648"/>
    </row>
    <row r="152" spans="1:5" s="646" customFormat="1" ht="15.6" x14ac:dyDescent="0.25">
      <c r="A152" s="647"/>
      <c r="C152" s="578"/>
      <c r="D152" s="648"/>
      <c r="E152" s="648"/>
    </row>
    <row r="153" spans="1:5" s="646" customFormat="1" ht="15.6" x14ac:dyDescent="0.25">
      <c r="A153" s="647"/>
      <c r="C153" s="578"/>
      <c r="D153" s="648"/>
      <c r="E153" s="648"/>
    </row>
    <row r="154" spans="1:5" s="646" customFormat="1" ht="15.6" x14ac:dyDescent="0.25">
      <c r="A154" s="647"/>
      <c r="C154" s="578"/>
      <c r="D154" s="648"/>
      <c r="E154" s="648"/>
    </row>
    <row r="155" spans="1:5" s="646" customFormat="1" ht="15.6" x14ac:dyDescent="0.25">
      <c r="A155" s="647"/>
      <c r="C155" s="578"/>
      <c r="D155" s="648"/>
      <c r="E155" s="648"/>
    </row>
    <row r="156" spans="1:5" s="646" customFormat="1" ht="15.6" x14ac:dyDescent="0.25">
      <c r="A156" s="647"/>
      <c r="C156" s="578"/>
      <c r="D156" s="648"/>
      <c r="E156" s="648"/>
    </row>
    <row r="157" spans="1:5" s="646" customFormat="1" ht="15.6" x14ac:dyDescent="0.25">
      <c r="A157" s="647"/>
      <c r="C157" s="578"/>
      <c r="D157" s="648"/>
      <c r="E157" s="648"/>
    </row>
    <row r="158" spans="1:5" s="646" customFormat="1" ht="15.6" x14ac:dyDescent="0.25">
      <c r="A158" s="647"/>
      <c r="C158" s="578"/>
      <c r="D158" s="648"/>
      <c r="E158" s="648"/>
    </row>
    <row r="159" spans="1:5" s="646" customFormat="1" ht="15.6" x14ac:dyDescent="0.25">
      <c r="A159" s="647"/>
      <c r="C159" s="578"/>
      <c r="D159" s="648"/>
      <c r="E159" s="648"/>
    </row>
    <row r="160" spans="1:5" s="646" customFormat="1" ht="15.6" x14ac:dyDescent="0.25">
      <c r="A160" s="647"/>
      <c r="C160" s="578"/>
      <c r="D160" s="648"/>
      <c r="E160" s="648"/>
    </row>
    <row r="161" spans="1:5" s="646" customFormat="1" ht="15.6" x14ac:dyDescent="0.25">
      <c r="A161" s="647"/>
      <c r="C161" s="578"/>
      <c r="D161" s="648"/>
      <c r="E161" s="648"/>
    </row>
    <row r="162" spans="1:5" s="646" customFormat="1" ht="15.6" x14ac:dyDescent="0.25">
      <c r="A162" s="647"/>
      <c r="C162" s="578"/>
      <c r="D162" s="648"/>
      <c r="E162" s="648"/>
    </row>
    <row r="163" spans="1:5" s="646" customFormat="1" ht="15.6" x14ac:dyDescent="0.25">
      <c r="A163" s="647"/>
      <c r="C163" s="578"/>
      <c r="D163" s="648"/>
      <c r="E163" s="648"/>
    </row>
    <row r="164" spans="1:5" s="646" customFormat="1" ht="15.6" x14ac:dyDescent="0.25">
      <c r="A164" s="647"/>
      <c r="C164" s="578"/>
      <c r="D164" s="648"/>
      <c r="E164" s="648"/>
    </row>
    <row r="165" spans="1:5" s="646" customFormat="1" ht="15.6" x14ac:dyDescent="0.25">
      <c r="A165" s="647"/>
      <c r="C165" s="578"/>
      <c r="D165" s="648"/>
      <c r="E165" s="648"/>
    </row>
    <row r="166" spans="1:5" s="646" customFormat="1" ht="15.6" x14ac:dyDescent="0.25">
      <c r="A166" s="647"/>
      <c r="C166" s="578"/>
      <c r="D166" s="648"/>
      <c r="E166" s="648"/>
    </row>
    <row r="167" spans="1:5" s="646" customFormat="1" ht="15.6" x14ac:dyDescent="0.25">
      <c r="A167" s="647"/>
      <c r="C167" s="578"/>
      <c r="D167" s="648"/>
      <c r="E167" s="648"/>
    </row>
    <row r="168" spans="1:5" s="646" customFormat="1" ht="15.6" x14ac:dyDescent="0.25">
      <c r="A168" s="647"/>
      <c r="C168" s="578"/>
      <c r="D168" s="648"/>
      <c r="E168" s="648"/>
    </row>
    <row r="169" spans="1:5" s="646" customFormat="1" ht="15.6" x14ac:dyDescent="0.25">
      <c r="A169" s="647"/>
      <c r="C169" s="578"/>
      <c r="D169" s="648"/>
      <c r="E169" s="648"/>
    </row>
    <row r="170" spans="1:5" s="646" customFormat="1" ht="15.6" x14ac:dyDescent="0.25">
      <c r="A170" s="647"/>
      <c r="C170" s="578"/>
      <c r="D170" s="648"/>
      <c r="E170" s="648"/>
    </row>
    <row r="171" spans="1:5" s="646" customFormat="1" ht="15.6" x14ac:dyDescent="0.25">
      <c r="A171" s="647"/>
      <c r="C171" s="578"/>
      <c r="D171" s="648"/>
      <c r="E171" s="648"/>
    </row>
    <row r="172" spans="1:5" s="646" customFormat="1" ht="15.6" x14ac:dyDescent="0.25">
      <c r="A172" s="647"/>
      <c r="C172" s="578"/>
      <c r="D172" s="648"/>
      <c r="E172" s="648"/>
    </row>
    <row r="173" spans="1:5" s="646" customFormat="1" ht="15.6" x14ac:dyDescent="0.25">
      <c r="A173" s="647"/>
      <c r="C173" s="578"/>
      <c r="D173" s="648"/>
      <c r="E173" s="648"/>
    </row>
    <row r="174" spans="1:5" s="646" customFormat="1" ht="15.6" x14ac:dyDescent="0.25">
      <c r="A174" s="647"/>
      <c r="C174" s="578"/>
      <c r="D174" s="648"/>
      <c r="E174" s="648"/>
    </row>
    <row r="175" spans="1:5" s="646" customFormat="1" ht="15.6" x14ac:dyDescent="0.25">
      <c r="A175" s="647"/>
      <c r="C175" s="578"/>
      <c r="D175" s="648"/>
      <c r="E175" s="648"/>
    </row>
    <row r="176" spans="1:5" s="646" customFormat="1" ht="15.6" x14ac:dyDescent="0.25">
      <c r="A176" s="647"/>
      <c r="C176" s="578"/>
      <c r="D176" s="648"/>
      <c r="E176" s="648"/>
    </row>
    <row r="177" spans="1:5" s="646" customFormat="1" ht="15.6" x14ac:dyDescent="0.25">
      <c r="A177" s="647"/>
      <c r="C177" s="578"/>
      <c r="D177" s="648"/>
      <c r="E177" s="648"/>
    </row>
    <row r="178" spans="1:5" s="646" customFormat="1" ht="15.6" x14ac:dyDescent="0.25">
      <c r="A178" s="647"/>
      <c r="C178" s="578"/>
      <c r="D178" s="648"/>
      <c r="E178" s="648"/>
    </row>
    <row r="179" spans="1:5" s="646" customFormat="1" ht="15.6" x14ac:dyDescent="0.25">
      <c r="A179" s="647"/>
      <c r="C179" s="578"/>
      <c r="D179" s="648"/>
      <c r="E179" s="648"/>
    </row>
    <row r="180" spans="1:5" s="646" customFormat="1" ht="15.6" x14ac:dyDescent="0.25">
      <c r="A180" s="647"/>
      <c r="C180" s="578"/>
      <c r="D180" s="648"/>
      <c r="E180" s="648"/>
    </row>
    <row r="181" spans="1:5" s="646" customFormat="1" ht="15.6" x14ac:dyDescent="0.25">
      <c r="A181" s="647"/>
      <c r="C181" s="578"/>
      <c r="D181" s="648"/>
      <c r="E181" s="648"/>
    </row>
    <row r="182" spans="1:5" s="646" customFormat="1" ht="15.6" x14ac:dyDescent="0.25">
      <c r="A182" s="647"/>
      <c r="C182" s="578"/>
      <c r="D182" s="648"/>
      <c r="E182" s="648"/>
    </row>
    <row r="183" spans="1:5" s="646" customFormat="1" ht="15.6" x14ac:dyDescent="0.25">
      <c r="A183" s="647"/>
      <c r="C183" s="578"/>
      <c r="D183" s="648"/>
      <c r="E183" s="648"/>
    </row>
    <row r="184" spans="1:5" s="646" customFormat="1" ht="15.6" x14ac:dyDescent="0.25">
      <c r="A184" s="647"/>
      <c r="C184" s="578"/>
      <c r="D184" s="648"/>
      <c r="E184" s="648"/>
    </row>
    <row r="185" spans="1:5" s="646" customFormat="1" ht="15.6" x14ac:dyDescent="0.25">
      <c r="A185" s="647"/>
      <c r="C185" s="578"/>
      <c r="D185" s="648"/>
      <c r="E185" s="648"/>
    </row>
    <row r="186" spans="1:5" s="646" customFormat="1" ht="15.6" x14ac:dyDescent="0.25">
      <c r="A186" s="647"/>
      <c r="C186" s="578"/>
      <c r="D186" s="648"/>
      <c r="E186" s="648"/>
    </row>
    <row r="187" spans="1:5" s="646" customFormat="1" ht="15.6" x14ac:dyDescent="0.25">
      <c r="A187" s="647"/>
      <c r="C187" s="578"/>
      <c r="D187" s="648"/>
      <c r="E187" s="648"/>
    </row>
    <row r="188" spans="1:5" s="646" customFormat="1" ht="15.6" x14ac:dyDescent="0.25">
      <c r="A188" s="647"/>
      <c r="C188" s="578"/>
      <c r="D188" s="648"/>
      <c r="E188" s="648"/>
    </row>
    <row r="189" spans="1:5" s="646" customFormat="1" ht="15.6" x14ac:dyDescent="0.25">
      <c r="A189" s="647"/>
      <c r="C189" s="578"/>
      <c r="D189" s="648"/>
      <c r="E189" s="648"/>
    </row>
    <row r="190" spans="1:5" s="646" customFormat="1" ht="15.6" x14ac:dyDescent="0.25">
      <c r="A190" s="647"/>
      <c r="C190" s="578"/>
      <c r="D190" s="648"/>
      <c r="E190" s="648"/>
    </row>
    <row r="191" spans="1:5" s="646" customFormat="1" ht="15.6" x14ac:dyDescent="0.25">
      <c r="A191" s="647"/>
      <c r="C191" s="578"/>
      <c r="D191" s="648"/>
      <c r="E191" s="648"/>
    </row>
    <row r="192" spans="1:5" s="646" customFormat="1" ht="15.6" x14ac:dyDescent="0.25">
      <c r="A192" s="647"/>
      <c r="C192" s="578"/>
      <c r="D192" s="648"/>
      <c r="E192" s="648"/>
    </row>
    <row r="193" spans="1:5" s="646" customFormat="1" ht="15.6" x14ac:dyDescent="0.25">
      <c r="A193" s="647"/>
      <c r="C193" s="578"/>
      <c r="D193" s="648"/>
      <c r="E193" s="648"/>
    </row>
    <row r="194" spans="1:5" s="646" customFormat="1" ht="15.6" x14ac:dyDescent="0.25">
      <c r="A194" s="647"/>
      <c r="C194" s="578"/>
      <c r="D194" s="648"/>
      <c r="E194" s="648"/>
    </row>
    <row r="195" spans="1:5" s="646" customFormat="1" ht="15.6" x14ac:dyDescent="0.25">
      <c r="A195" s="647"/>
      <c r="C195" s="578"/>
      <c r="D195" s="648"/>
      <c r="E195" s="648"/>
    </row>
    <row r="196" spans="1:5" s="646" customFormat="1" ht="15.6" x14ac:dyDescent="0.25">
      <c r="A196" s="647"/>
      <c r="C196" s="578"/>
      <c r="D196" s="648"/>
      <c r="E196" s="648"/>
    </row>
    <row r="197" spans="1:5" s="646" customFormat="1" ht="15.6" x14ac:dyDescent="0.25">
      <c r="A197" s="647"/>
      <c r="C197" s="578"/>
      <c r="D197" s="648"/>
      <c r="E197" s="648"/>
    </row>
    <row r="198" spans="1:5" s="646" customFormat="1" ht="15.6" x14ac:dyDescent="0.25">
      <c r="A198" s="647"/>
      <c r="C198" s="578"/>
      <c r="D198" s="648"/>
      <c r="E198" s="648"/>
    </row>
    <row r="199" spans="1:5" s="646" customFormat="1" ht="15.6" x14ac:dyDescent="0.25">
      <c r="A199" s="647"/>
      <c r="C199" s="578"/>
      <c r="D199" s="648"/>
      <c r="E199" s="648"/>
    </row>
    <row r="200" spans="1:5" s="646" customFormat="1" ht="15.6" x14ac:dyDescent="0.25">
      <c r="A200" s="647"/>
      <c r="C200" s="578"/>
      <c r="D200" s="648"/>
      <c r="E200" s="648"/>
    </row>
    <row r="201" spans="1:5" s="646" customFormat="1" ht="15.6" x14ac:dyDescent="0.25">
      <c r="A201" s="647"/>
      <c r="C201" s="578"/>
      <c r="D201" s="648"/>
      <c r="E201" s="648"/>
    </row>
    <row r="202" spans="1:5" s="646" customFormat="1" ht="15.6" x14ac:dyDescent="0.25">
      <c r="A202" s="647"/>
      <c r="C202" s="578"/>
      <c r="D202" s="648"/>
      <c r="E202" s="648"/>
    </row>
    <row r="203" spans="1:5" s="646" customFormat="1" ht="15.6" x14ac:dyDescent="0.25">
      <c r="A203" s="647"/>
      <c r="C203" s="578"/>
      <c r="D203" s="648"/>
      <c r="E203" s="648"/>
    </row>
    <row r="204" spans="1:5" s="646" customFormat="1" ht="15.6" x14ac:dyDescent="0.25">
      <c r="A204" s="647"/>
      <c r="C204" s="578"/>
      <c r="D204" s="648"/>
      <c r="E204" s="648"/>
    </row>
    <row r="205" spans="1:5" s="646" customFormat="1" ht="15.6" x14ac:dyDescent="0.25">
      <c r="A205" s="647"/>
      <c r="C205" s="578"/>
      <c r="D205" s="648"/>
      <c r="E205" s="648"/>
    </row>
    <row r="206" spans="1:5" s="646" customFormat="1" ht="15.6" x14ac:dyDescent="0.25">
      <c r="A206" s="647"/>
      <c r="C206" s="578"/>
      <c r="D206" s="648"/>
      <c r="E206" s="648"/>
    </row>
    <row r="207" spans="1:5" s="646" customFormat="1" ht="15.6" x14ac:dyDescent="0.25">
      <c r="A207" s="647"/>
      <c r="C207" s="578"/>
      <c r="D207" s="648"/>
      <c r="E207" s="648"/>
    </row>
    <row r="208" spans="1:5" s="646" customFormat="1" ht="15.6" x14ac:dyDescent="0.25">
      <c r="A208" s="647"/>
      <c r="C208" s="578"/>
      <c r="D208" s="648"/>
      <c r="E208" s="648"/>
    </row>
    <row r="209" spans="1:5" s="646" customFormat="1" ht="15.6" x14ac:dyDescent="0.25">
      <c r="A209" s="647"/>
      <c r="C209" s="578"/>
      <c r="D209" s="648"/>
      <c r="E209" s="648"/>
    </row>
    <row r="210" spans="1:5" s="646" customFormat="1" ht="15.6" x14ac:dyDescent="0.25">
      <c r="A210" s="647"/>
      <c r="C210" s="578"/>
      <c r="D210" s="648"/>
      <c r="E210" s="648"/>
    </row>
    <row r="211" spans="1:5" s="646" customFormat="1" ht="15.6" x14ac:dyDescent="0.25">
      <c r="A211" s="647"/>
      <c r="C211" s="578"/>
      <c r="D211" s="648"/>
      <c r="E211" s="648"/>
    </row>
    <row r="212" spans="1:5" s="646" customFormat="1" ht="15.6" x14ac:dyDescent="0.25">
      <c r="A212" s="647"/>
      <c r="C212" s="578"/>
      <c r="D212" s="648"/>
      <c r="E212" s="648"/>
    </row>
    <row r="213" spans="1:5" s="646" customFormat="1" ht="15.6" x14ac:dyDescent="0.25">
      <c r="A213" s="647"/>
      <c r="C213" s="578"/>
      <c r="D213" s="648"/>
      <c r="E213" s="648"/>
    </row>
    <row r="214" spans="1:5" s="646" customFormat="1" ht="15.6" x14ac:dyDescent="0.25">
      <c r="A214" s="647"/>
      <c r="C214" s="578"/>
      <c r="D214" s="648"/>
      <c r="E214" s="648"/>
    </row>
    <row r="215" spans="1:5" s="646" customFormat="1" ht="15.6" x14ac:dyDescent="0.25">
      <c r="A215" s="647"/>
      <c r="C215" s="578"/>
      <c r="D215" s="648"/>
      <c r="E215" s="648"/>
    </row>
    <row r="216" spans="1:5" s="646" customFormat="1" ht="15.6" x14ac:dyDescent="0.25">
      <c r="A216" s="647"/>
      <c r="C216" s="578"/>
      <c r="D216" s="648"/>
      <c r="E216" s="648"/>
    </row>
    <row r="217" spans="1:5" s="646" customFormat="1" ht="15.6" x14ac:dyDescent="0.25">
      <c r="A217" s="647"/>
      <c r="C217" s="578"/>
      <c r="D217" s="648"/>
      <c r="E217" s="648"/>
    </row>
    <row r="218" spans="1:5" s="646" customFormat="1" ht="15.6" x14ac:dyDescent="0.25">
      <c r="A218" s="647"/>
      <c r="C218" s="578"/>
      <c r="D218" s="648"/>
      <c r="E218" s="648"/>
    </row>
    <row r="219" spans="1:5" s="646" customFormat="1" ht="15.6" x14ac:dyDescent="0.25">
      <c r="A219" s="647"/>
      <c r="C219" s="578"/>
      <c r="D219" s="648"/>
      <c r="E219" s="648"/>
    </row>
    <row r="220" spans="1:5" s="646" customFormat="1" ht="15.6" x14ac:dyDescent="0.25">
      <c r="A220" s="647"/>
      <c r="C220" s="578"/>
      <c r="D220" s="648"/>
      <c r="E220" s="648"/>
    </row>
    <row r="221" spans="1:5" s="646" customFormat="1" ht="15.6" x14ac:dyDescent="0.25">
      <c r="A221" s="647"/>
      <c r="C221" s="578"/>
      <c r="D221" s="648"/>
      <c r="E221" s="648"/>
    </row>
    <row r="222" spans="1:5" s="646" customFormat="1" ht="15.6" x14ac:dyDescent="0.25">
      <c r="A222" s="647"/>
      <c r="C222" s="578"/>
      <c r="D222" s="648"/>
      <c r="E222" s="648"/>
    </row>
    <row r="223" spans="1:5" s="646" customFormat="1" ht="15.6" x14ac:dyDescent="0.25">
      <c r="A223" s="647"/>
      <c r="C223" s="578"/>
      <c r="D223" s="648"/>
      <c r="E223" s="648"/>
    </row>
    <row r="224" spans="1:5" s="646" customFormat="1" ht="15.6" x14ac:dyDescent="0.25">
      <c r="A224" s="647"/>
      <c r="C224" s="578"/>
      <c r="D224" s="648"/>
      <c r="E224" s="648"/>
    </row>
    <row r="225" spans="1:5" s="646" customFormat="1" ht="15.6" x14ac:dyDescent="0.25">
      <c r="A225" s="647"/>
      <c r="C225" s="578"/>
      <c r="D225" s="648"/>
      <c r="E225" s="648"/>
    </row>
    <row r="226" spans="1:5" s="646" customFormat="1" ht="15.6" x14ac:dyDescent="0.25">
      <c r="A226" s="647"/>
      <c r="C226" s="578"/>
      <c r="D226" s="648"/>
      <c r="E226" s="648"/>
    </row>
    <row r="227" spans="1:5" s="646" customFormat="1" ht="15.6" x14ac:dyDescent="0.25">
      <c r="A227" s="647"/>
      <c r="C227" s="578"/>
      <c r="D227" s="648"/>
      <c r="E227" s="648"/>
    </row>
    <row r="228" spans="1:5" s="646" customFormat="1" ht="15.6" x14ac:dyDescent="0.25">
      <c r="A228" s="647"/>
      <c r="C228" s="578"/>
      <c r="D228" s="648"/>
      <c r="E228" s="648"/>
    </row>
    <row r="229" spans="1:5" s="646" customFormat="1" ht="15.6" x14ac:dyDescent="0.25">
      <c r="A229" s="647"/>
      <c r="C229" s="578"/>
      <c r="D229" s="648"/>
      <c r="E229" s="648"/>
    </row>
    <row r="230" spans="1:5" s="646" customFormat="1" ht="15.6" x14ac:dyDescent="0.25">
      <c r="A230" s="647"/>
      <c r="C230" s="578"/>
      <c r="D230" s="648"/>
      <c r="E230" s="648"/>
    </row>
    <row r="231" spans="1:5" s="646" customFormat="1" ht="15.6" x14ac:dyDescent="0.25">
      <c r="A231" s="647"/>
      <c r="C231" s="578"/>
      <c r="D231" s="648"/>
      <c r="E231" s="648"/>
    </row>
    <row r="232" spans="1:5" s="646" customFormat="1" ht="15.6" x14ac:dyDescent="0.25">
      <c r="A232" s="647"/>
      <c r="C232" s="578"/>
      <c r="D232" s="648"/>
      <c r="E232" s="648"/>
    </row>
    <row r="233" spans="1:5" s="646" customFormat="1" ht="15.6" x14ac:dyDescent="0.25">
      <c r="A233" s="647"/>
      <c r="C233" s="578"/>
      <c r="D233" s="648"/>
      <c r="E233" s="648"/>
    </row>
    <row r="234" spans="1:5" s="646" customFormat="1" ht="15.6" x14ac:dyDescent="0.25">
      <c r="A234" s="647"/>
      <c r="C234" s="578"/>
      <c r="D234" s="648"/>
      <c r="E234" s="648"/>
    </row>
    <row r="235" spans="1:5" s="646" customFormat="1" ht="15.6" x14ac:dyDescent="0.25">
      <c r="A235" s="647"/>
      <c r="C235" s="578"/>
      <c r="D235" s="648"/>
      <c r="E235" s="648"/>
    </row>
    <row r="236" spans="1:5" s="646" customFormat="1" ht="15.6" x14ac:dyDescent="0.25">
      <c r="A236" s="647"/>
      <c r="C236" s="578"/>
      <c r="D236" s="648"/>
      <c r="E236" s="648"/>
    </row>
    <row r="237" spans="1:5" s="646" customFormat="1" ht="15.6" x14ac:dyDescent="0.25">
      <c r="A237" s="647"/>
      <c r="C237" s="578"/>
      <c r="D237" s="648"/>
      <c r="E237" s="648"/>
    </row>
    <row r="238" spans="1:5" s="646" customFormat="1" ht="15.6" x14ac:dyDescent="0.25">
      <c r="A238" s="647"/>
      <c r="C238" s="578"/>
      <c r="D238" s="648"/>
      <c r="E238" s="648"/>
    </row>
    <row r="239" spans="1:5" s="646" customFormat="1" ht="15.6" x14ac:dyDescent="0.25">
      <c r="A239" s="647"/>
      <c r="C239" s="578"/>
      <c r="D239" s="648"/>
      <c r="E239" s="648"/>
    </row>
    <row r="240" spans="1:5" s="646" customFormat="1" ht="15.6" x14ac:dyDescent="0.25">
      <c r="A240" s="647"/>
      <c r="C240" s="578"/>
      <c r="D240" s="648"/>
      <c r="E240" s="648"/>
    </row>
    <row r="241" spans="1:5" s="646" customFormat="1" ht="15.6" x14ac:dyDescent="0.25">
      <c r="A241" s="647"/>
      <c r="C241" s="578"/>
      <c r="D241" s="648"/>
      <c r="E241" s="648"/>
    </row>
    <row r="242" spans="1:5" s="646" customFormat="1" ht="15.6" x14ac:dyDescent="0.25">
      <c r="A242" s="647"/>
      <c r="C242" s="578"/>
      <c r="D242" s="648"/>
      <c r="E242" s="648"/>
    </row>
    <row r="243" spans="1:5" s="646" customFormat="1" ht="15.6" x14ac:dyDescent="0.25">
      <c r="A243" s="647"/>
      <c r="C243" s="578"/>
      <c r="D243" s="648"/>
      <c r="E243" s="648"/>
    </row>
    <row r="244" spans="1:5" s="646" customFormat="1" ht="15.6" x14ac:dyDescent="0.25">
      <c r="A244" s="647"/>
      <c r="C244" s="578"/>
      <c r="D244" s="648"/>
      <c r="E244" s="648"/>
    </row>
    <row r="245" spans="1:5" s="646" customFormat="1" ht="15.6" x14ac:dyDescent="0.25">
      <c r="A245" s="647"/>
      <c r="C245" s="578"/>
      <c r="D245" s="648"/>
      <c r="E245" s="648"/>
    </row>
    <row r="246" spans="1:5" s="646" customFormat="1" ht="15.6" x14ac:dyDescent="0.25">
      <c r="A246" s="647"/>
      <c r="C246" s="578"/>
      <c r="D246" s="648"/>
      <c r="E246" s="648"/>
    </row>
    <row r="247" spans="1:5" s="646" customFormat="1" ht="15.6" x14ac:dyDescent="0.25">
      <c r="A247" s="647"/>
      <c r="C247" s="578"/>
      <c r="D247" s="648"/>
      <c r="E247" s="648"/>
    </row>
    <row r="248" spans="1:5" s="646" customFormat="1" ht="15.6" x14ac:dyDescent="0.25">
      <c r="A248" s="647"/>
      <c r="C248" s="578"/>
      <c r="D248" s="648"/>
      <c r="E248" s="648"/>
    </row>
    <row r="249" spans="1:5" s="646" customFormat="1" ht="15.6" x14ac:dyDescent="0.25">
      <c r="A249" s="647"/>
      <c r="C249" s="578"/>
      <c r="D249" s="648"/>
      <c r="E249" s="648"/>
    </row>
    <row r="250" spans="1:5" s="646" customFormat="1" ht="15.6" x14ac:dyDescent="0.25">
      <c r="A250" s="647"/>
      <c r="C250" s="578"/>
      <c r="D250" s="648"/>
      <c r="E250" s="648"/>
    </row>
    <row r="251" spans="1:5" s="646" customFormat="1" ht="15.6" x14ac:dyDescent="0.25">
      <c r="A251" s="647"/>
      <c r="C251" s="578"/>
      <c r="D251" s="648"/>
      <c r="E251" s="648"/>
    </row>
    <row r="252" spans="1:5" s="646" customFormat="1" ht="15.6" x14ac:dyDescent="0.25">
      <c r="A252" s="647"/>
      <c r="C252" s="578"/>
      <c r="D252" s="648"/>
      <c r="E252" s="648"/>
    </row>
    <row r="253" spans="1:5" s="646" customFormat="1" ht="15.6" x14ac:dyDescent="0.25">
      <c r="A253" s="647"/>
      <c r="C253" s="578"/>
      <c r="D253" s="648"/>
      <c r="E253" s="648"/>
    </row>
    <row r="254" spans="1:5" s="646" customFormat="1" ht="15.6" x14ac:dyDescent="0.25">
      <c r="A254" s="647"/>
      <c r="C254" s="578"/>
      <c r="D254" s="648"/>
      <c r="E254" s="648"/>
    </row>
    <row r="255" spans="1:5" s="646" customFormat="1" ht="15.6" x14ac:dyDescent="0.25">
      <c r="A255" s="647"/>
      <c r="C255" s="578"/>
      <c r="D255" s="648"/>
      <c r="E255" s="648"/>
    </row>
    <row r="256" spans="1:5" s="646" customFormat="1" ht="15.6" x14ac:dyDescent="0.25">
      <c r="A256" s="647"/>
      <c r="C256" s="578"/>
      <c r="D256" s="648"/>
      <c r="E256" s="648"/>
    </row>
    <row r="257" spans="1:5" s="646" customFormat="1" ht="15.6" x14ac:dyDescent="0.25">
      <c r="A257" s="647"/>
      <c r="C257" s="578"/>
      <c r="D257" s="648"/>
      <c r="E257" s="648"/>
    </row>
    <row r="258" spans="1:5" s="646" customFormat="1" ht="15.6" x14ac:dyDescent="0.25">
      <c r="A258" s="647"/>
      <c r="C258" s="578"/>
      <c r="D258" s="648"/>
      <c r="E258" s="648"/>
    </row>
    <row r="259" spans="1:5" s="646" customFormat="1" ht="15.6" x14ac:dyDescent="0.25">
      <c r="A259" s="647"/>
      <c r="C259" s="578"/>
      <c r="D259" s="648"/>
      <c r="E259" s="648"/>
    </row>
    <row r="260" spans="1:5" s="646" customFormat="1" ht="15.6" x14ac:dyDescent="0.25">
      <c r="A260" s="647"/>
      <c r="C260" s="578"/>
      <c r="D260" s="648"/>
      <c r="E260" s="648"/>
    </row>
    <row r="261" spans="1:5" s="646" customFormat="1" ht="15.6" x14ac:dyDescent="0.25">
      <c r="A261" s="647"/>
      <c r="C261" s="578"/>
      <c r="D261" s="648"/>
      <c r="E261" s="648"/>
    </row>
    <row r="262" spans="1:5" s="646" customFormat="1" ht="15.6" x14ac:dyDescent="0.25">
      <c r="A262" s="647"/>
      <c r="C262" s="578"/>
      <c r="D262" s="648"/>
      <c r="E262" s="648"/>
    </row>
    <row r="263" spans="1:5" s="646" customFormat="1" ht="15.6" x14ac:dyDescent="0.25">
      <c r="A263" s="647"/>
      <c r="C263" s="578"/>
      <c r="D263" s="648"/>
      <c r="E263" s="648"/>
    </row>
    <row r="264" spans="1:5" s="646" customFormat="1" ht="15.6" x14ac:dyDescent="0.25">
      <c r="A264" s="647"/>
      <c r="C264" s="578"/>
      <c r="D264" s="648"/>
      <c r="E264" s="648"/>
    </row>
    <row r="265" spans="1:5" s="646" customFormat="1" ht="15.6" x14ac:dyDescent="0.25">
      <c r="A265" s="647"/>
      <c r="C265" s="578"/>
      <c r="D265" s="648"/>
      <c r="E265" s="648"/>
    </row>
    <row r="266" spans="1:5" s="646" customFormat="1" ht="15.6" x14ac:dyDescent="0.25">
      <c r="A266" s="647"/>
      <c r="C266" s="578"/>
      <c r="D266" s="648"/>
      <c r="E266" s="648"/>
    </row>
    <row r="267" spans="1:5" s="646" customFormat="1" ht="15.6" x14ac:dyDescent="0.25">
      <c r="A267" s="647"/>
      <c r="C267" s="578"/>
      <c r="D267" s="648"/>
      <c r="E267" s="648"/>
    </row>
    <row r="268" spans="1:5" s="646" customFormat="1" ht="15.6" x14ac:dyDescent="0.25">
      <c r="A268" s="647"/>
      <c r="C268" s="578"/>
      <c r="D268" s="648"/>
      <c r="E268" s="648"/>
    </row>
    <row r="269" spans="1:5" s="646" customFormat="1" ht="15.6" x14ac:dyDescent="0.25">
      <c r="A269" s="647"/>
      <c r="C269" s="578"/>
      <c r="D269" s="648"/>
      <c r="E269" s="648"/>
    </row>
    <row r="270" spans="1:5" s="646" customFormat="1" ht="15.6" x14ac:dyDescent="0.25">
      <c r="A270" s="647"/>
      <c r="C270" s="578"/>
      <c r="D270" s="648"/>
      <c r="E270" s="648"/>
    </row>
    <row r="271" spans="1:5" s="646" customFormat="1" ht="15.6" x14ac:dyDescent="0.25">
      <c r="A271" s="647"/>
      <c r="C271" s="578"/>
      <c r="D271" s="648"/>
      <c r="E271" s="648"/>
    </row>
    <row r="272" spans="1:5" s="646" customFormat="1" ht="15.6" x14ac:dyDescent="0.25">
      <c r="A272" s="647"/>
      <c r="C272" s="578"/>
      <c r="D272" s="648"/>
      <c r="E272" s="648"/>
    </row>
    <row r="273" spans="1:5" s="646" customFormat="1" ht="15.6" x14ac:dyDescent="0.25">
      <c r="A273" s="647"/>
      <c r="C273" s="578"/>
      <c r="D273" s="648"/>
      <c r="E273" s="648"/>
    </row>
    <row r="274" spans="1:5" s="646" customFormat="1" ht="15.6" x14ac:dyDescent="0.25">
      <c r="A274" s="647"/>
      <c r="C274" s="578"/>
      <c r="D274" s="648"/>
      <c r="E274" s="648"/>
    </row>
    <row r="275" spans="1:5" s="646" customFormat="1" ht="15.6" x14ac:dyDescent="0.25">
      <c r="A275" s="647"/>
      <c r="C275" s="578"/>
      <c r="D275" s="648"/>
      <c r="E275" s="648"/>
    </row>
    <row r="276" spans="1:5" s="646" customFormat="1" ht="15.6" x14ac:dyDescent="0.25">
      <c r="A276" s="647"/>
      <c r="C276" s="578"/>
      <c r="D276" s="648"/>
      <c r="E276" s="648"/>
    </row>
    <row r="277" spans="1:5" s="646" customFormat="1" ht="15.6" x14ac:dyDescent="0.25">
      <c r="A277" s="647"/>
      <c r="C277" s="578"/>
      <c r="D277" s="648"/>
      <c r="E277" s="648"/>
    </row>
    <row r="278" spans="1:5" s="646" customFormat="1" ht="15.6" x14ac:dyDescent="0.25">
      <c r="A278" s="647"/>
      <c r="C278" s="578"/>
      <c r="D278" s="648"/>
      <c r="E278" s="648"/>
    </row>
    <row r="279" spans="1:5" s="646" customFormat="1" ht="15.6" x14ac:dyDescent="0.25">
      <c r="A279" s="647"/>
      <c r="C279" s="578"/>
      <c r="D279" s="648"/>
      <c r="E279" s="648"/>
    </row>
    <row r="280" spans="1:5" s="646" customFormat="1" ht="15.6" x14ac:dyDescent="0.25">
      <c r="A280" s="647"/>
      <c r="C280" s="578"/>
      <c r="D280" s="648"/>
      <c r="E280" s="648"/>
    </row>
    <row r="281" spans="1:5" s="646" customFormat="1" ht="15.6" x14ac:dyDescent="0.25">
      <c r="A281" s="647"/>
      <c r="C281" s="578"/>
      <c r="D281" s="648"/>
      <c r="E281" s="648"/>
    </row>
    <row r="282" spans="1:5" s="646" customFormat="1" ht="15.6" x14ac:dyDescent="0.25">
      <c r="A282" s="647"/>
      <c r="C282" s="578"/>
      <c r="D282" s="648"/>
      <c r="E282" s="648"/>
    </row>
    <row r="283" spans="1:5" s="646" customFormat="1" ht="15.6" x14ac:dyDescent="0.25">
      <c r="A283" s="647"/>
      <c r="C283" s="578"/>
      <c r="D283" s="648"/>
      <c r="E283" s="648"/>
    </row>
    <row r="284" spans="1:5" s="646" customFormat="1" ht="15.6" x14ac:dyDescent="0.25">
      <c r="A284" s="647"/>
      <c r="C284" s="578"/>
      <c r="D284" s="648"/>
      <c r="E284" s="648"/>
    </row>
    <row r="285" spans="1:5" s="646" customFormat="1" ht="15.6" x14ac:dyDescent="0.25">
      <c r="A285" s="647"/>
      <c r="C285" s="578"/>
      <c r="D285" s="648"/>
      <c r="E285" s="648"/>
    </row>
    <row r="286" spans="1:5" s="646" customFormat="1" ht="15.6" x14ac:dyDescent="0.25">
      <c r="A286" s="647"/>
      <c r="C286" s="578"/>
      <c r="D286" s="648"/>
      <c r="E286" s="648"/>
    </row>
    <row r="287" spans="1:5" s="646" customFormat="1" ht="15.6" x14ac:dyDescent="0.25">
      <c r="A287" s="647"/>
      <c r="C287" s="578"/>
      <c r="D287" s="648"/>
      <c r="E287" s="648"/>
    </row>
    <row r="288" spans="1:5" s="646" customFormat="1" ht="15.6" x14ac:dyDescent="0.25">
      <c r="A288" s="647"/>
      <c r="C288" s="578"/>
      <c r="D288" s="648"/>
      <c r="E288" s="648"/>
    </row>
    <row r="289" spans="1:5" s="646" customFormat="1" ht="15.6" x14ac:dyDescent="0.25">
      <c r="A289" s="647"/>
      <c r="C289" s="578"/>
      <c r="D289" s="648"/>
      <c r="E289" s="648"/>
    </row>
    <row r="290" spans="1:5" s="646" customFormat="1" ht="15.6" x14ac:dyDescent="0.25">
      <c r="A290" s="647"/>
      <c r="C290" s="578"/>
      <c r="D290" s="648"/>
      <c r="E290" s="648"/>
    </row>
    <row r="291" spans="1:5" s="646" customFormat="1" ht="15.6" x14ac:dyDescent="0.25">
      <c r="A291" s="647"/>
      <c r="C291" s="578"/>
      <c r="D291" s="648"/>
      <c r="E291" s="648"/>
    </row>
    <row r="292" spans="1:5" s="646" customFormat="1" ht="15.6" x14ac:dyDescent="0.25">
      <c r="A292" s="647"/>
      <c r="C292" s="578"/>
      <c r="D292" s="648"/>
      <c r="E292" s="648"/>
    </row>
    <row r="293" spans="1:5" s="646" customFormat="1" ht="15.6" x14ac:dyDescent="0.25">
      <c r="A293" s="647"/>
      <c r="C293" s="578"/>
      <c r="D293" s="648"/>
      <c r="E293" s="648"/>
    </row>
    <row r="294" spans="1:5" s="646" customFormat="1" ht="15.6" x14ac:dyDescent="0.25">
      <c r="A294" s="647"/>
      <c r="C294" s="578"/>
      <c r="D294" s="648"/>
      <c r="E294" s="648"/>
    </row>
    <row r="295" spans="1:5" s="646" customFormat="1" ht="15.6" x14ac:dyDescent="0.25">
      <c r="A295" s="647"/>
      <c r="C295" s="578"/>
      <c r="D295" s="648"/>
      <c r="E295" s="648"/>
    </row>
    <row r="296" spans="1:5" s="646" customFormat="1" ht="15.6" x14ac:dyDescent="0.25">
      <c r="A296" s="647"/>
      <c r="C296" s="578"/>
      <c r="D296" s="648"/>
      <c r="E296" s="648"/>
    </row>
    <row r="297" spans="1:5" s="646" customFormat="1" ht="15.6" x14ac:dyDescent="0.25">
      <c r="A297" s="647"/>
      <c r="C297" s="578"/>
      <c r="D297" s="648"/>
      <c r="E297" s="648"/>
    </row>
    <row r="298" spans="1:5" s="646" customFormat="1" ht="15.6" x14ac:dyDescent="0.25">
      <c r="A298" s="647"/>
      <c r="C298" s="578"/>
      <c r="D298" s="648"/>
      <c r="E298" s="648"/>
    </row>
    <row r="299" spans="1:5" s="646" customFormat="1" ht="15.6" x14ac:dyDescent="0.25">
      <c r="A299" s="647"/>
      <c r="C299" s="578"/>
      <c r="D299" s="648"/>
      <c r="E299" s="648"/>
    </row>
    <row r="300" spans="1:5" s="646" customFormat="1" ht="15.6" x14ac:dyDescent="0.25">
      <c r="A300" s="647"/>
      <c r="C300" s="578"/>
      <c r="D300" s="648"/>
      <c r="E300" s="648"/>
    </row>
    <row r="301" spans="1:5" s="646" customFormat="1" ht="15.6" x14ac:dyDescent="0.25">
      <c r="A301" s="647"/>
      <c r="C301" s="578"/>
      <c r="D301" s="648"/>
      <c r="E301" s="648"/>
    </row>
    <row r="302" spans="1:5" s="646" customFormat="1" ht="15.6" x14ac:dyDescent="0.25">
      <c r="A302" s="647"/>
      <c r="C302" s="578"/>
      <c r="D302" s="648"/>
      <c r="E302" s="648"/>
    </row>
    <row r="303" spans="1:5" s="646" customFormat="1" ht="15.6" x14ac:dyDescent="0.25">
      <c r="A303" s="647"/>
      <c r="C303" s="578"/>
      <c r="D303" s="648"/>
      <c r="E303" s="648"/>
    </row>
    <row r="304" spans="1:5" s="646" customFormat="1" ht="15.6" x14ac:dyDescent="0.25">
      <c r="A304" s="647"/>
      <c r="C304" s="578"/>
      <c r="D304" s="648"/>
      <c r="E304" s="648"/>
    </row>
    <row r="305" spans="1:5" s="646" customFormat="1" ht="15.6" x14ac:dyDescent="0.25">
      <c r="A305" s="647"/>
      <c r="C305" s="578"/>
      <c r="D305" s="648"/>
      <c r="E305" s="648"/>
    </row>
    <row r="306" spans="1:5" s="646" customFormat="1" ht="15.6" x14ac:dyDescent="0.25">
      <c r="A306" s="647"/>
      <c r="C306" s="578"/>
      <c r="D306" s="648"/>
      <c r="E306" s="648"/>
    </row>
    <row r="307" spans="1:5" s="646" customFormat="1" ht="15.6" x14ac:dyDescent="0.25">
      <c r="A307" s="647"/>
      <c r="C307" s="578"/>
      <c r="D307" s="648"/>
      <c r="E307" s="648"/>
    </row>
    <row r="308" spans="1:5" s="646" customFormat="1" ht="15.6" x14ac:dyDescent="0.25">
      <c r="A308" s="647"/>
      <c r="C308" s="578"/>
      <c r="D308" s="648"/>
      <c r="E308" s="648"/>
    </row>
    <row r="309" spans="1:5" s="646" customFormat="1" ht="15.6" x14ac:dyDescent="0.25">
      <c r="A309" s="647"/>
      <c r="C309" s="578"/>
      <c r="D309" s="648"/>
      <c r="E309" s="648"/>
    </row>
    <row r="310" spans="1:5" s="646" customFormat="1" ht="15.6" x14ac:dyDescent="0.25">
      <c r="A310" s="647"/>
      <c r="C310" s="578"/>
      <c r="D310" s="648"/>
      <c r="E310" s="648"/>
    </row>
    <row r="311" spans="1:5" s="646" customFormat="1" ht="15.6" x14ac:dyDescent="0.25">
      <c r="A311" s="647"/>
      <c r="C311" s="578"/>
      <c r="D311" s="648"/>
      <c r="E311" s="648"/>
    </row>
    <row r="312" spans="1:5" s="646" customFormat="1" ht="15.6" x14ac:dyDescent="0.25">
      <c r="A312" s="647"/>
      <c r="C312" s="578"/>
      <c r="D312" s="648"/>
      <c r="E312" s="648"/>
    </row>
    <row r="313" spans="1:5" s="646" customFormat="1" ht="15.6" x14ac:dyDescent="0.25">
      <c r="A313" s="647"/>
      <c r="C313" s="578"/>
      <c r="D313" s="648"/>
      <c r="E313" s="648"/>
    </row>
    <row r="314" spans="1:5" s="646" customFormat="1" ht="15.6" x14ac:dyDescent="0.25">
      <c r="A314" s="647"/>
      <c r="C314" s="578"/>
      <c r="D314" s="648"/>
      <c r="E314" s="648"/>
    </row>
    <row r="315" spans="1:5" s="646" customFormat="1" ht="15.6" x14ac:dyDescent="0.25">
      <c r="A315" s="647"/>
      <c r="C315" s="578"/>
      <c r="D315" s="648"/>
      <c r="E315" s="648"/>
    </row>
    <row r="316" spans="1:5" s="646" customFormat="1" ht="15.6" x14ac:dyDescent="0.25">
      <c r="A316" s="647"/>
      <c r="C316" s="578"/>
      <c r="D316" s="648"/>
      <c r="E316" s="648"/>
    </row>
    <row r="317" spans="1:5" s="646" customFormat="1" ht="15.6" x14ac:dyDescent="0.25">
      <c r="A317" s="647"/>
      <c r="C317" s="578"/>
      <c r="D317" s="648"/>
      <c r="E317" s="648"/>
    </row>
    <row r="318" spans="1:5" s="646" customFormat="1" ht="15.6" x14ac:dyDescent="0.25">
      <c r="A318" s="647"/>
      <c r="C318" s="578"/>
      <c r="D318" s="648"/>
      <c r="E318" s="648"/>
    </row>
    <row r="319" spans="1:5" s="646" customFormat="1" ht="15.6" x14ac:dyDescent="0.25">
      <c r="A319" s="647"/>
      <c r="C319" s="578"/>
      <c r="D319" s="648"/>
      <c r="E319" s="648"/>
    </row>
    <row r="320" spans="1:5" s="646" customFormat="1" ht="15.6" x14ac:dyDescent="0.25">
      <c r="A320" s="647"/>
      <c r="C320" s="578"/>
      <c r="D320" s="648"/>
      <c r="E320" s="648"/>
    </row>
    <row r="321" spans="1:5" s="646" customFormat="1" ht="15.6" x14ac:dyDescent="0.25">
      <c r="A321" s="647"/>
      <c r="C321" s="578"/>
      <c r="D321" s="648"/>
      <c r="E321" s="648"/>
    </row>
    <row r="322" spans="1:5" s="646" customFormat="1" ht="15.6" x14ac:dyDescent="0.25">
      <c r="A322" s="647"/>
      <c r="C322" s="578"/>
      <c r="D322" s="648"/>
      <c r="E322" s="648"/>
    </row>
    <row r="323" spans="1:5" s="646" customFormat="1" ht="15.6" x14ac:dyDescent="0.25">
      <c r="A323" s="647"/>
      <c r="C323" s="578"/>
      <c r="D323" s="648"/>
      <c r="E323" s="648"/>
    </row>
    <row r="324" spans="1:5" s="646" customFormat="1" ht="15.6" x14ac:dyDescent="0.25">
      <c r="A324" s="647"/>
      <c r="C324" s="578"/>
      <c r="D324" s="648"/>
      <c r="E324" s="648"/>
    </row>
    <row r="325" spans="1:5" s="646" customFormat="1" ht="15.6" x14ac:dyDescent="0.25">
      <c r="A325" s="647"/>
      <c r="C325" s="578"/>
      <c r="D325" s="648"/>
      <c r="E325" s="648"/>
    </row>
    <row r="326" spans="1:5" s="646" customFormat="1" ht="15.6" x14ac:dyDescent="0.25">
      <c r="A326" s="647"/>
      <c r="C326" s="578"/>
      <c r="D326" s="648"/>
      <c r="E326" s="648"/>
    </row>
    <row r="327" spans="1:5" s="646" customFormat="1" ht="15.6" x14ac:dyDescent="0.25">
      <c r="A327" s="647"/>
      <c r="C327" s="578"/>
      <c r="D327" s="648"/>
      <c r="E327" s="648"/>
    </row>
    <row r="328" spans="1:5" s="646" customFormat="1" ht="15.6" x14ac:dyDescent="0.25">
      <c r="A328" s="647"/>
      <c r="C328" s="578"/>
      <c r="D328" s="648"/>
      <c r="E328" s="648"/>
    </row>
    <row r="329" spans="1:5" s="646" customFormat="1" ht="15.6" x14ac:dyDescent="0.25">
      <c r="A329" s="647"/>
      <c r="C329" s="578"/>
      <c r="D329" s="648"/>
      <c r="E329" s="648"/>
    </row>
    <row r="330" spans="1:5" s="646" customFormat="1" ht="15.6" x14ac:dyDescent="0.25">
      <c r="A330" s="647"/>
      <c r="C330" s="578"/>
      <c r="D330" s="648"/>
      <c r="E330" s="648"/>
    </row>
    <row r="331" spans="1:5" s="646" customFormat="1" ht="15.6" x14ac:dyDescent="0.25">
      <c r="A331" s="647"/>
      <c r="C331" s="578"/>
      <c r="D331" s="648"/>
      <c r="E331" s="648"/>
    </row>
    <row r="332" spans="1:5" s="646" customFormat="1" ht="15.6" x14ac:dyDescent="0.25">
      <c r="A332" s="647"/>
      <c r="C332" s="578"/>
      <c r="D332" s="648"/>
      <c r="E332" s="648"/>
    </row>
    <row r="333" spans="1:5" s="646" customFormat="1" ht="15.6" x14ac:dyDescent="0.25">
      <c r="A333" s="647"/>
      <c r="C333" s="578"/>
      <c r="D333" s="648"/>
      <c r="E333" s="648"/>
    </row>
    <row r="334" spans="1:5" s="646" customFormat="1" ht="15.6" x14ac:dyDescent="0.25">
      <c r="A334" s="647"/>
      <c r="C334" s="578"/>
      <c r="D334" s="648"/>
      <c r="E334" s="648"/>
    </row>
    <row r="335" spans="1:5" s="646" customFormat="1" ht="15.6" x14ac:dyDescent="0.25">
      <c r="A335" s="647"/>
      <c r="C335" s="578"/>
      <c r="D335" s="648"/>
      <c r="E335" s="648"/>
    </row>
    <row r="336" spans="1:5" s="646" customFormat="1" ht="15.6" x14ac:dyDescent="0.25">
      <c r="A336" s="647"/>
      <c r="C336" s="578"/>
      <c r="D336" s="648"/>
      <c r="E336" s="648"/>
    </row>
    <row r="337" spans="1:5" s="646" customFormat="1" ht="15.6" x14ac:dyDescent="0.25">
      <c r="A337" s="647"/>
      <c r="C337" s="578"/>
      <c r="D337" s="648"/>
      <c r="E337" s="648"/>
    </row>
    <row r="338" spans="1:5" s="646" customFormat="1" ht="15.6" x14ac:dyDescent="0.25">
      <c r="A338" s="647"/>
      <c r="C338" s="578"/>
      <c r="D338" s="648"/>
      <c r="E338" s="648"/>
    </row>
    <row r="339" spans="1:5" s="646" customFormat="1" ht="15.6" x14ac:dyDescent="0.25">
      <c r="A339" s="647"/>
      <c r="C339" s="578"/>
      <c r="D339" s="648"/>
      <c r="E339" s="648"/>
    </row>
    <row r="340" spans="1:5" s="646" customFormat="1" ht="15.6" x14ac:dyDescent="0.25">
      <c r="A340" s="647"/>
      <c r="C340" s="578"/>
      <c r="D340" s="648"/>
      <c r="E340" s="648"/>
    </row>
    <row r="341" spans="1:5" s="646" customFormat="1" ht="15.6" x14ac:dyDescent="0.25">
      <c r="A341" s="647"/>
      <c r="C341" s="578"/>
      <c r="D341" s="648"/>
      <c r="E341" s="648"/>
    </row>
    <row r="342" spans="1:5" s="646" customFormat="1" ht="15.6" x14ac:dyDescent="0.25">
      <c r="A342" s="647"/>
      <c r="C342" s="578"/>
      <c r="D342" s="648"/>
      <c r="E342" s="648"/>
    </row>
    <row r="343" spans="1:5" s="646" customFormat="1" ht="15.6" x14ac:dyDescent="0.25">
      <c r="A343" s="647"/>
      <c r="C343" s="578"/>
      <c r="D343" s="648"/>
      <c r="E343" s="648"/>
    </row>
    <row r="344" spans="1:5" s="646" customFormat="1" ht="15.6" x14ac:dyDescent="0.25">
      <c r="A344" s="647"/>
      <c r="C344" s="578"/>
      <c r="D344" s="648"/>
      <c r="E344" s="648"/>
    </row>
    <row r="345" spans="1:5" s="646" customFormat="1" ht="15.6" x14ac:dyDescent="0.25">
      <c r="A345" s="647"/>
      <c r="C345" s="578"/>
      <c r="D345" s="648"/>
      <c r="E345" s="648"/>
    </row>
    <row r="346" spans="1:5" s="646" customFormat="1" ht="15.6" x14ac:dyDescent="0.25">
      <c r="A346" s="647"/>
      <c r="C346" s="578"/>
      <c r="D346" s="648"/>
      <c r="E346" s="648"/>
    </row>
    <row r="347" spans="1:5" s="646" customFormat="1" ht="15.6" x14ac:dyDescent="0.25">
      <c r="A347" s="647"/>
      <c r="C347" s="578"/>
      <c r="D347" s="648"/>
      <c r="E347" s="648"/>
    </row>
    <row r="348" spans="1:5" s="646" customFormat="1" ht="15.6" x14ac:dyDescent="0.25">
      <c r="A348" s="647"/>
      <c r="C348" s="578"/>
      <c r="D348" s="648"/>
      <c r="E348" s="648"/>
    </row>
    <row r="349" spans="1:5" s="646" customFormat="1" ht="15.6" x14ac:dyDescent="0.25">
      <c r="A349" s="647"/>
      <c r="C349" s="578"/>
      <c r="D349" s="648"/>
      <c r="E349" s="648"/>
    </row>
    <row r="350" spans="1:5" s="646" customFormat="1" ht="15.6" x14ac:dyDescent="0.25">
      <c r="A350" s="647"/>
      <c r="C350" s="578"/>
      <c r="D350" s="648"/>
      <c r="E350" s="648"/>
    </row>
    <row r="351" spans="1:5" s="646" customFormat="1" ht="15.6" x14ac:dyDescent="0.25">
      <c r="A351" s="647"/>
      <c r="C351" s="578"/>
      <c r="D351" s="648"/>
      <c r="E351" s="648"/>
    </row>
    <row r="352" spans="1:5" s="646" customFormat="1" ht="15.6" x14ac:dyDescent="0.25">
      <c r="A352" s="647"/>
      <c r="C352" s="578"/>
      <c r="D352" s="648"/>
      <c r="E352" s="648"/>
    </row>
    <row r="353" spans="1:5" s="646" customFormat="1" ht="15.6" x14ac:dyDescent="0.25">
      <c r="A353" s="647"/>
      <c r="C353" s="578"/>
      <c r="D353" s="648"/>
      <c r="E353" s="648"/>
    </row>
    <row r="354" spans="1:5" s="646" customFormat="1" ht="15.6" x14ac:dyDescent="0.25">
      <c r="A354" s="647"/>
      <c r="C354" s="578"/>
      <c r="D354" s="648"/>
      <c r="E354" s="648"/>
    </row>
    <row r="355" spans="1:5" s="646" customFormat="1" ht="15.6" x14ac:dyDescent="0.25">
      <c r="A355" s="647"/>
      <c r="C355" s="578"/>
      <c r="D355" s="648"/>
      <c r="E355" s="648"/>
    </row>
    <row r="356" spans="1:5" s="646" customFormat="1" ht="15.6" x14ac:dyDescent="0.25">
      <c r="A356" s="647"/>
      <c r="C356" s="578"/>
      <c r="D356" s="648"/>
      <c r="E356" s="648"/>
    </row>
    <row r="357" spans="1:5" s="646" customFormat="1" ht="15.6" x14ac:dyDescent="0.25">
      <c r="A357" s="647"/>
      <c r="C357" s="578"/>
      <c r="D357" s="648"/>
      <c r="E357" s="648"/>
    </row>
    <row r="358" spans="1:5" s="646" customFormat="1" ht="15.6" x14ac:dyDescent="0.25">
      <c r="A358" s="647"/>
      <c r="C358" s="578"/>
      <c r="D358" s="648"/>
      <c r="E358" s="648"/>
    </row>
    <row r="359" spans="1:5" s="646" customFormat="1" ht="15.6" x14ac:dyDescent="0.25">
      <c r="A359" s="647"/>
      <c r="C359" s="578"/>
      <c r="D359" s="648"/>
      <c r="E359" s="648"/>
    </row>
    <row r="360" spans="1:5" s="646" customFormat="1" ht="15.6" x14ac:dyDescent="0.25">
      <c r="A360" s="647"/>
      <c r="C360" s="578"/>
      <c r="D360" s="648"/>
      <c r="E360" s="648"/>
    </row>
    <row r="361" spans="1:5" s="646" customFormat="1" ht="15.6" x14ac:dyDescent="0.25">
      <c r="A361" s="647"/>
      <c r="C361" s="578"/>
      <c r="D361" s="648"/>
      <c r="E361" s="648"/>
    </row>
    <row r="362" spans="1:5" s="646" customFormat="1" ht="15.6" x14ac:dyDescent="0.25">
      <c r="A362" s="647"/>
      <c r="C362" s="578"/>
      <c r="D362" s="648"/>
      <c r="E362" s="648"/>
    </row>
    <row r="363" spans="1:5" s="646" customFormat="1" ht="15.6" x14ac:dyDescent="0.25">
      <c r="A363" s="647"/>
      <c r="C363" s="578"/>
      <c r="D363" s="648"/>
      <c r="E363" s="648"/>
    </row>
    <row r="364" spans="1:5" s="646" customFormat="1" ht="15.6" x14ac:dyDescent="0.25">
      <c r="A364" s="647"/>
      <c r="C364" s="578"/>
      <c r="D364" s="648"/>
      <c r="E364" s="648"/>
    </row>
    <row r="365" spans="1:5" s="646" customFormat="1" ht="15.6" x14ac:dyDescent="0.25">
      <c r="A365" s="647"/>
      <c r="C365" s="578"/>
      <c r="D365" s="648"/>
      <c r="E365" s="648"/>
    </row>
    <row r="366" spans="1:5" s="646" customFormat="1" ht="15.6" x14ac:dyDescent="0.25">
      <c r="A366" s="647"/>
      <c r="C366" s="578"/>
      <c r="D366" s="648"/>
      <c r="E366" s="648"/>
    </row>
    <row r="367" spans="1:5" s="646" customFormat="1" ht="15.6" x14ac:dyDescent="0.25">
      <c r="A367" s="647"/>
      <c r="C367" s="578"/>
      <c r="D367" s="648"/>
      <c r="E367" s="648"/>
    </row>
    <row r="368" spans="1:5" s="646" customFormat="1" ht="15.6" x14ac:dyDescent="0.25">
      <c r="A368" s="647"/>
      <c r="C368" s="578"/>
      <c r="D368" s="648"/>
      <c r="E368" s="648"/>
    </row>
    <row r="369" spans="1:5" s="646" customFormat="1" ht="15.6" x14ac:dyDescent="0.25">
      <c r="A369" s="647"/>
      <c r="C369" s="578"/>
      <c r="D369" s="648"/>
      <c r="E369" s="648"/>
    </row>
    <row r="370" spans="1:5" s="646" customFormat="1" ht="15.6" x14ac:dyDescent="0.25">
      <c r="A370" s="647"/>
      <c r="C370" s="578"/>
      <c r="D370" s="648"/>
      <c r="E370" s="648"/>
    </row>
    <row r="371" spans="1:5" s="646" customFormat="1" ht="15.6" x14ac:dyDescent="0.25">
      <c r="A371" s="647"/>
      <c r="C371" s="578"/>
      <c r="D371" s="648"/>
      <c r="E371" s="648"/>
    </row>
    <row r="372" spans="1:5" s="646" customFormat="1" ht="15.6" x14ac:dyDescent="0.25">
      <c r="A372" s="647"/>
      <c r="C372" s="578"/>
      <c r="D372" s="648"/>
      <c r="E372" s="648"/>
    </row>
    <row r="373" spans="1:5" s="646" customFormat="1" ht="15.6" x14ac:dyDescent="0.25">
      <c r="A373" s="647"/>
      <c r="C373" s="578"/>
      <c r="D373" s="648"/>
      <c r="E373" s="648"/>
    </row>
    <row r="374" spans="1:5" s="646" customFormat="1" ht="15.6" x14ac:dyDescent="0.25">
      <c r="A374" s="647"/>
      <c r="C374" s="578"/>
      <c r="D374" s="648"/>
      <c r="E374" s="648"/>
    </row>
    <row r="375" spans="1:5" s="646" customFormat="1" ht="15.6" x14ac:dyDescent="0.25">
      <c r="A375" s="647"/>
      <c r="C375" s="578"/>
      <c r="D375" s="648"/>
      <c r="E375" s="648"/>
    </row>
    <row r="376" spans="1:5" s="646" customFormat="1" ht="15.6" x14ac:dyDescent="0.25">
      <c r="A376" s="647"/>
      <c r="C376" s="578"/>
      <c r="D376" s="648"/>
      <c r="E376" s="648"/>
    </row>
    <row r="377" spans="1:5" s="646" customFormat="1" ht="15.6" x14ac:dyDescent="0.25">
      <c r="A377" s="647"/>
      <c r="C377" s="578"/>
      <c r="D377" s="648"/>
      <c r="E377" s="648"/>
    </row>
    <row r="378" spans="1:5" s="646" customFormat="1" ht="15.6" x14ac:dyDescent="0.25">
      <c r="A378" s="647"/>
      <c r="C378" s="578"/>
      <c r="D378" s="648"/>
      <c r="E378" s="648"/>
    </row>
    <row r="379" spans="1:5" s="646" customFormat="1" ht="15.6" x14ac:dyDescent="0.25">
      <c r="A379" s="647"/>
      <c r="C379" s="578"/>
      <c r="D379" s="648"/>
      <c r="E379" s="648"/>
    </row>
    <row r="380" spans="1:5" s="646" customFormat="1" ht="15.6" x14ac:dyDescent="0.25">
      <c r="A380" s="647"/>
      <c r="C380" s="578"/>
      <c r="D380" s="648"/>
      <c r="E380" s="648"/>
    </row>
    <row r="381" spans="1:5" s="646" customFormat="1" ht="15.6" x14ac:dyDescent="0.25">
      <c r="A381" s="647"/>
      <c r="C381" s="578"/>
      <c r="D381" s="648"/>
      <c r="E381" s="648"/>
    </row>
    <row r="382" spans="1:5" s="646" customFormat="1" ht="15.6" x14ac:dyDescent="0.25">
      <c r="A382" s="647"/>
      <c r="C382" s="578"/>
      <c r="D382" s="648"/>
      <c r="E382" s="648"/>
    </row>
    <row r="383" spans="1:5" s="646" customFormat="1" ht="15.6" x14ac:dyDescent="0.25">
      <c r="A383" s="647"/>
      <c r="C383" s="578"/>
      <c r="D383" s="648"/>
      <c r="E383" s="648"/>
    </row>
    <row r="384" spans="1:5" s="646" customFormat="1" ht="15.6" x14ac:dyDescent="0.25">
      <c r="A384" s="647"/>
      <c r="C384" s="578"/>
      <c r="D384" s="648"/>
      <c r="E384" s="648"/>
    </row>
    <row r="385" spans="1:5" s="646" customFormat="1" ht="15.6" x14ac:dyDescent="0.25">
      <c r="A385" s="647"/>
      <c r="C385" s="578"/>
      <c r="D385" s="648"/>
      <c r="E385" s="648"/>
    </row>
    <row r="386" spans="1:5" s="646" customFormat="1" ht="15.6" x14ac:dyDescent="0.25">
      <c r="A386" s="647"/>
      <c r="C386" s="578"/>
      <c r="D386" s="648"/>
      <c r="E386" s="648"/>
    </row>
    <row r="387" spans="1:5" s="646" customFormat="1" ht="15.6" x14ac:dyDescent="0.25">
      <c r="A387" s="647"/>
      <c r="C387" s="578"/>
      <c r="D387" s="648"/>
      <c r="E387" s="648"/>
    </row>
    <row r="388" spans="1:5" s="646" customFormat="1" ht="15.6" x14ac:dyDescent="0.25">
      <c r="A388" s="647"/>
      <c r="C388" s="578"/>
      <c r="D388" s="648"/>
      <c r="E388" s="648"/>
    </row>
    <row r="389" spans="1:5" s="646" customFormat="1" ht="15.6" x14ac:dyDescent="0.25">
      <c r="A389" s="647"/>
      <c r="C389" s="578"/>
      <c r="D389" s="648"/>
      <c r="E389" s="648"/>
    </row>
    <row r="390" spans="1:5" s="646" customFormat="1" ht="15.6" x14ac:dyDescent="0.25">
      <c r="A390" s="647"/>
      <c r="C390" s="578"/>
      <c r="D390" s="648"/>
      <c r="E390" s="648"/>
    </row>
    <row r="391" spans="1:5" s="646" customFormat="1" ht="15.6" x14ac:dyDescent="0.25">
      <c r="A391" s="647"/>
      <c r="C391" s="578"/>
      <c r="D391" s="648"/>
      <c r="E391" s="648"/>
    </row>
    <row r="392" spans="1:5" s="646" customFormat="1" ht="15.6" x14ac:dyDescent="0.25">
      <c r="A392" s="647"/>
      <c r="C392" s="578"/>
      <c r="D392" s="648"/>
      <c r="E392" s="648"/>
    </row>
    <row r="393" spans="1:5" s="646" customFormat="1" ht="15.6" x14ac:dyDescent="0.25">
      <c r="A393" s="647"/>
      <c r="C393" s="578"/>
      <c r="D393" s="648"/>
      <c r="E393" s="648"/>
    </row>
    <row r="394" spans="1:5" s="646" customFormat="1" ht="15.6" x14ac:dyDescent="0.25">
      <c r="A394" s="647"/>
      <c r="C394" s="578"/>
      <c r="D394" s="648"/>
      <c r="E394" s="648"/>
    </row>
    <row r="395" spans="1:5" s="646" customFormat="1" ht="15.6" x14ac:dyDescent="0.25">
      <c r="A395" s="647"/>
      <c r="C395" s="578"/>
      <c r="D395" s="648"/>
      <c r="E395" s="648"/>
    </row>
    <row r="396" spans="1:5" s="646" customFormat="1" ht="15.6" x14ac:dyDescent="0.25">
      <c r="A396" s="647"/>
      <c r="C396" s="578"/>
      <c r="D396" s="648"/>
      <c r="E396" s="648"/>
    </row>
    <row r="397" spans="1:5" s="646" customFormat="1" ht="15.6" x14ac:dyDescent="0.25">
      <c r="A397" s="647"/>
      <c r="C397" s="578"/>
      <c r="D397" s="648"/>
      <c r="E397" s="648"/>
    </row>
    <row r="398" spans="1:5" s="646" customFormat="1" ht="15.6" x14ac:dyDescent="0.25">
      <c r="A398" s="647"/>
      <c r="C398" s="578"/>
      <c r="D398" s="648"/>
      <c r="E398" s="648"/>
    </row>
    <row r="399" spans="1:5" s="646" customFormat="1" ht="15.6" x14ac:dyDescent="0.25">
      <c r="A399" s="647"/>
      <c r="C399" s="578"/>
      <c r="D399" s="648"/>
      <c r="E399" s="648"/>
    </row>
    <row r="400" spans="1:5" s="646" customFormat="1" ht="15.6" x14ac:dyDescent="0.25">
      <c r="A400" s="647"/>
      <c r="C400" s="578"/>
      <c r="D400" s="648"/>
      <c r="E400" s="648"/>
    </row>
    <row r="401" spans="1:5" s="646" customFormat="1" ht="15.6" x14ac:dyDescent="0.25">
      <c r="A401" s="647"/>
      <c r="C401" s="578"/>
      <c r="D401" s="648"/>
      <c r="E401" s="648"/>
    </row>
    <row r="402" spans="1:5" s="646" customFormat="1" ht="15.6" x14ac:dyDescent="0.25">
      <c r="A402" s="647"/>
      <c r="C402" s="578"/>
      <c r="D402" s="648"/>
      <c r="E402" s="648"/>
    </row>
    <row r="403" spans="1:5" s="646" customFormat="1" ht="15.6" x14ac:dyDescent="0.25">
      <c r="A403" s="647"/>
      <c r="C403" s="578"/>
      <c r="D403" s="648"/>
      <c r="E403" s="648"/>
    </row>
    <row r="404" spans="1:5" s="646" customFormat="1" ht="15.6" x14ac:dyDescent="0.25">
      <c r="A404" s="647"/>
      <c r="C404" s="578"/>
      <c r="D404" s="648"/>
      <c r="E404" s="648"/>
    </row>
    <row r="405" spans="1:5" s="646" customFormat="1" ht="15.6" x14ac:dyDescent="0.25">
      <c r="A405" s="647"/>
      <c r="C405" s="578"/>
      <c r="D405" s="648"/>
      <c r="E405" s="648"/>
    </row>
    <row r="406" spans="1:5" s="646" customFormat="1" ht="15.6" x14ac:dyDescent="0.25">
      <c r="A406" s="647"/>
      <c r="C406" s="578"/>
      <c r="D406" s="648"/>
      <c r="E406" s="648"/>
    </row>
    <row r="407" spans="1:5" s="646" customFormat="1" ht="15.6" x14ac:dyDescent="0.25">
      <c r="A407" s="647"/>
      <c r="C407" s="578"/>
      <c r="D407" s="648"/>
      <c r="E407" s="648"/>
    </row>
    <row r="408" spans="1:5" s="646" customFormat="1" ht="15.6" x14ac:dyDescent="0.25">
      <c r="A408" s="647"/>
      <c r="C408" s="578"/>
      <c r="D408" s="648"/>
      <c r="E408" s="648"/>
    </row>
    <row r="409" spans="1:5" s="646" customFormat="1" ht="15.6" x14ac:dyDescent="0.25">
      <c r="A409" s="647"/>
      <c r="C409" s="578"/>
      <c r="D409" s="648"/>
      <c r="E409" s="648"/>
    </row>
    <row r="410" spans="1:5" s="646" customFormat="1" ht="15.6" x14ac:dyDescent="0.25">
      <c r="A410" s="647"/>
      <c r="C410" s="578"/>
      <c r="D410" s="648"/>
      <c r="E410" s="648"/>
    </row>
    <row r="411" spans="1:5" s="646" customFormat="1" ht="15.6" x14ac:dyDescent="0.25">
      <c r="A411" s="647"/>
      <c r="C411" s="578"/>
      <c r="D411" s="648"/>
      <c r="E411" s="648"/>
    </row>
    <row r="412" spans="1:5" s="646" customFormat="1" ht="15.6" x14ac:dyDescent="0.25">
      <c r="A412" s="647"/>
      <c r="C412" s="578"/>
      <c r="D412" s="648"/>
      <c r="E412" s="648"/>
    </row>
    <row r="413" spans="1:5" s="646" customFormat="1" ht="15.6" x14ac:dyDescent="0.25">
      <c r="A413" s="647"/>
      <c r="C413" s="578"/>
      <c r="D413" s="648"/>
      <c r="E413" s="648"/>
    </row>
    <row r="414" spans="1:5" s="646" customFormat="1" ht="15.6" x14ac:dyDescent="0.25">
      <c r="A414" s="647"/>
      <c r="C414" s="578"/>
      <c r="D414" s="648"/>
      <c r="E414" s="648"/>
    </row>
    <row r="415" spans="1:5" s="646" customFormat="1" ht="15.6" x14ac:dyDescent="0.25">
      <c r="A415" s="647"/>
      <c r="C415" s="578"/>
      <c r="D415" s="648"/>
      <c r="E415" s="648"/>
    </row>
    <row r="416" spans="1:5" s="646" customFormat="1" ht="15.6" x14ac:dyDescent="0.25">
      <c r="A416" s="647"/>
      <c r="C416" s="578"/>
      <c r="D416" s="648"/>
      <c r="E416" s="648"/>
    </row>
    <row r="417" spans="1:5" s="646" customFormat="1" ht="15.6" x14ac:dyDescent="0.25">
      <c r="A417" s="647"/>
      <c r="C417" s="578"/>
      <c r="D417" s="648"/>
      <c r="E417" s="648"/>
    </row>
    <row r="418" spans="1:5" s="646" customFormat="1" ht="15.6" x14ac:dyDescent="0.25">
      <c r="A418" s="647"/>
      <c r="C418" s="578"/>
      <c r="D418" s="648"/>
      <c r="E418" s="648"/>
    </row>
    <row r="419" spans="1:5" s="646" customFormat="1" ht="15.6" x14ac:dyDescent="0.25">
      <c r="A419" s="647"/>
      <c r="C419" s="578"/>
      <c r="D419" s="648"/>
      <c r="E419" s="648"/>
    </row>
    <row r="420" spans="1:5" s="646" customFormat="1" ht="15.6" x14ac:dyDescent="0.25">
      <c r="A420" s="647"/>
      <c r="C420" s="578"/>
      <c r="D420" s="648"/>
      <c r="E420" s="648"/>
    </row>
    <row r="421" spans="1:5" s="646" customFormat="1" ht="15.6" x14ac:dyDescent="0.25">
      <c r="A421" s="647"/>
      <c r="C421" s="578"/>
      <c r="D421" s="648"/>
      <c r="E421" s="648"/>
    </row>
    <row r="422" spans="1:5" s="646" customFormat="1" ht="15.6" x14ac:dyDescent="0.25">
      <c r="A422" s="647"/>
      <c r="C422" s="578"/>
      <c r="D422" s="648"/>
      <c r="E422" s="64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70" zoomScaleNormal="70" zoomScaleSheetLayoutView="80" workbookViewId="0">
      <selection activeCell="H8" sqref="H8"/>
    </sheetView>
  </sheetViews>
  <sheetFormatPr defaultRowHeight="14.4" x14ac:dyDescent="0.3"/>
  <cols>
    <col min="1" max="1" width="32.21875" customWidth="1"/>
    <col min="2" max="2" width="90.5546875" customWidth="1"/>
    <col min="3" max="3" width="1.44140625" customWidth="1"/>
    <col min="8" max="8" width="31" customWidth="1"/>
  </cols>
  <sheetData>
    <row r="1" spans="1:2" x14ac:dyDescent="0.3">
      <c r="A1" s="157"/>
      <c r="B1" s="686"/>
    </row>
    <row r="2" spans="1:2" x14ac:dyDescent="0.3">
      <c r="A2" s="727"/>
      <c r="B2" s="732"/>
    </row>
    <row r="3" spans="1:2" ht="31.2" x14ac:dyDescent="0.6">
      <c r="A3" s="728" t="s">
        <v>540</v>
      </c>
      <c r="B3" s="732"/>
    </row>
    <row r="4" spans="1:2" x14ac:dyDescent="0.3">
      <c r="A4" s="727"/>
      <c r="B4" s="732"/>
    </row>
    <row r="5" spans="1:2" x14ac:dyDescent="0.3">
      <c r="A5" s="146"/>
      <c r="B5" s="145"/>
    </row>
    <row r="6" spans="1:2" ht="31.2" x14ac:dyDescent="0.6">
      <c r="A6" s="729" t="s">
        <v>541</v>
      </c>
      <c r="B6" s="145"/>
    </row>
    <row r="7" spans="1:2" ht="31.2" x14ac:dyDescent="0.3">
      <c r="A7" s="730" t="s">
        <v>2169</v>
      </c>
      <c r="B7" s="145"/>
    </row>
    <row r="8" spans="1:2" ht="31.2" x14ac:dyDescent="0.3">
      <c r="A8" s="730" t="s">
        <v>2170</v>
      </c>
      <c r="B8" s="145"/>
    </row>
    <row r="9" spans="1:2" ht="31.2" x14ac:dyDescent="0.3">
      <c r="A9" s="730"/>
      <c r="B9" s="145"/>
    </row>
    <row r="10" spans="1:2" ht="25.8" x14ac:dyDescent="0.5">
      <c r="A10" s="731" t="s">
        <v>2222</v>
      </c>
      <c r="B10" s="145"/>
    </row>
    <row r="11" spans="1:2" x14ac:dyDescent="0.3">
      <c r="A11" s="146"/>
      <c r="B11" s="145"/>
    </row>
    <row r="12" spans="1:2" ht="31.2" x14ac:dyDescent="0.3">
      <c r="A12" s="730" t="s">
        <v>2221</v>
      </c>
      <c r="B12" s="145"/>
    </row>
    <row r="13" spans="1:2" x14ac:dyDescent="0.3">
      <c r="A13" s="146"/>
      <c r="B13" s="145"/>
    </row>
    <row r="14" spans="1:2" x14ac:dyDescent="0.3">
      <c r="A14" s="146"/>
      <c r="B14" s="149"/>
    </row>
    <row r="15" spans="1:2" ht="28.8" x14ac:dyDescent="0.3">
      <c r="A15" s="733" t="s">
        <v>542</v>
      </c>
      <c r="B15" s="149" t="s">
        <v>2172</v>
      </c>
    </row>
    <row r="16" spans="1:2" x14ac:dyDescent="0.3">
      <c r="A16" s="212" t="s">
        <v>543</v>
      </c>
      <c r="B16" s="137" t="s">
        <v>2223</v>
      </c>
    </row>
    <row r="17" spans="1:2" x14ac:dyDescent="0.3">
      <c r="A17" s="212" t="s">
        <v>544</v>
      </c>
      <c r="B17" s="137" t="s">
        <v>2171</v>
      </c>
    </row>
    <row r="18" spans="1:2" x14ac:dyDescent="0.3">
      <c r="A18" s="212" t="s">
        <v>545</v>
      </c>
      <c r="B18" s="137" t="s">
        <v>2206</v>
      </c>
    </row>
    <row r="19" spans="1:2" x14ac:dyDescent="0.3">
      <c r="A19" s="212" t="s">
        <v>546</v>
      </c>
      <c r="B19" s="137" t="s">
        <v>2173</v>
      </c>
    </row>
    <row r="20" spans="1:2" x14ac:dyDescent="0.3">
      <c r="A20" s="212" t="s">
        <v>547</v>
      </c>
      <c r="B20" s="137" t="s">
        <v>2234</v>
      </c>
    </row>
    <row r="21" spans="1:2" x14ac:dyDescent="0.3">
      <c r="A21" s="212" t="s">
        <v>548</v>
      </c>
      <c r="B21" s="137" t="s">
        <v>2174</v>
      </c>
    </row>
    <row r="22" spans="1:2" x14ac:dyDescent="0.3">
      <c r="A22" s="212" t="s">
        <v>549</v>
      </c>
      <c r="B22" s="137" t="s">
        <v>2175</v>
      </c>
    </row>
    <row r="23" spans="1:2" x14ac:dyDescent="0.3">
      <c r="A23" s="147"/>
      <c r="B23"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E35" sqref="E35"/>
    </sheetView>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0" width="3.77734375" customWidth="1"/>
    <col min="11" max="11" width="20.5546875" customWidth="1"/>
    <col min="12" max="14" width="3.77734375" customWidth="1"/>
    <col min="15" max="15" width="20.5546875" customWidth="1"/>
    <col min="16" max="16" width="3.77734375" customWidth="1"/>
    <col min="17" max="17" width="20.5546875" customWidth="1"/>
    <col min="18" max="18" width="3.77734375" customWidth="1"/>
    <col min="19" max="19" width="20.5546875" customWidth="1"/>
    <col min="20" max="20" width="3.77734375" customWidth="1"/>
  </cols>
  <sheetData>
    <row r="2" spans="2:21" ht="25.8" x14ac:dyDescent="0.5">
      <c r="B2" s="335" t="s">
        <v>550</v>
      </c>
      <c r="C2" s="333"/>
      <c r="D2" s="333"/>
      <c r="E2" s="333"/>
      <c r="F2" s="333"/>
      <c r="G2" s="333"/>
      <c r="H2" s="333"/>
      <c r="I2" s="333"/>
      <c r="J2" s="333"/>
      <c r="K2" s="333"/>
      <c r="L2" s="333"/>
      <c r="M2" s="333"/>
      <c r="N2" s="333"/>
      <c r="O2" s="333"/>
      <c r="P2" s="333"/>
      <c r="Q2" s="333"/>
      <c r="R2" s="333"/>
      <c r="S2" s="333"/>
      <c r="T2" s="334"/>
    </row>
    <row r="4" spans="2:21" x14ac:dyDescent="0.3">
      <c r="B4" s="203" t="s">
        <v>551</v>
      </c>
      <c r="C4" s="759"/>
      <c r="D4" s="759"/>
      <c r="E4" s="759"/>
      <c r="F4" s="759"/>
      <c r="G4" s="759"/>
      <c r="H4" s="759"/>
      <c r="I4" s="759"/>
      <c r="J4" s="759"/>
      <c r="K4" s="759"/>
      <c r="L4" s="759"/>
      <c r="M4" s="759"/>
      <c r="N4" s="759"/>
      <c r="O4" s="759"/>
      <c r="P4" s="759"/>
      <c r="Q4" s="759"/>
      <c r="R4" s="759"/>
      <c r="S4" s="759"/>
      <c r="T4" s="760"/>
    </row>
    <row r="5" spans="2:21" x14ac:dyDescent="0.3">
      <c r="B5" s="205" t="s">
        <v>552</v>
      </c>
      <c r="C5" s="204"/>
      <c r="D5" s="204"/>
      <c r="E5" s="204"/>
      <c r="F5" s="204"/>
      <c r="G5" s="204"/>
      <c r="H5" s="204"/>
      <c r="I5" s="204"/>
      <c r="J5" s="204"/>
      <c r="K5" s="204"/>
      <c r="L5" s="204"/>
      <c r="M5" s="204"/>
      <c r="N5" s="204"/>
      <c r="O5" s="204"/>
      <c r="P5" s="204"/>
      <c r="Q5" s="204"/>
      <c r="R5" s="204"/>
      <c r="S5" s="204"/>
      <c r="T5" s="206"/>
    </row>
    <row r="6" spans="2:21" x14ac:dyDescent="0.3">
      <c r="R6" s="176"/>
      <c r="S6" s="176"/>
      <c r="T6" s="176"/>
    </row>
    <row r="7" spans="2:21" x14ac:dyDescent="0.3">
      <c r="B7" s="203"/>
      <c r="C7" s="759"/>
      <c r="D7" s="759"/>
      <c r="E7" s="759"/>
      <c r="F7" s="759"/>
      <c r="G7" s="759"/>
      <c r="H7" s="759"/>
      <c r="I7" s="759"/>
      <c r="J7" s="759"/>
      <c r="K7" s="759"/>
      <c r="L7" s="760"/>
      <c r="N7" s="203"/>
      <c r="O7" s="759"/>
      <c r="P7" s="759"/>
      <c r="Q7" s="759"/>
      <c r="R7" s="201"/>
      <c r="S7" s="201"/>
      <c r="T7" s="201"/>
      <c r="U7" s="146"/>
    </row>
    <row r="8" spans="2:21" ht="46.8" x14ac:dyDescent="0.3">
      <c r="B8" s="207"/>
      <c r="C8" s="320" t="s">
        <v>553</v>
      </c>
      <c r="D8" s="401"/>
      <c r="E8" s="320" t="s">
        <v>554</v>
      </c>
      <c r="F8" s="401"/>
      <c r="G8" s="320" t="s">
        <v>555</v>
      </c>
      <c r="H8" s="401"/>
      <c r="I8" s="320" t="s">
        <v>556</v>
      </c>
      <c r="J8" s="401"/>
      <c r="K8" s="398" t="s">
        <v>557</v>
      </c>
      <c r="L8" s="402"/>
      <c r="M8" s="321"/>
      <c r="N8" s="405"/>
      <c r="O8" s="322" t="s">
        <v>558</v>
      </c>
      <c r="P8" s="405"/>
      <c r="Q8" s="322" t="s">
        <v>559</v>
      </c>
      <c r="R8" s="401"/>
      <c r="S8" s="322" t="s">
        <v>560</v>
      </c>
      <c r="T8" s="401"/>
      <c r="U8" s="146"/>
    </row>
    <row r="9" spans="2:21" x14ac:dyDescent="0.3">
      <c r="B9" s="207"/>
      <c r="C9" s="201"/>
      <c r="D9" s="201"/>
      <c r="E9" s="201"/>
      <c r="F9" s="201"/>
      <c r="G9" s="201"/>
      <c r="H9" s="201"/>
      <c r="I9" s="201"/>
      <c r="J9" s="201"/>
      <c r="K9" s="201"/>
      <c r="L9" s="208"/>
      <c r="N9" s="207"/>
      <c r="O9" s="201"/>
      <c r="P9" s="201"/>
      <c r="Q9" s="201"/>
      <c r="R9" s="201"/>
      <c r="S9" s="201"/>
      <c r="T9" s="201"/>
      <c r="U9" s="146"/>
    </row>
    <row r="10" spans="2:21" ht="40.049999999999997" customHeight="1" x14ac:dyDescent="0.3">
      <c r="B10" s="207"/>
      <c r="C10" s="399"/>
      <c r="D10" s="176"/>
      <c r="E10" s="666"/>
      <c r="F10" s="176"/>
      <c r="G10" s="438" t="s">
        <v>561</v>
      </c>
      <c r="H10" s="439"/>
      <c r="I10" s="439"/>
      <c r="J10" s="176"/>
      <c r="K10" s="400"/>
      <c r="L10" s="208"/>
      <c r="N10" s="207"/>
      <c r="O10" s="399"/>
      <c r="P10" s="176"/>
      <c r="Q10" s="439" t="s">
        <v>562</v>
      </c>
      <c r="R10" s="176"/>
      <c r="S10" s="400"/>
      <c r="T10" s="201"/>
      <c r="U10" s="146"/>
    </row>
    <row r="11" spans="2:21" x14ac:dyDescent="0.3">
      <c r="B11" s="207"/>
      <c r="C11" s="201"/>
      <c r="D11" s="201"/>
      <c r="E11" s="201"/>
      <c r="F11" s="201"/>
      <c r="G11" s="201"/>
      <c r="H11" s="201"/>
      <c r="I11" s="201"/>
      <c r="J11" s="201"/>
      <c r="K11" s="201"/>
      <c r="L11" s="208"/>
      <c r="N11" s="207"/>
      <c r="O11" s="201"/>
      <c r="P11" s="201"/>
      <c r="Q11" s="201"/>
      <c r="R11" s="201"/>
      <c r="S11" s="201"/>
      <c r="T11" s="201"/>
      <c r="U11" s="146"/>
    </row>
    <row r="12" spans="2:21" ht="175.05" customHeight="1" x14ac:dyDescent="0.3">
      <c r="B12" s="207"/>
      <c r="C12" s="319" t="s">
        <v>563</v>
      </c>
      <c r="D12" s="403"/>
      <c r="E12" s="319" t="s">
        <v>564</v>
      </c>
      <c r="F12" s="403"/>
      <c r="G12" s="317" t="s">
        <v>565</v>
      </c>
      <c r="H12" s="403"/>
      <c r="I12" s="318" t="s">
        <v>566</v>
      </c>
      <c r="J12" s="403"/>
      <c r="K12" s="317" t="s">
        <v>567</v>
      </c>
      <c r="L12" s="404"/>
      <c r="M12" s="215"/>
      <c r="N12" s="406"/>
      <c r="O12" s="319" t="s">
        <v>568</v>
      </c>
      <c r="P12" s="406"/>
      <c r="Q12" s="357" t="s">
        <v>569</v>
      </c>
      <c r="R12" s="403"/>
      <c r="S12" s="357" t="s">
        <v>570</v>
      </c>
      <c r="T12" s="403"/>
      <c r="U12" s="146"/>
    </row>
    <row r="13" spans="2:21" x14ac:dyDescent="0.3">
      <c r="B13" s="205"/>
      <c r="C13" s="204"/>
      <c r="D13" s="204"/>
      <c r="E13" s="204"/>
      <c r="F13" s="204"/>
      <c r="G13" s="204"/>
      <c r="H13" s="204"/>
      <c r="I13" s="204"/>
      <c r="J13" s="204"/>
      <c r="K13" s="204"/>
      <c r="L13" s="206"/>
      <c r="N13" s="205"/>
      <c r="O13" s="204"/>
      <c r="P13" s="407"/>
      <c r="Q13" s="407"/>
      <c r="R13" s="407"/>
      <c r="S13" s="407"/>
      <c r="T13" s="407"/>
      <c r="U13" s="146"/>
    </row>
    <row r="16" spans="2:21" x14ac:dyDescent="0.3">
      <c r="B16" s="203"/>
      <c r="C16" s="759"/>
      <c r="D16" s="759"/>
      <c r="E16" s="759"/>
      <c r="F16" s="759"/>
      <c r="G16" s="759"/>
      <c r="H16" s="759"/>
      <c r="I16" s="759"/>
      <c r="J16" s="759"/>
      <c r="K16" s="759"/>
      <c r="L16" s="759"/>
      <c r="M16" s="759"/>
      <c r="N16" s="759"/>
      <c r="O16" s="759"/>
      <c r="P16" s="759"/>
      <c r="Q16" s="759"/>
      <c r="R16" s="759"/>
      <c r="S16" s="759"/>
      <c r="T16" s="760"/>
    </row>
    <row r="17" spans="2:20" x14ac:dyDescent="0.3">
      <c r="B17" s="207" t="s">
        <v>571</v>
      </c>
      <c r="C17" s="201"/>
      <c r="D17" s="201"/>
      <c r="E17" s="201"/>
      <c r="F17" s="201"/>
      <c r="G17" s="201"/>
      <c r="H17" s="201"/>
      <c r="I17" s="201"/>
      <c r="J17" s="201"/>
      <c r="K17" s="201"/>
      <c r="L17" s="201"/>
      <c r="M17" s="201"/>
      <c r="N17" s="201"/>
      <c r="O17" s="201"/>
      <c r="P17" s="201"/>
      <c r="Q17" s="201"/>
      <c r="R17" s="201"/>
      <c r="S17" s="201"/>
      <c r="T17" s="208"/>
    </row>
    <row r="18" spans="2:20" x14ac:dyDescent="0.3">
      <c r="B18" s="408" t="s">
        <v>572</v>
      </c>
      <c r="C18" s="201"/>
      <c r="D18" s="201"/>
      <c r="E18" s="201"/>
      <c r="F18" s="201"/>
      <c r="G18" s="201"/>
      <c r="H18" s="201"/>
      <c r="I18" s="201"/>
      <c r="J18" s="201"/>
      <c r="K18" s="201"/>
      <c r="L18" s="201"/>
      <c r="M18" s="201"/>
      <c r="N18" s="201"/>
      <c r="O18" s="201"/>
      <c r="P18" s="201"/>
      <c r="Q18" s="201"/>
      <c r="R18" s="201"/>
      <c r="S18" s="201"/>
      <c r="T18" s="208"/>
    </row>
    <row r="19" spans="2:20" x14ac:dyDescent="0.3">
      <c r="B19" s="409" t="s">
        <v>573</v>
      </c>
      <c r="C19" s="201"/>
      <c r="D19" s="201"/>
      <c r="E19" s="201"/>
      <c r="F19" s="201"/>
      <c r="G19" s="201"/>
      <c r="H19" s="201"/>
      <c r="I19" s="201"/>
      <c r="J19" s="201"/>
      <c r="K19" s="201"/>
      <c r="L19" s="201"/>
      <c r="M19" s="201"/>
      <c r="N19" s="201"/>
      <c r="O19" s="201"/>
      <c r="P19" s="201"/>
      <c r="Q19" s="201"/>
      <c r="R19" s="201"/>
      <c r="S19" s="201"/>
      <c r="T19" s="208"/>
    </row>
    <row r="20" spans="2:20" x14ac:dyDescent="0.3">
      <c r="B20" s="410" t="s">
        <v>574</v>
      </c>
      <c r="C20" s="201"/>
      <c r="D20" s="201"/>
      <c r="E20" s="201"/>
      <c r="F20" s="201"/>
      <c r="G20" s="201"/>
      <c r="H20" s="201"/>
      <c r="I20" s="201"/>
      <c r="J20" s="201"/>
      <c r="K20" s="201"/>
      <c r="L20" s="201"/>
      <c r="M20" s="201"/>
      <c r="N20" s="201"/>
      <c r="O20" s="201"/>
      <c r="P20" s="201"/>
      <c r="Q20" s="201"/>
      <c r="R20" s="201"/>
      <c r="S20" s="201"/>
      <c r="T20" s="208"/>
    </row>
    <row r="21" spans="2:20" x14ac:dyDescent="0.3">
      <c r="B21" s="409" t="s">
        <v>575</v>
      </c>
      <c r="C21" s="201"/>
      <c r="D21" s="201"/>
      <c r="E21" s="201"/>
      <c r="F21" s="201"/>
      <c r="G21" s="201"/>
      <c r="H21" s="201"/>
      <c r="I21" s="201"/>
      <c r="J21" s="201"/>
      <c r="K21" s="201"/>
      <c r="L21" s="201"/>
      <c r="M21" s="201"/>
      <c r="N21" s="201"/>
      <c r="O21" s="201"/>
      <c r="P21" s="201"/>
      <c r="Q21" s="201"/>
      <c r="R21" s="201"/>
      <c r="S21" s="201"/>
      <c r="T21" s="208"/>
    </row>
    <row r="22" spans="2:20" x14ac:dyDescent="0.3">
      <c r="B22" s="409" t="s">
        <v>576</v>
      </c>
      <c r="C22" s="201"/>
      <c r="D22" s="201"/>
      <c r="E22" s="201"/>
      <c r="F22" s="201"/>
      <c r="G22" s="201"/>
      <c r="H22" s="201"/>
      <c r="I22" s="201"/>
      <c r="J22" s="201"/>
      <c r="K22" s="201"/>
      <c r="L22" s="201"/>
      <c r="M22" s="201"/>
      <c r="N22" s="201"/>
      <c r="O22" s="201"/>
      <c r="P22" s="201"/>
      <c r="Q22" s="201"/>
      <c r="R22" s="201"/>
      <c r="S22" s="201"/>
      <c r="T22" s="208"/>
    </row>
    <row r="23" spans="2:20" x14ac:dyDescent="0.3">
      <c r="B23" s="207"/>
      <c r="C23" s="201"/>
      <c r="D23" s="201"/>
      <c r="E23" s="201"/>
      <c r="F23" s="201"/>
      <c r="G23" s="201"/>
      <c r="H23" s="201"/>
      <c r="I23" s="201"/>
      <c r="J23" s="201"/>
      <c r="K23" s="201"/>
      <c r="L23" s="201"/>
      <c r="M23" s="201"/>
      <c r="N23" s="201"/>
      <c r="O23" s="201"/>
      <c r="P23" s="201"/>
      <c r="Q23" s="201"/>
      <c r="R23" s="201"/>
      <c r="S23" s="201"/>
      <c r="T23" s="208"/>
    </row>
    <row r="24" spans="2:20" x14ac:dyDescent="0.3">
      <c r="B24" s="411" t="s">
        <v>577</v>
      </c>
      <c r="C24" s="201"/>
      <c r="D24" s="201"/>
      <c r="E24" s="201"/>
      <c r="F24" s="201"/>
      <c r="G24" s="201"/>
      <c r="H24" s="201"/>
      <c r="I24" s="201"/>
      <c r="J24" s="201"/>
      <c r="K24" s="201"/>
      <c r="L24" s="201"/>
      <c r="M24" s="201"/>
      <c r="N24" s="201"/>
      <c r="O24" s="201"/>
      <c r="P24" s="201"/>
      <c r="Q24" s="201"/>
      <c r="R24" s="201"/>
      <c r="S24" s="201"/>
      <c r="T24" s="208"/>
    </row>
    <row r="25" spans="2:20" x14ac:dyDescent="0.3">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IHnJxbvQ1S6UamZ06AYc0N7gT1fMKtnz1MRFpSKDc+Hs54eCGKURg7SI8ROiFt80OjuiX4O3bgp7d6kFjIb2rA==" saltValue="Lz0YRMT1BLfzGtAGJ9Uo7A=="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0"/>
  <sheetViews>
    <sheetView showGridLines="0" zoomScale="70" zoomScaleNormal="70" zoomScaleSheetLayoutView="25" workbookViewId="0">
      <selection activeCell="C11" sqref="C11"/>
    </sheetView>
  </sheetViews>
  <sheetFormatPr defaultRowHeight="14.4" x14ac:dyDescent="0.3"/>
  <cols>
    <col min="1" max="1" width="2.44140625" customWidth="1"/>
    <col min="2" max="2" width="5.77734375" customWidth="1"/>
    <col min="3" max="3" width="68.44140625" customWidth="1"/>
    <col min="4" max="4" width="18" customWidth="1"/>
    <col min="5" max="5" width="14.5546875" customWidth="1"/>
    <col min="6" max="8" width="13.44140625" customWidth="1"/>
    <col min="9" max="9" width="15.5546875" customWidth="1"/>
    <col min="10" max="10" width="17.21875" customWidth="1"/>
    <col min="11" max="16" width="13.44140625" customWidth="1"/>
    <col min="17" max="17" width="3.44140625" customWidth="1"/>
  </cols>
  <sheetData>
    <row r="1" spans="2:22" ht="30" customHeight="1" x14ac:dyDescent="0.3">
      <c r="B1" s="447" t="s">
        <v>2168</v>
      </c>
    </row>
    <row r="2" spans="2:22" ht="30" customHeight="1" x14ac:dyDescent="0.3">
      <c r="B2" s="142" t="s">
        <v>578</v>
      </c>
      <c r="C2" s="142"/>
      <c r="D2" s="156"/>
      <c r="E2" s="141"/>
      <c r="F2" s="141"/>
      <c r="G2" s="141"/>
      <c r="H2" s="141"/>
      <c r="I2" s="141"/>
      <c r="J2" s="141"/>
      <c r="K2" s="141"/>
      <c r="L2" s="141"/>
      <c r="M2" s="141"/>
      <c r="N2" s="141"/>
      <c r="O2" s="141"/>
      <c r="P2" s="141"/>
      <c r="Q2" s="141"/>
      <c r="R2" s="141"/>
      <c r="S2" s="141"/>
      <c r="T2" s="141"/>
      <c r="U2" s="141"/>
      <c r="V2" s="141"/>
    </row>
    <row r="4" spans="2:22" x14ac:dyDescent="0.3">
      <c r="B4" s="143" t="s">
        <v>579</v>
      </c>
      <c r="C4" s="721"/>
      <c r="D4" s="721"/>
      <c r="E4" s="721"/>
      <c r="F4" s="721"/>
      <c r="G4" s="721"/>
      <c r="H4" s="721"/>
      <c r="I4" s="721"/>
      <c r="J4" s="721"/>
      <c r="K4" s="721"/>
      <c r="L4" s="721"/>
      <c r="M4" s="721"/>
      <c r="N4" s="721"/>
      <c r="O4" s="721"/>
      <c r="P4" s="721"/>
      <c r="Q4" s="686"/>
    </row>
    <row r="5" spans="2:22" x14ac:dyDescent="0.3">
      <c r="B5" s="146"/>
      <c r="C5" t="s">
        <v>580</v>
      </c>
      <c r="Q5" s="145"/>
    </row>
    <row r="6" spans="2:22" x14ac:dyDescent="0.3">
      <c r="B6" s="146"/>
      <c r="C6" t="s">
        <v>581</v>
      </c>
      <c r="Q6" s="145"/>
    </row>
    <row r="7" spans="2:22" x14ac:dyDescent="0.3">
      <c r="B7" s="146"/>
      <c r="C7" t="s">
        <v>582</v>
      </c>
      <c r="Q7" s="145"/>
    </row>
    <row r="8" spans="2:22" x14ac:dyDescent="0.3">
      <c r="B8" s="147"/>
      <c r="C8" s="148"/>
      <c r="D8" s="148"/>
      <c r="E8" s="148"/>
      <c r="F8" s="148"/>
      <c r="G8" s="148"/>
      <c r="H8" s="148"/>
      <c r="I8" s="148"/>
      <c r="J8" s="148"/>
      <c r="K8" s="148"/>
      <c r="L8" s="148"/>
      <c r="M8" s="148"/>
      <c r="N8" s="148"/>
      <c r="O8" s="148"/>
      <c r="P8" s="148"/>
      <c r="Q8" s="145"/>
    </row>
    <row r="9" spans="2:22" x14ac:dyDescent="0.3">
      <c r="Q9" s="176"/>
    </row>
    <row r="10" spans="2:22" x14ac:dyDescent="0.3">
      <c r="B10" s="143" t="s">
        <v>583</v>
      </c>
      <c r="C10" s="721"/>
      <c r="D10" s="721"/>
      <c r="E10" s="721"/>
      <c r="F10" s="721"/>
      <c r="G10" s="721"/>
      <c r="H10" s="721"/>
      <c r="I10" s="721"/>
      <c r="J10" s="721"/>
      <c r="K10" s="721"/>
      <c r="L10" s="721"/>
      <c r="M10" s="721"/>
      <c r="N10" s="721"/>
      <c r="O10" s="721"/>
      <c r="P10" s="721"/>
      <c r="Q10" s="145"/>
    </row>
    <row r="11" spans="2:22" x14ac:dyDescent="0.3">
      <c r="B11" s="144"/>
      <c r="C11" s="139" t="s">
        <v>584</v>
      </c>
      <c r="D11" s="138" t="s">
        <v>21</v>
      </c>
      <c r="Q11" s="145"/>
    </row>
    <row r="12" spans="2:22" x14ac:dyDescent="0.3">
      <c r="B12" s="144"/>
      <c r="C12" s="139" t="s">
        <v>41</v>
      </c>
      <c r="D12" s="138" t="s">
        <v>61</v>
      </c>
      <c r="E12" s="116">
        <f>'Population selection'!F14</f>
        <v>45691677</v>
      </c>
      <c r="F12" s="709" t="s">
        <v>2150</v>
      </c>
      <c r="Q12" s="145"/>
    </row>
    <row r="13" spans="2:22" x14ac:dyDescent="0.3">
      <c r="B13" s="144"/>
      <c r="C13" s="139"/>
      <c r="E13" s="740">
        <v>2.5222393017283001E-2</v>
      </c>
      <c r="F13" s="170" t="s">
        <v>2146</v>
      </c>
      <c r="Q13" s="145"/>
    </row>
    <row r="14" spans="2:22" x14ac:dyDescent="0.3">
      <c r="B14" s="144"/>
      <c r="C14" s="136"/>
      <c r="E14" s="162">
        <f>(100%+E13)*E12</f>
        <v>46844130.434912749</v>
      </c>
      <c r="F14" t="s">
        <v>2153</v>
      </c>
      <c r="Q14" s="145"/>
    </row>
    <row r="15" spans="2:22" x14ac:dyDescent="0.3">
      <c r="B15" s="144"/>
      <c r="C15" s="136"/>
      <c r="F15" s="257"/>
      <c r="Q15" s="145"/>
    </row>
    <row r="16" spans="2:22" x14ac:dyDescent="0.3">
      <c r="B16" s="144"/>
      <c r="C16" s="139" t="s">
        <v>585</v>
      </c>
      <c r="D16" s="772"/>
      <c r="E16" t="s">
        <v>586</v>
      </c>
      <c r="F16" s="257"/>
      <c r="Q16" s="145"/>
    </row>
    <row r="17" spans="2:22" x14ac:dyDescent="0.3">
      <c r="B17" s="144"/>
      <c r="C17" s="136"/>
      <c r="F17" s="257"/>
      <c r="Q17" s="145"/>
    </row>
    <row r="18" spans="2:22" x14ac:dyDescent="0.3">
      <c r="B18" s="146"/>
      <c r="C18" s="139" t="s">
        <v>587</v>
      </c>
      <c r="D18" s="506">
        <v>8.7908194773067497E-3</v>
      </c>
      <c r="E18" t="str">
        <f>IF(D18=0.00879081947730675,"Enter local estimate or delete the NICE assumption if required","Local value")</f>
        <v>Enter local estimate or delete the NICE assumption if required</v>
      </c>
      <c r="Q18" s="145"/>
    </row>
    <row r="19" spans="2:22" x14ac:dyDescent="0.3">
      <c r="B19" s="146"/>
      <c r="C19" s="139" t="s">
        <v>588</v>
      </c>
      <c r="D19" s="506">
        <v>0</v>
      </c>
      <c r="E19" t="str">
        <f>IF(D19=0,"Enter local estimate or delete the NICE assumption if required","Local value")</f>
        <v>Enter local estimate or delete the NICE assumption if required</v>
      </c>
      <c r="Q19" s="145"/>
    </row>
    <row r="20" spans="2:22" x14ac:dyDescent="0.3">
      <c r="B20" s="147"/>
      <c r="C20" s="148"/>
      <c r="D20" s="148"/>
      <c r="E20" s="148"/>
      <c r="F20" s="148"/>
      <c r="G20" s="148"/>
      <c r="H20" s="148"/>
      <c r="I20" s="148"/>
      <c r="J20" s="148"/>
      <c r="K20" s="148"/>
      <c r="L20" s="148"/>
      <c r="M20" s="148"/>
      <c r="N20" s="148"/>
      <c r="O20" s="148"/>
      <c r="P20" s="148"/>
      <c r="Q20" s="149"/>
    </row>
    <row r="22" spans="2:22" x14ac:dyDescent="0.3">
      <c r="B22" s="143" t="s">
        <v>589</v>
      </c>
      <c r="C22" s="721"/>
      <c r="D22" s="721"/>
      <c r="E22" s="721"/>
      <c r="F22" s="721"/>
      <c r="G22" s="721"/>
      <c r="H22" s="721"/>
      <c r="I22" s="721"/>
      <c r="J22" s="721"/>
      <c r="K22" s="721"/>
      <c r="L22" s="721"/>
      <c r="M22" s="721"/>
      <c r="N22" s="721"/>
      <c r="O22" s="721"/>
      <c r="P22" s="721"/>
      <c r="Q22" s="721"/>
      <c r="R22" s="721"/>
      <c r="S22" s="721"/>
      <c r="T22" s="721"/>
      <c r="U22" s="721"/>
      <c r="V22" s="686"/>
    </row>
    <row r="23" spans="2:22" ht="88.5" customHeight="1" x14ac:dyDescent="0.3">
      <c r="B23" s="144"/>
      <c r="E23" s="213" t="s">
        <v>590</v>
      </c>
      <c r="F23" s="151" t="s">
        <v>591</v>
      </c>
      <c r="G23" s="151" t="s">
        <v>592</v>
      </c>
      <c r="H23" s="211" t="s">
        <v>593</v>
      </c>
      <c r="I23" s="151" t="s">
        <v>594</v>
      </c>
      <c r="J23" s="151" t="s">
        <v>595</v>
      </c>
      <c r="K23" s="759"/>
      <c r="L23" s="759"/>
      <c r="M23" s="759"/>
      <c r="N23" s="759"/>
      <c r="O23" s="759"/>
      <c r="P23" s="759"/>
      <c r="Q23" s="759"/>
      <c r="R23" s="759"/>
      <c r="S23" s="759"/>
      <c r="T23" s="759"/>
      <c r="U23" s="759"/>
      <c r="V23" s="760"/>
    </row>
    <row r="24" spans="2:22" x14ac:dyDescent="0.3">
      <c r="B24" s="144"/>
      <c r="C24" s="212" t="s">
        <v>596</v>
      </c>
      <c r="D24" s="154"/>
      <c r="E24" s="186"/>
      <c r="F24" s="311">
        <f>IF(D18&lt;&gt;"",D18+100%,100%)</f>
        <v>1.0087908194773068</v>
      </c>
      <c r="G24" s="311">
        <f>IF($D$18&lt;&gt;"",F24*(100%+$D$18),100%)</f>
        <v>1.0176589174616961</v>
      </c>
      <c r="H24" s="311">
        <f>IF($D$18&lt;&gt;"",G24*(100%+$D$18),100%)</f>
        <v>1.0266049732945732</v>
      </c>
      <c r="I24" s="311">
        <f>IF($D$18&lt;&gt;"",H24*(100%+$D$18),100%)</f>
        <v>1.0356296722893112</v>
      </c>
      <c r="J24" s="311">
        <f>IF($D$18&lt;&gt;"",I24*(100%+$D$18),100%)</f>
        <v>1.0447337057837489</v>
      </c>
      <c r="K24" s="176" t="s">
        <v>597</v>
      </c>
      <c r="L24" s="176"/>
      <c r="M24" s="176"/>
      <c r="N24" s="176"/>
      <c r="O24" s="176"/>
      <c r="P24" s="176"/>
      <c r="Q24" s="176"/>
      <c r="R24" s="176"/>
      <c r="S24" s="176"/>
      <c r="T24" s="176"/>
      <c r="U24" s="176"/>
      <c r="V24" s="154"/>
    </row>
    <row r="25" spans="2:22" x14ac:dyDescent="0.3">
      <c r="B25" s="144"/>
      <c r="C25" s="212" t="s">
        <v>598</v>
      </c>
      <c r="D25" s="154"/>
      <c r="E25" s="186"/>
      <c r="F25" s="311">
        <f>IF(D19&lt;&gt;"",D19+100%,100%)</f>
        <v>1</v>
      </c>
      <c r="G25" s="311">
        <f>IF($D$19&lt;&gt;"",F25*(100%+$D$19),100%)</f>
        <v>1</v>
      </c>
      <c r="H25" s="311">
        <f>IF($D$19&lt;&gt;"",G25*(100%+$D$19),100%)</f>
        <v>1</v>
      </c>
      <c r="I25" s="311">
        <f>IF($D$19&lt;&gt;"",H25*(100%+$D$19),100%)</f>
        <v>1</v>
      </c>
      <c r="J25" s="311">
        <f>IF($D$19&lt;&gt;"",I25*(100%+$D$19),100%)</f>
        <v>1</v>
      </c>
      <c r="K25" s="148" t="s">
        <v>597</v>
      </c>
      <c r="L25" s="148"/>
      <c r="M25" s="148"/>
      <c r="N25" s="148"/>
      <c r="O25" s="148"/>
      <c r="P25" s="148"/>
      <c r="Q25" s="148"/>
      <c r="R25" s="148"/>
      <c r="S25" s="148"/>
      <c r="T25" s="148"/>
      <c r="U25" s="148"/>
      <c r="V25" s="149"/>
    </row>
    <row r="26" spans="2:22" x14ac:dyDescent="0.3">
      <c r="B26" s="146"/>
      <c r="C26" s="352" t="str">
        <f>"Baseline population (inflated by growth(s))"</f>
        <v>Baseline population (inflated by growth(s))</v>
      </c>
      <c r="D26" s="154"/>
      <c r="E26" s="116">
        <f>IF(ISBLANK(D16),E14,D16)</f>
        <v>46844130.434912749</v>
      </c>
      <c r="F26" s="116">
        <f>E26*F24</f>
        <v>47255928.72913748</v>
      </c>
      <c r="G26" s="116">
        <f>E26*G24</f>
        <v>47671347.067827798</v>
      </c>
      <c r="H26" s="116">
        <f>E26*H24</f>
        <v>48090417.27414111</v>
      </c>
      <c r="I26" s="116">
        <f>E26*I24</f>
        <v>48513171.450986437</v>
      </c>
      <c r="J26" s="116">
        <f>E26*J24</f>
        <v>48939641.983483694</v>
      </c>
      <c r="K26" s="735" t="s">
        <v>599</v>
      </c>
      <c r="L26" s="176"/>
      <c r="M26" s="176"/>
      <c r="N26" s="176"/>
      <c r="O26" s="176"/>
      <c r="P26" s="176"/>
      <c r="Q26" s="176"/>
      <c r="R26" s="176"/>
      <c r="S26" s="176"/>
      <c r="T26" s="176"/>
      <c r="U26" s="176"/>
      <c r="V26" s="154"/>
    </row>
    <row r="27" spans="2:22" x14ac:dyDescent="0.3">
      <c r="B27" s="146"/>
      <c r="C27" s="153" t="s">
        <v>2211</v>
      </c>
      <c r="D27" s="851">
        <f>56.8/1000000</f>
        <v>5.6799999999999998E-5</v>
      </c>
      <c r="E27" s="734">
        <f>E26*$D27</f>
        <v>2660.7466087030439</v>
      </c>
      <c r="F27" s="734">
        <f t="shared" ref="F27:J28" si="0">F26*$D27</f>
        <v>2684.1367518150087</v>
      </c>
      <c r="G27" s="734">
        <f t="shared" si="0"/>
        <v>2707.7325134526191</v>
      </c>
      <c r="H27" s="734">
        <f t="shared" si="0"/>
        <v>2731.5357011712149</v>
      </c>
      <c r="I27" s="734">
        <f t="shared" si="0"/>
        <v>2755.5481384160294</v>
      </c>
      <c r="J27" s="734">
        <f t="shared" si="0"/>
        <v>2779.7716646618737</v>
      </c>
      <c r="K27" s="855" t="s">
        <v>2225</v>
      </c>
      <c r="L27" s="214"/>
      <c r="M27" s="214"/>
      <c r="N27" s="214"/>
      <c r="O27" s="214"/>
      <c r="P27" s="214"/>
      <c r="Q27" s="214"/>
      <c r="R27" s="214"/>
      <c r="S27" s="214"/>
      <c r="T27" s="214"/>
      <c r="U27" s="214"/>
      <c r="V27" s="708"/>
    </row>
    <row r="28" spans="2:22" ht="28.8" x14ac:dyDescent="0.3">
      <c r="B28" s="146"/>
      <c r="C28" s="153" t="s">
        <v>2232</v>
      </c>
      <c r="D28" s="506">
        <v>0.5</v>
      </c>
      <c r="E28" s="734">
        <f>E27*$D28</f>
        <v>1330.3733043515219</v>
      </c>
      <c r="F28" s="734">
        <f t="shared" si="0"/>
        <v>1342.0683759075043</v>
      </c>
      <c r="G28" s="734">
        <f t="shared" si="0"/>
        <v>1353.8662567263095</v>
      </c>
      <c r="H28" s="734">
        <f t="shared" si="0"/>
        <v>1365.7678505856074</v>
      </c>
      <c r="I28" s="734">
        <f t="shared" si="0"/>
        <v>1377.7740692080147</v>
      </c>
      <c r="J28" s="734">
        <f>J27*$D28</f>
        <v>1389.8858323309369</v>
      </c>
      <c r="K28" s="147" t="s">
        <v>2224</v>
      </c>
      <c r="L28" s="214"/>
      <c r="M28" s="214"/>
      <c r="N28" s="214"/>
      <c r="O28" s="214"/>
      <c r="P28" s="214"/>
      <c r="Q28" s="214"/>
      <c r="R28" s="214"/>
      <c r="S28" s="214"/>
      <c r="T28" s="214"/>
      <c r="U28" s="214"/>
      <c r="V28" s="708"/>
    </row>
    <row r="29" spans="2:22" x14ac:dyDescent="0.3">
      <c r="B29" s="146"/>
      <c r="C29" s="713" t="s">
        <v>600</v>
      </c>
      <c r="D29" s="714"/>
      <c r="E29" s="711">
        <f>E28</f>
        <v>1330.3733043515219</v>
      </c>
      <c r="F29" s="711">
        <f t="shared" ref="F29:I29" si="1">F28</f>
        <v>1342.0683759075043</v>
      </c>
      <c r="G29" s="711">
        <f t="shared" si="1"/>
        <v>1353.8662567263095</v>
      </c>
      <c r="H29" s="711">
        <f t="shared" si="1"/>
        <v>1365.7678505856074</v>
      </c>
      <c r="I29" s="711">
        <f t="shared" si="1"/>
        <v>1377.7740692080147</v>
      </c>
      <c r="J29" s="711">
        <f>J28</f>
        <v>1389.8858323309369</v>
      </c>
      <c r="K29" s="176" t="s">
        <v>2180</v>
      </c>
      <c r="L29" s="176"/>
      <c r="M29" s="176"/>
      <c r="N29" s="176"/>
      <c r="O29" s="176"/>
      <c r="P29" s="176"/>
      <c r="Q29" s="176"/>
      <c r="R29" s="176"/>
      <c r="S29" s="176"/>
      <c r="T29" s="176"/>
      <c r="U29" s="176"/>
      <c r="V29" s="154"/>
    </row>
    <row r="30" spans="2:22" x14ac:dyDescent="0.3">
      <c r="B30" s="146"/>
      <c r="C30" s="715" t="s">
        <v>601</v>
      </c>
      <c r="D30" s="716"/>
      <c r="E30" s="712">
        <f>E29</f>
        <v>1330.3733043515219</v>
      </c>
      <c r="F30" s="710">
        <f>F29*F25</f>
        <v>1342.0683759075043</v>
      </c>
      <c r="G30" s="710">
        <f>G29*G25</f>
        <v>1353.8662567263095</v>
      </c>
      <c r="H30" s="710">
        <f>H29*H25</f>
        <v>1365.7678505856074</v>
      </c>
      <c r="I30" s="710">
        <f>I29*I25</f>
        <v>1377.7740692080147</v>
      </c>
      <c r="J30" s="710">
        <f>J29*J25</f>
        <v>1389.8858323309369</v>
      </c>
      <c r="V30" s="145"/>
    </row>
    <row r="31" spans="2:22" x14ac:dyDescent="0.3">
      <c r="B31" s="147"/>
      <c r="C31" s="736"/>
      <c r="D31" s="737"/>
      <c r="E31" s="856"/>
      <c r="F31" s="738"/>
      <c r="G31" s="739"/>
      <c r="H31" s="148"/>
      <c r="I31" s="148"/>
      <c r="J31" s="148"/>
      <c r="K31" s="148"/>
      <c r="L31" s="148"/>
      <c r="M31" s="148"/>
      <c r="N31" s="148"/>
      <c r="O31" s="148"/>
      <c r="P31" s="148"/>
      <c r="Q31" s="148"/>
      <c r="R31" s="148"/>
      <c r="S31" s="148"/>
      <c r="T31" s="148"/>
      <c r="U31" s="148"/>
      <c r="V31" s="149"/>
    </row>
    <row r="33" spans="2:17" x14ac:dyDescent="0.3">
      <c r="B33" s="157"/>
      <c r="C33" s="866" t="s">
        <v>629</v>
      </c>
      <c r="D33" s="721"/>
      <c r="E33" s="721"/>
      <c r="F33" s="721"/>
      <c r="G33" s="721"/>
      <c r="H33" s="721"/>
      <c r="I33" s="721"/>
      <c r="J33" s="721"/>
      <c r="K33" s="721"/>
      <c r="L33" s="721"/>
      <c r="M33" s="721"/>
      <c r="N33" s="721"/>
      <c r="O33" s="721"/>
      <c r="P33" s="721"/>
      <c r="Q33" s="867"/>
    </row>
    <row r="34" spans="2:17" x14ac:dyDescent="0.3">
      <c r="B34" s="146"/>
      <c r="D34" s="189" t="s">
        <v>630</v>
      </c>
      <c r="E34" s="189" t="s">
        <v>631</v>
      </c>
      <c r="F34" s="189" t="s">
        <v>632</v>
      </c>
      <c r="G34" s="189" t="s">
        <v>633</v>
      </c>
      <c r="H34" s="188" t="s">
        <v>634</v>
      </c>
      <c r="I34" s="188" t="s">
        <v>635</v>
      </c>
      <c r="K34" s="188" t="s">
        <v>630</v>
      </c>
      <c r="L34" s="463" t="s">
        <v>631</v>
      </c>
      <c r="M34" s="189" t="s">
        <v>632</v>
      </c>
      <c r="N34" s="189" t="s">
        <v>633</v>
      </c>
      <c r="O34" s="188" t="s">
        <v>634</v>
      </c>
      <c r="P34" s="188" t="s">
        <v>635</v>
      </c>
      <c r="Q34" s="145"/>
    </row>
    <row r="35" spans="2:17" x14ac:dyDescent="0.3">
      <c r="B35" s="146"/>
      <c r="C35" s="179" t="s">
        <v>2177</v>
      </c>
      <c r="D35" s="850">
        <v>0</v>
      </c>
      <c r="E35" s="511">
        <v>0.2</v>
      </c>
      <c r="F35" s="511">
        <v>0.4</v>
      </c>
      <c r="G35" s="511">
        <v>0.6</v>
      </c>
      <c r="H35" s="511">
        <v>0.8</v>
      </c>
      <c r="I35" s="511">
        <v>0.8</v>
      </c>
      <c r="K35" s="464">
        <f t="shared" ref="K35:P36" si="2">E$30*D35</f>
        <v>0</v>
      </c>
      <c r="L35" s="464">
        <f t="shared" si="2"/>
        <v>268.41367518150088</v>
      </c>
      <c r="M35" s="464">
        <f t="shared" si="2"/>
        <v>541.54650269052388</v>
      </c>
      <c r="N35" s="464">
        <f t="shared" si="2"/>
        <v>819.46071035136447</v>
      </c>
      <c r="O35" s="464">
        <f t="shared" si="2"/>
        <v>1102.2192553664117</v>
      </c>
      <c r="P35" s="464">
        <f t="shared" si="2"/>
        <v>1111.9086658647495</v>
      </c>
      <c r="Q35" s="145"/>
    </row>
    <row r="36" spans="2:17" x14ac:dyDescent="0.3">
      <c r="B36" s="146"/>
      <c r="C36" s="308" t="s">
        <v>2178</v>
      </c>
      <c r="D36" s="510">
        <f t="shared" ref="D36:H36" si="3">100%-D35</f>
        <v>1</v>
      </c>
      <c r="E36" s="510">
        <f t="shared" si="3"/>
        <v>0.8</v>
      </c>
      <c r="F36" s="510">
        <f t="shared" si="3"/>
        <v>0.6</v>
      </c>
      <c r="G36" s="510">
        <f t="shared" si="3"/>
        <v>0.4</v>
      </c>
      <c r="H36" s="510">
        <f t="shared" si="3"/>
        <v>0.19999999999999996</v>
      </c>
      <c r="I36" s="510">
        <f>100%-I35</f>
        <v>0.19999999999999996</v>
      </c>
      <c r="K36" s="464">
        <f t="shared" si="2"/>
        <v>1330.3733043515219</v>
      </c>
      <c r="L36" s="464">
        <f t="shared" si="2"/>
        <v>1073.6547007260035</v>
      </c>
      <c r="M36" s="464">
        <f t="shared" si="2"/>
        <v>812.31975403578565</v>
      </c>
      <c r="N36" s="464">
        <f t="shared" si="2"/>
        <v>546.30714023424298</v>
      </c>
      <c r="O36" s="464">
        <f>I$30*H36</f>
        <v>275.55481384160288</v>
      </c>
      <c r="P36" s="464">
        <f t="shared" si="2"/>
        <v>277.97716646618733</v>
      </c>
      <c r="Q36" s="145"/>
    </row>
    <row r="37" spans="2:17" x14ac:dyDescent="0.3">
      <c r="B37" s="146"/>
      <c r="D37" s="864">
        <f t="shared" ref="D37:I37" si="4">SUM(D35:D36)</f>
        <v>1</v>
      </c>
      <c r="E37" s="864">
        <f t="shared" si="4"/>
        <v>1</v>
      </c>
      <c r="F37" s="864">
        <f t="shared" si="4"/>
        <v>1</v>
      </c>
      <c r="G37" s="864">
        <f t="shared" si="4"/>
        <v>1</v>
      </c>
      <c r="H37" s="864">
        <f t="shared" si="4"/>
        <v>1</v>
      </c>
      <c r="I37" s="864">
        <f t="shared" si="4"/>
        <v>1</v>
      </c>
      <c r="K37" s="865">
        <f t="shared" ref="K37:O37" si="5">SUM(K35:K36)</f>
        <v>1330.3733043515219</v>
      </c>
      <c r="L37" s="865">
        <f t="shared" si="5"/>
        <v>1342.0683759075043</v>
      </c>
      <c r="M37" s="865">
        <f t="shared" si="5"/>
        <v>1353.8662567263095</v>
      </c>
      <c r="N37" s="865">
        <f t="shared" si="5"/>
        <v>1365.7678505856074</v>
      </c>
      <c r="O37" s="865">
        <f t="shared" si="5"/>
        <v>1377.7740692080147</v>
      </c>
      <c r="P37" s="865">
        <f>SUM(P35:P36)</f>
        <v>1389.8858323309369</v>
      </c>
      <c r="Q37" s="145"/>
    </row>
    <row r="38" spans="2:17" x14ac:dyDescent="0.3">
      <c r="B38" s="146"/>
      <c r="D38" s="794"/>
      <c r="E38" s="794"/>
      <c r="F38" s="794"/>
      <c r="G38" s="794"/>
      <c r="H38" s="794"/>
      <c r="I38" s="794"/>
      <c r="K38" s="412"/>
      <c r="L38" s="412"/>
      <c r="M38" s="412"/>
      <c r="N38" s="412"/>
      <c r="O38" s="412"/>
      <c r="P38" s="412"/>
      <c r="Q38" s="145"/>
    </row>
    <row r="39" spans="2:17" x14ac:dyDescent="0.3">
      <c r="B39" s="146"/>
      <c r="C39" s="139" t="s">
        <v>2215</v>
      </c>
      <c r="D39" s="725" t="s">
        <v>630</v>
      </c>
      <c r="E39" s="860" t="s">
        <v>631</v>
      </c>
      <c r="F39" s="861" t="s">
        <v>632</v>
      </c>
      <c r="G39" s="861" t="s">
        <v>633</v>
      </c>
      <c r="H39" s="725" t="s">
        <v>634</v>
      </c>
      <c r="I39" s="725" t="s">
        <v>635</v>
      </c>
      <c r="K39" s="412"/>
      <c r="L39" s="412"/>
      <c r="M39" s="412"/>
      <c r="N39" s="412"/>
      <c r="O39" s="412"/>
      <c r="P39" s="412"/>
      <c r="Q39" s="145"/>
    </row>
    <row r="40" spans="2:17" x14ac:dyDescent="0.3">
      <c r="B40" s="146"/>
      <c r="C40" s="137" t="s">
        <v>2216</v>
      </c>
      <c r="D40" s="862">
        <f>K35</f>
        <v>0</v>
      </c>
      <c r="E40" s="862">
        <f>L35-K35</f>
        <v>268.41367518150088</v>
      </c>
      <c r="F40" s="862">
        <f t="shared" ref="F40:H40" si="6">M35-L35</f>
        <v>273.132827509023</v>
      </c>
      <c r="G40" s="862">
        <f t="shared" si="6"/>
        <v>277.91420766084059</v>
      </c>
      <c r="H40" s="862">
        <f t="shared" si="6"/>
        <v>282.75854501504728</v>
      </c>
      <c r="I40" s="862">
        <f>P35-O35</f>
        <v>9.6894104983377929</v>
      </c>
      <c r="K40" s="412"/>
      <c r="L40" s="412"/>
      <c r="M40" s="412"/>
      <c r="N40" s="412"/>
      <c r="O40" s="412"/>
      <c r="P40" s="412"/>
      <c r="Q40" s="145"/>
    </row>
    <row r="41" spans="2:17" x14ac:dyDescent="0.3">
      <c r="B41" s="146"/>
      <c r="C41" s="137" t="s">
        <v>2217</v>
      </c>
      <c r="D41" s="862">
        <v>0</v>
      </c>
      <c r="E41" s="862">
        <f>D40*(1-'Unit costs'!$C$36)</f>
        <v>0</v>
      </c>
      <c r="F41" s="862">
        <f>E40*(1-'Unit costs'!$C$36)</f>
        <v>228.15162390427574</v>
      </c>
      <c r="G41" s="862">
        <f>F40*(1-'Unit costs'!$C$36)</f>
        <v>232.16290338266955</v>
      </c>
      <c r="H41" s="862">
        <f>G40*(1-'Unit costs'!$C$36)</f>
        <v>236.2270765117145</v>
      </c>
      <c r="I41" s="862">
        <f>H40*(1-'Unit costs'!$C$36)</f>
        <v>240.34476326279017</v>
      </c>
      <c r="K41" s="412"/>
      <c r="L41" s="412"/>
      <c r="M41" s="412"/>
      <c r="N41" s="412"/>
      <c r="O41" s="412"/>
      <c r="P41" s="412"/>
      <c r="Q41" s="145"/>
    </row>
    <row r="42" spans="2:17" x14ac:dyDescent="0.3">
      <c r="B42" s="146"/>
      <c r="C42" s="137" t="s">
        <v>2218</v>
      </c>
      <c r="D42" s="862">
        <v>0</v>
      </c>
      <c r="E42" s="862">
        <v>0</v>
      </c>
      <c r="F42" s="862">
        <f>E41*(1-'Unit costs'!$C$37)</f>
        <v>0</v>
      </c>
      <c r="G42" s="862">
        <f>F41*(1-'Unit costs'!$C$37)</f>
        <v>216.74404270906194</v>
      </c>
      <c r="H42" s="862">
        <f>G41*(1-'Unit costs'!$C$37)</f>
        <v>220.55475821353608</v>
      </c>
      <c r="I42" s="862">
        <f>H41*(1-'Unit costs'!$C$37)</f>
        <v>224.41572268612876</v>
      </c>
      <c r="K42" s="412"/>
      <c r="L42" s="412"/>
      <c r="M42" s="412"/>
      <c r="N42" s="412"/>
      <c r="O42" s="412"/>
      <c r="P42" s="412"/>
      <c r="Q42" s="145"/>
    </row>
    <row r="43" spans="2:17" x14ac:dyDescent="0.3">
      <c r="B43" s="146"/>
      <c r="C43" s="137" t="s">
        <v>2219</v>
      </c>
      <c r="D43" s="862">
        <v>0</v>
      </c>
      <c r="E43" s="862">
        <v>0</v>
      </c>
      <c r="F43" s="862">
        <v>0</v>
      </c>
      <c r="G43" s="862">
        <f>F42*(1-'Unit costs'!$C$37)</f>
        <v>0</v>
      </c>
      <c r="H43" s="862">
        <f>G42*(1-'Unit costs'!$C$37)</f>
        <v>205.90684057360883</v>
      </c>
      <c r="I43" s="862">
        <f>H42*(1-'Unit costs'!$C$37)</f>
        <v>209.52702030285926</v>
      </c>
      <c r="K43" s="412"/>
      <c r="L43" s="412"/>
      <c r="M43" s="412"/>
      <c r="N43" s="412"/>
      <c r="O43" s="412"/>
      <c r="P43" s="412"/>
      <c r="Q43" s="145"/>
    </row>
    <row r="44" spans="2:17" x14ac:dyDescent="0.3">
      <c r="B44" s="146"/>
      <c r="C44" s="137" t="s">
        <v>2220</v>
      </c>
      <c r="D44" s="862">
        <v>0</v>
      </c>
      <c r="E44" s="862">
        <v>0</v>
      </c>
      <c r="F44" s="862">
        <v>0</v>
      </c>
      <c r="G44" s="862">
        <v>0</v>
      </c>
      <c r="H44" s="862">
        <f>G43*(1-'Unit costs'!$C$37)</f>
        <v>0</v>
      </c>
      <c r="I44" s="862">
        <f>H43*(1-'Unit costs'!$C$37)</f>
        <v>195.61149854492839</v>
      </c>
      <c r="K44" s="412"/>
      <c r="L44" s="412"/>
      <c r="M44" s="412"/>
      <c r="N44" s="412"/>
      <c r="O44" s="412"/>
      <c r="P44" s="412"/>
      <c r="Q44" s="145"/>
    </row>
    <row r="45" spans="2:17" x14ac:dyDescent="0.3">
      <c r="B45" s="146"/>
      <c r="C45" s="137" t="s">
        <v>2233</v>
      </c>
      <c r="D45" s="862">
        <v>0</v>
      </c>
      <c r="E45" s="862">
        <f>+(D40*'Unit costs'!$C$36)</f>
        <v>0</v>
      </c>
      <c r="F45" s="862">
        <f>+((E40*'Unit costs'!$C$36)+(E41*'Unit costs'!$C$37)+D40*'Unit costs'!$C$37)</f>
        <v>40.262051277225133</v>
      </c>
      <c r="G45" s="862">
        <f>+((F40*'Unit costs'!$C$36)+(F41*'Unit costs'!$C$37)+E40*'Unit costs'!$C$36)</f>
        <v>92.639556598792367</v>
      </c>
      <c r="H45" s="862">
        <f>+(G40*'Unit costs'!$C$36)+(G41*'Unit costs'!$C$37)+(G42*'Unit costs'!$C$37)+(F40*'Unit costs'!$C$36)+(E40*'Unit costs'!$C$36)+(F41*'Unit costs'!$C$37)</f>
        <v>156.77203505250503</v>
      </c>
      <c r="I45" s="862">
        <f>+(H40*'Unit costs'!$C$36)+(H41*'Unit costs'!$C$37)+(H42*'Unit costs'!$C$37)+(G40*'Unit costs'!$C$36)+(F40*'Unit costs'!$C$36)+(G41*'Unit costs'!$C$37)+(E40*'Unit costs'!$C$36)+(F41*'Unit costs'!$C$37)+(G42*'Unit costs'!$C$37)+(H43*'Unit costs'!$C$37)</f>
        <v>232.32025056970511</v>
      </c>
      <c r="K45" s="412"/>
      <c r="L45" s="412"/>
      <c r="M45" s="412"/>
      <c r="N45" s="412"/>
      <c r="O45" s="412"/>
      <c r="P45" s="412"/>
      <c r="Q45" s="145"/>
    </row>
    <row r="46" spans="2:17" x14ac:dyDescent="0.3">
      <c r="B46" s="146"/>
      <c r="C46" s="308" t="s">
        <v>2178</v>
      </c>
      <c r="D46" s="862">
        <f>K36</f>
        <v>1330.3733043515219</v>
      </c>
      <c r="E46" s="862">
        <f t="shared" ref="E46:G46" si="7">L36</f>
        <v>1073.6547007260035</v>
      </c>
      <c r="F46" s="862">
        <f t="shared" si="7"/>
        <v>812.31975403578565</v>
      </c>
      <c r="G46" s="862">
        <f t="shared" si="7"/>
        <v>546.30714023424298</v>
      </c>
      <c r="H46" s="862">
        <f>O36</f>
        <v>275.55481384160288</v>
      </c>
      <c r="I46" s="862">
        <f>P36</f>
        <v>277.97716646618733</v>
      </c>
      <c r="K46" s="412"/>
      <c r="L46" s="412"/>
      <c r="M46" s="412"/>
      <c r="N46" s="412"/>
      <c r="O46" s="412"/>
      <c r="P46" s="412"/>
      <c r="Q46" s="145"/>
    </row>
    <row r="47" spans="2:17" x14ac:dyDescent="0.3">
      <c r="B47" s="146"/>
      <c r="D47" s="865">
        <f>SUM(D40:D46)</f>
        <v>1330.3733043515219</v>
      </c>
      <c r="E47" s="865">
        <f t="shared" ref="E47:I47" si="8">SUM(E40:E46)</f>
        <v>1342.0683759075043</v>
      </c>
      <c r="F47" s="865">
        <f t="shared" si="8"/>
        <v>1353.8662567263095</v>
      </c>
      <c r="G47" s="865">
        <f t="shared" si="8"/>
        <v>1365.7678505856074</v>
      </c>
      <c r="H47" s="865">
        <f t="shared" si="8"/>
        <v>1377.7740692080147</v>
      </c>
      <c r="I47" s="865">
        <f t="shared" si="8"/>
        <v>1389.8858323309369</v>
      </c>
      <c r="K47" s="412"/>
      <c r="L47" s="412"/>
      <c r="M47" s="412"/>
      <c r="N47" s="412"/>
      <c r="O47" s="412"/>
      <c r="P47" s="412"/>
      <c r="Q47" s="145"/>
    </row>
    <row r="48" spans="2:17" x14ac:dyDescent="0.3">
      <c r="B48" s="146"/>
      <c r="D48" s="445"/>
      <c r="E48" s="445"/>
      <c r="F48" s="445"/>
      <c r="G48" s="445"/>
      <c r="H48" s="445"/>
      <c r="I48" s="445"/>
      <c r="K48" s="412"/>
      <c r="L48" s="412"/>
      <c r="M48" s="412"/>
      <c r="N48" s="412"/>
      <c r="O48" s="412"/>
      <c r="P48" s="412"/>
      <c r="Q48" s="145"/>
    </row>
    <row r="49" spans="2:17" x14ac:dyDescent="0.3">
      <c r="B49" s="146"/>
      <c r="C49" t="s">
        <v>2208</v>
      </c>
      <c r="D49" s="445"/>
      <c r="E49" s="445"/>
      <c r="F49" s="445"/>
      <c r="G49" s="445"/>
      <c r="H49" s="445"/>
      <c r="I49" s="445"/>
      <c r="Q49" s="145"/>
    </row>
    <row r="50" spans="2:17" x14ac:dyDescent="0.3">
      <c r="B50" s="143" t="s">
        <v>602</v>
      </c>
      <c r="C50" s="721"/>
      <c r="D50" s="721"/>
      <c r="E50" s="721"/>
      <c r="F50" s="721"/>
      <c r="G50" s="721"/>
      <c r="H50" s="721"/>
      <c r="I50" s="721"/>
      <c r="J50" s="721"/>
      <c r="K50" s="721"/>
      <c r="L50" s="721"/>
      <c r="M50" s="721"/>
      <c r="N50" s="721"/>
      <c r="O50" s="721"/>
      <c r="P50" s="721"/>
      <c r="Q50" s="686"/>
    </row>
    <row r="51" spans="2:17" ht="45" customHeight="1" x14ac:dyDescent="0.3">
      <c r="B51" s="146"/>
      <c r="D51" s="151" t="s">
        <v>603</v>
      </c>
      <c r="E51" s="211" t="s">
        <v>604</v>
      </c>
      <c r="F51" s="151" t="s">
        <v>605</v>
      </c>
      <c r="G51" s="151" t="s">
        <v>606</v>
      </c>
      <c r="H51" s="211" t="s">
        <v>607</v>
      </c>
      <c r="I51" s="211" t="s">
        <v>608</v>
      </c>
      <c r="J51" s="211" t="s">
        <v>609</v>
      </c>
      <c r="K51" s="211" t="s">
        <v>610</v>
      </c>
      <c r="L51" s="146"/>
      <c r="N51" s="459"/>
      <c r="O51" s="459"/>
      <c r="P51" s="459"/>
      <c r="Q51" s="145"/>
    </row>
    <row r="52" spans="2:17" x14ac:dyDescent="0.3">
      <c r="B52" s="146"/>
      <c r="C52" s="179" t="s">
        <v>2177</v>
      </c>
      <c r="D52" s="722">
        <v>28</v>
      </c>
      <c r="E52" s="661">
        <v>1</v>
      </c>
      <c r="F52" s="505">
        <v>1</v>
      </c>
      <c r="G52" s="812">
        <f>365/28</f>
        <v>13.035714285714286</v>
      </c>
      <c r="H52" s="812">
        <f>365/28</f>
        <v>13.035714285714286</v>
      </c>
      <c r="I52" s="812">
        <f>365/28</f>
        <v>13.035714285714286</v>
      </c>
      <c r="J52" s="812">
        <f t="shared" ref="J52" si="9">365/28</f>
        <v>13.035714285714286</v>
      </c>
      <c r="K52" s="812">
        <f>365/28</f>
        <v>13.035714285714286</v>
      </c>
      <c r="L52" s="146"/>
      <c r="Q52" s="145"/>
    </row>
    <row r="53" spans="2:17" x14ac:dyDescent="0.3">
      <c r="B53" s="146"/>
      <c r="D53" s="139"/>
      <c r="E53" s="139"/>
      <c r="F53" s="139"/>
      <c r="Q53" s="145"/>
    </row>
    <row r="54" spans="2:17" x14ac:dyDescent="0.3">
      <c r="B54" s="146"/>
      <c r="D54" s="743"/>
      <c r="E54" s="742"/>
      <c r="F54" s="378" t="s">
        <v>611</v>
      </c>
      <c r="G54" s="380"/>
      <c r="H54" s="530"/>
      <c r="I54" s="230"/>
      <c r="J54" s="380" t="s">
        <v>612</v>
      </c>
      <c r="K54" s="530"/>
      <c r="L54" s="147"/>
      <c r="Q54" s="145"/>
    </row>
    <row r="55" spans="2:17" ht="42" customHeight="1" x14ac:dyDescent="0.3">
      <c r="B55" s="146"/>
      <c r="C55" s="278" t="s">
        <v>613</v>
      </c>
      <c r="D55" s="744" t="s">
        <v>614</v>
      </c>
      <c r="E55" s="744" t="s">
        <v>615</v>
      </c>
      <c r="F55" s="744" t="s">
        <v>616</v>
      </c>
      <c r="G55" s="744" t="s">
        <v>617</v>
      </c>
      <c r="H55" s="744" t="s">
        <v>618</v>
      </c>
      <c r="I55" s="745" t="s">
        <v>619</v>
      </c>
      <c r="J55" s="746" t="s">
        <v>620</v>
      </c>
      <c r="K55" s="747" t="s">
        <v>621</v>
      </c>
      <c r="L55" s="726" t="s">
        <v>622</v>
      </c>
      <c r="M55" s="725" t="s">
        <v>623</v>
      </c>
      <c r="Q55" s="145"/>
    </row>
    <row r="56" spans="2:17" x14ac:dyDescent="0.3">
      <c r="B56" s="146"/>
      <c r="C56" s="179" t="s">
        <v>2177</v>
      </c>
      <c r="D56" s="517" t="s">
        <v>2175</v>
      </c>
      <c r="E56" s="517" t="s">
        <v>2176</v>
      </c>
      <c r="F56" s="518">
        <v>30</v>
      </c>
      <c r="G56" s="518">
        <v>1</v>
      </c>
      <c r="H56" s="518">
        <f>F56*G56</f>
        <v>30</v>
      </c>
      <c r="I56" s="741">
        <v>30</v>
      </c>
      <c r="J56" s="723">
        <f>F52</f>
        <v>1</v>
      </c>
      <c r="K56" s="508"/>
      <c r="L56" s="724">
        <v>0</v>
      </c>
      <c r="M56" s="852" t="s">
        <v>2207</v>
      </c>
      <c r="Q56" s="145"/>
    </row>
    <row r="57" spans="2:17" x14ac:dyDescent="0.3">
      <c r="B57" s="146"/>
      <c r="C57" s="174"/>
      <c r="D57" s="139"/>
      <c r="E57" s="139"/>
      <c r="F57" s="139"/>
      <c r="Q57" s="145"/>
    </row>
    <row r="58" spans="2:17" x14ac:dyDescent="0.3">
      <c r="B58" s="146"/>
      <c r="D58" s="139"/>
      <c r="E58" s="139"/>
      <c r="F58" s="139"/>
      <c r="Q58" s="145"/>
    </row>
    <row r="59" spans="2:17" x14ac:dyDescent="0.3">
      <c r="B59" s="146"/>
      <c r="C59" s="178" t="s">
        <v>624</v>
      </c>
      <c r="D59" s="509">
        <v>79.3</v>
      </c>
      <c r="E59" s="662" t="s">
        <v>625</v>
      </c>
      <c r="F59" s="139"/>
      <c r="Q59" s="145"/>
    </row>
    <row r="60" spans="2:17" ht="16.2" x14ac:dyDescent="0.3">
      <c r="B60" s="146"/>
      <c r="C60" s="178" t="s">
        <v>626</v>
      </c>
      <c r="D60" s="507">
        <v>1.79</v>
      </c>
      <c r="E60" s="662" t="s">
        <v>627</v>
      </c>
      <c r="F60" s="139"/>
      <c r="Q60" s="145"/>
    </row>
    <row r="61" spans="2:17" x14ac:dyDescent="0.3">
      <c r="B61" s="146"/>
      <c r="C61" s="220"/>
      <c r="E61" s="662" t="s">
        <v>628</v>
      </c>
      <c r="F61" s="139"/>
      <c r="Q61" s="145"/>
    </row>
    <row r="62" spans="2:17" x14ac:dyDescent="0.3">
      <c r="B62" s="146"/>
      <c r="Q62" s="145"/>
    </row>
    <row r="63" spans="2:17" x14ac:dyDescent="0.3">
      <c r="B63" s="147"/>
      <c r="C63" s="148"/>
      <c r="D63" s="148"/>
      <c r="E63" s="148"/>
      <c r="F63" s="148"/>
      <c r="G63" s="148"/>
      <c r="H63" s="148"/>
      <c r="I63" s="148"/>
      <c r="J63" s="148"/>
      <c r="K63" s="148"/>
      <c r="L63" s="148"/>
      <c r="M63" s="148"/>
      <c r="N63" s="148"/>
      <c r="O63" s="148"/>
      <c r="P63" s="148"/>
      <c r="Q63" s="149"/>
    </row>
    <row r="64" spans="2:17" x14ac:dyDescent="0.3">
      <c r="J64" s="176"/>
    </row>
    <row r="65" spans="2:17" x14ac:dyDescent="0.3">
      <c r="B65" s="354" t="s">
        <v>636</v>
      </c>
      <c r="C65" s="759"/>
      <c r="D65" s="759"/>
      <c r="E65" s="759"/>
      <c r="F65" s="759"/>
      <c r="G65" s="759"/>
      <c r="H65" s="759"/>
      <c r="I65" s="759"/>
      <c r="J65" s="759"/>
      <c r="K65" s="759"/>
      <c r="L65" s="759"/>
      <c r="M65" s="759"/>
      <c r="N65" s="759"/>
      <c r="O65" s="759"/>
      <c r="P65" s="759"/>
      <c r="Q65" s="760"/>
    </row>
    <row r="66" spans="2:17" x14ac:dyDescent="0.3">
      <c r="B66" s="207"/>
      <c r="C66" s="201"/>
      <c r="D66" s="201"/>
      <c r="E66" s="201"/>
      <c r="F66" s="201"/>
      <c r="G66" s="201"/>
      <c r="H66" s="201"/>
      <c r="I66" s="201"/>
      <c r="J66" s="201"/>
      <c r="K66" s="201"/>
      <c r="L66" s="201"/>
      <c r="M66" s="201"/>
      <c r="N66" s="201"/>
      <c r="O66" s="201"/>
      <c r="P66" s="201"/>
      <c r="Q66" s="208"/>
    </row>
    <row r="67" spans="2:17" x14ac:dyDescent="0.3">
      <c r="B67" s="207"/>
      <c r="C67" s="536" t="s">
        <v>637</v>
      </c>
      <c r="D67" s="201"/>
      <c r="E67" s="201"/>
      <c r="F67" s="201"/>
      <c r="G67" s="201"/>
      <c r="H67" s="201"/>
      <c r="I67" s="201"/>
      <c r="J67" s="201"/>
      <c r="K67" s="201"/>
      <c r="L67" s="201"/>
      <c r="M67" s="201"/>
      <c r="N67" s="201"/>
      <c r="O67" s="201"/>
      <c r="P67" s="201"/>
      <c r="Q67" s="208"/>
    </row>
    <row r="68" spans="2:17" x14ac:dyDescent="0.3">
      <c r="B68" s="207"/>
      <c r="C68" s="533" t="s">
        <v>638</v>
      </c>
      <c r="D68" s="201"/>
      <c r="E68" s="201"/>
      <c r="F68" s="201"/>
      <c r="G68" s="201"/>
      <c r="H68" s="201"/>
      <c r="I68" s="201"/>
      <c r="J68" s="201"/>
      <c r="K68" s="201"/>
      <c r="L68" s="201"/>
      <c r="M68" s="201"/>
      <c r="N68" s="201"/>
      <c r="O68" s="201"/>
      <c r="P68" s="201"/>
      <c r="Q68" s="208"/>
    </row>
    <row r="69" spans="2:17" x14ac:dyDescent="0.3">
      <c r="B69" s="207"/>
      <c r="C69" s="533" t="s">
        <v>639</v>
      </c>
      <c r="D69" s="201"/>
      <c r="E69" s="201"/>
      <c r="F69" s="201"/>
      <c r="G69" s="201"/>
      <c r="H69" s="201"/>
      <c r="I69" s="201"/>
      <c r="J69" s="201"/>
      <c r="K69" s="201"/>
      <c r="L69" s="201"/>
      <c r="M69" s="201"/>
      <c r="N69" s="201"/>
      <c r="O69" s="201"/>
      <c r="P69" s="201"/>
      <c r="Q69" s="208"/>
    </row>
    <row r="70" spans="2:17" x14ac:dyDescent="0.3">
      <c r="B70" s="207"/>
      <c r="C70" s="403" t="s">
        <v>640</v>
      </c>
      <c r="D70" s="201"/>
      <c r="E70" s="201"/>
      <c r="F70" s="201"/>
      <c r="G70" s="201"/>
      <c r="H70" s="201"/>
      <c r="I70" s="201"/>
      <c r="J70" s="201"/>
      <c r="K70" s="201"/>
      <c r="L70" s="201"/>
      <c r="M70" s="201"/>
      <c r="N70" s="201"/>
      <c r="O70" s="201"/>
      <c r="P70" s="201"/>
      <c r="Q70" s="208"/>
    </row>
    <row r="71" spans="2:17" x14ac:dyDescent="0.3">
      <c r="B71" s="207"/>
      <c r="C71" s="403" t="s">
        <v>2143</v>
      </c>
      <c r="D71" s="201"/>
      <c r="E71" s="201"/>
      <c r="F71" s="201"/>
      <c r="G71" s="201"/>
      <c r="H71" s="201"/>
      <c r="I71" s="201"/>
      <c r="J71" s="201"/>
      <c r="K71" s="201"/>
      <c r="L71" s="201"/>
      <c r="M71" s="201"/>
      <c r="N71" s="201"/>
      <c r="O71" s="201"/>
      <c r="P71" s="201"/>
      <c r="Q71" s="208"/>
    </row>
    <row r="72" spans="2:17" x14ac:dyDescent="0.3">
      <c r="B72" s="207"/>
      <c r="C72" s="808" t="s">
        <v>2145</v>
      </c>
      <c r="D72" s="201"/>
      <c r="E72" s="201"/>
      <c r="F72" s="201"/>
      <c r="G72" s="201"/>
      <c r="H72" s="201"/>
      <c r="I72" s="201"/>
      <c r="J72" s="201"/>
      <c r="K72" s="201"/>
      <c r="L72" s="201"/>
      <c r="M72" s="201"/>
      <c r="N72" s="201"/>
      <c r="O72" s="201"/>
      <c r="P72" s="201"/>
      <c r="Q72" s="208"/>
    </row>
    <row r="73" spans="2:17" x14ac:dyDescent="0.3">
      <c r="B73" s="207"/>
      <c r="C73" s="403" t="s">
        <v>2144</v>
      </c>
      <c r="D73" s="201"/>
      <c r="E73" s="201"/>
      <c r="F73" s="201"/>
      <c r="G73" s="201"/>
      <c r="H73" s="201"/>
      <c r="I73" s="201"/>
      <c r="J73" s="201"/>
      <c r="K73" s="201"/>
      <c r="L73" s="201"/>
      <c r="M73" s="201"/>
      <c r="N73" s="201"/>
      <c r="O73" s="201"/>
      <c r="P73" s="201"/>
      <c r="Q73" s="208"/>
    </row>
    <row r="74" spans="2:17" x14ac:dyDescent="0.3">
      <c r="B74" s="207"/>
      <c r="C74" s="403" t="s">
        <v>2147</v>
      </c>
      <c r="D74" s="201"/>
      <c r="E74" s="201"/>
      <c r="F74" s="201"/>
      <c r="G74" s="201"/>
      <c r="H74" s="201"/>
      <c r="I74" s="201"/>
      <c r="J74" s="201"/>
      <c r="K74" s="201"/>
      <c r="L74" s="201"/>
      <c r="M74" s="201"/>
      <c r="N74" s="201"/>
      <c r="O74" s="201"/>
      <c r="P74" s="201"/>
      <c r="Q74" s="208"/>
    </row>
    <row r="75" spans="2:17" x14ac:dyDescent="0.3">
      <c r="B75" s="207"/>
      <c r="C75" s="403"/>
      <c r="D75" s="201"/>
      <c r="E75" s="201"/>
      <c r="F75" s="201"/>
      <c r="G75" s="201"/>
      <c r="H75" s="201"/>
      <c r="I75" s="201"/>
      <c r="J75" s="201"/>
      <c r="K75" s="201"/>
      <c r="L75" s="201"/>
      <c r="M75" s="201"/>
      <c r="N75" s="201"/>
      <c r="O75" s="201"/>
      <c r="P75" s="201"/>
      <c r="Q75" s="208"/>
    </row>
    <row r="76" spans="2:17" x14ac:dyDescent="0.3">
      <c r="B76" s="207"/>
      <c r="C76" s="535" t="s">
        <v>641</v>
      </c>
      <c r="D76" s="201"/>
      <c r="E76" s="201"/>
      <c r="F76" s="201"/>
      <c r="G76" s="201"/>
      <c r="H76" s="201"/>
      <c r="I76" s="201"/>
      <c r="J76" s="201"/>
      <c r="K76" s="201"/>
      <c r="L76" s="201"/>
      <c r="M76" s="201"/>
      <c r="N76" s="201"/>
      <c r="O76" s="201"/>
      <c r="P76" s="201"/>
      <c r="Q76" s="208"/>
    </row>
    <row r="77" spans="2:17" x14ac:dyDescent="0.3">
      <c r="B77" s="207"/>
      <c r="C77" s="533" t="s">
        <v>642</v>
      </c>
      <c r="D77" s="201"/>
      <c r="E77" s="201"/>
      <c r="F77" s="201"/>
      <c r="G77" s="201"/>
      <c r="H77" s="201"/>
      <c r="I77" s="201"/>
      <c r="J77" s="201"/>
      <c r="K77" s="201"/>
      <c r="L77" s="201"/>
      <c r="M77" s="201"/>
      <c r="N77" s="201"/>
      <c r="O77" s="201"/>
      <c r="P77" s="201"/>
      <c r="Q77" s="208"/>
    </row>
    <row r="78" spans="2:17" x14ac:dyDescent="0.3">
      <c r="B78" s="207"/>
      <c r="C78" s="403" t="s">
        <v>2148</v>
      </c>
      <c r="D78" s="201"/>
      <c r="E78" s="201"/>
      <c r="F78" s="201"/>
      <c r="G78" s="201"/>
      <c r="H78" s="201"/>
      <c r="I78" s="201"/>
      <c r="J78" s="201"/>
      <c r="K78" s="201"/>
      <c r="L78" s="201"/>
      <c r="M78" s="201"/>
      <c r="N78" s="201"/>
      <c r="O78" s="201"/>
      <c r="P78" s="201"/>
      <c r="Q78" s="208"/>
    </row>
    <row r="79" spans="2:17" x14ac:dyDescent="0.3">
      <c r="B79" s="207"/>
      <c r="C79" s="403" t="s">
        <v>2149</v>
      </c>
      <c r="D79" s="201"/>
      <c r="E79" s="201"/>
      <c r="F79" s="201"/>
      <c r="G79" s="201"/>
      <c r="H79" s="201"/>
      <c r="I79" s="201"/>
      <c r="J79" s="201"/>
      <c r="K79" s="201"/>
      <c r="L79" s="201"/>
      <c r="M79" s="201"/>
      <c r="N79" s="201"/>
      <c r="O79" s="201"/>
      <c r="P79" s="201"/>
      <c r="Q79" s="208"/>
    </row>
    <row r="80" spans="2:17" x14ac:dyDescent="0.3">
      <c r="B80" s="205"/>
      <c r="C80" s="209"/>
      <c r="D80" s="204"/>
      <c r="E80" s="204"/>
      <c r="F80" s="204"/>
      <c r="G80" s="204"/>
      <c r="H80" s="204"/>
      <c r="I80" s="204"/>
      <c r="J80" s="204"/>
      <c r="K80" s="204"/>
      <c r="L80" s="204"/>
      <c r="M80" s="204"/>
      <c r="N80" s="204"/>
      <c r="O80" s="204"/>
      <c r="P80" s="204"/>
      <c r="Q80" s="206"/>
    </row>
  </sheetData>
  <sheetProtection algorithmName="SHA-512" hashValue="Vc+kLLoKWNxWOzpX/cA/Bse0ksNzcLggAOKNhJDON52hr+JmqCNTI50oqyid9/eUc4nlrOi4nO9/RBgbDj9YyQ==" saltValue="nVbrIq3iyNA3YK8c6GS4rw==" spinCount="100000" sheet="1" objects="1" scenarios="1"/>
  <protectedRanges>
    <protectedRange sqref="D31 D11:D12 D18:D19 D59:D60 E30:F31 G30:J30 K35:P36 K56:L56 D52:K52 D35:I36 D27:J28 E29:J29" name="Range1"/>
    <protectedRange sqref="D41:I42 G43:I44" name="Range1_1_1"/>
    <protectedRange sqref="E45:I45" name="Range1_1_2"/>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59" r:id="rId1" display="Source; Health Survey for England, 2021." xr:uid="{30C307A3-B67F-4AA8-B13C-E89ABD5FA86B}"/>
    <hyperlink ref="E60" r:id="rId2" display="Source: https://pmc.ncbi.nlm.nih.gov/articles/PMC2812484/" xr:uid="{7AAAE1FD-3721-4715-86B1-492170D088BF}"/>
    <hyperlink ref="E61" r:id="rId3" display="Source: https://pmc.ncbi.nlm.nih.gov/articles/PMC2812484/" xr:uid="{60E081D6-1AD0-4CFA-9AD2-00C5AC10995B}"/>
    <hyperlink ref="C68" r:id="rId4" xr:uid="{9E6038DB-C4EC-431A-B5C3-A48009ECA9D3}"/>
    <hyperlink ref="C69" r:id="rId5" xr:uid="{F90404C9-B340-4E9B-AA51-58D791264704}"/>
    <hyperlink ref="C77" r:id="rId6" xr:uid="{FC9107BA-DC63-4474-BE80-C70D0B07C108}"/>
    <hyperlink ref="C72" r:id="rId7" xr:uid="{D457B1CB-8B19-4A1D-996E-899FA025186B}"/>
    <hyperlink ref="K27" r:id="rId8" display="https://publications.ersnet.org/content/erjor/early/2024/01/04/23120541.00430-2023.full.pdf" xr:uid="{C375B237-49E2-4CA9-A150-AAB5E5491206}"/>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M53"/>
  <sheetViews>
    <sheetView showGridLines="0" zoomScale="70" zoomScaleNormal="70" workbookViewId="0">
      <selection activeCell="D12" sqref="D12"/>
    </sheetView>
  </sheetViews>
  <sheetFormatPr defaultRowHeight="14.4" x14ac:dyDescent="0.3"/>
  <cols>
    <col min="1" max="1" width="2.44140625" customWidth="1"/>
    <col min="2" max="2" width="5.77734375" customWidth="1"/>
    <col min="3" max="3" width="41.21875" customWidth="1"/>
    <col min="4" max="4" width="46.77734375" customWidth="1"/>
    <col min="5" max="5" width="20.44140625" customWidth="1"/>
    <col min="6" max="6" width="12.21875" customWidth="1"/>
    <col min="7" max="7" width="16.77734375" customWidth="1"/>
    <col min="8" max="8" width="16.21875" customWidth="1"/>
    <col min="9" max="9" width="7.21875" customWidth="1"/>
    <col min="10" max="10" width="2.77734375" customWidth="1"/>
    <col min="11" max="11" width="18.77734375" customWidth="1"/>
    <col min="12" max="12" width="13.44140625" customWidth="1"/>
    <col min="13" max="13" width="25.44140625" customWidth="1"/>
  </cols>
  <sheetData>
    <row r="1" spans="2:13" ht="30" customHeight="1" x14ac:dyDescent="0.3">
      <c r="B1" s="447" t="str">
        <f>'Inputs and population'!B1</f>
        <v>Benralizumab for treating relapsing or refractory eosinophilic granulomatosis with polyangiitis</v>
      </c>
    </row>
    <row r="2" spans="2:13" ht="30" customHeight="1" x14ac:dyDescent="0.3">
      <c r="B2" s="142" t="s">
        <v>554</v>
      </c>
      <c r="C2" s="142"/>
      <c r="D2" s="141"/>
      <c r="E2" s="156"/>
      <c r="F2" s="156"/>
      <c r="G2" s="156"/>
      <c r="H2" s="156"/>
      <c r="I2" s="141"/>
      <c r="J2" s="141"/>
      <c r="K2" s="141"/>
      <c r="L2" s="141"/>
      <c r="M2" s="141"/>
    </row>
    <row r="4" spans="2:13" ht="18" x14ac:dyDescent="0.35">
      <c r="B4" s="663" t="s">
        <v>643</v>
      </c>
      <c r="C4" s="721"/>
      <c r="D4" s="721"/>
      <c r="E4" s="721"/>
      <c r="F4" s="721"/>
      <c r="G4" s="721"/>
      <c r="H4" s="721"/>
      <c r="I4" s="721"/>
      <c r="J4" s="721"/>
      <c r="K4" s="721"/>
      <c r="L4" s="721"/>
      <c r="M4" s="686"/>
    </row>
    <row r="5" spans="2:13" x14ac:dyDescent="0.3">
      <c r="B5" s="146" t="s">
        <v>644</v>
      </c>
      <c r="M5" s="145"/>
    </row>
    <row r="6" spans="2:13" x14ac:dyDescent="0.3">
      <c r="B6" s="146" t="s">
        <v>645</v>
      </c>
      <c r="M6" s="145"/>
    </row>
    <row r="7" spans="2:13" x14ac:dyDescent="0.3">
      <c r="B7" s="144" t="s">
        <v>646</v>
      </c>
      <c r="M7" s="145"/>
    </row>
    <row r="8" spans="2:13" x14ac:dyDescent="0.3">
      <c r="B8" s="664"/>
      <c r="C8" s="148"/>
      <c r="D8" s="148"/>
      <c r="E8" s="148"/>
      <c r="F8" s="148"/>
      <c r="G8" s="148"/>
      <c r="H8" s="148"/>
      <c r="I8" s="148"/>
      <c r="J8" s="148"/>
      <c r="K8" s="148"/>
      <c r="L8" s="148"/>
      <c r="M8" s="149"/>
    </row>
    <row r="9" spans="2:13" x14ac:dyDescent="0.3">
      <c r="B9" s="136"/>
      <c r="D9" s="176"/>
    </row>
    <row r="10" spans="2:13" x14ac:dyDescent="0.3">
      <c r="B10" s="143" t="s">
        <v>647</v>
      </c>
      <c r="C10" s="721"/>
      <c r="E10" s="721"/>
      <c r="F10" s="721"/>
      <c r="G10" s="721"/>
      <c r="H10" s="721"/>
      <c r="I10" s="721"/>
      <c r="J10" s="721"/>
      <c r="K10" s="721"/>
      <c r="L10" s="721"/>
      <c r="M10" s="686"/>
    </row>
    <row r="11" spans="2:13" x14ac:dyDescent="0.3">
      <c r="B11" s="146"/>
      <c r="C11" s="312"/>
      <c r="D11" s="190"/>
      <c r="E11" s="190"/>
      <c r="F11" s="190"/>
      <c r="G11" s="190"/>
      <c r="H11" s="190"/>
      <c r="I11" s="190"/>
      <c r="M11" s="145"/>
    </row>
    <row r="12" spans="2:13" ht="87" customHeight="1" x14ac:dyDescent="0.3">
      <c r="B12" s="146"/>
      <c r="C12" s="358" t="s">
        <v>648</v>
      </c>
      <c r="D12" s="358" t="s">
        <v>649</v>
      </c>
      <c r="E12" s="665" t="s">
        <v>650</v>
      </c>
      <c r="F12" s="222" t="s">
        <v>651</v>
      </c>
      <c r="G12" s="222" t="s">
        <v>2177</v>
      </c>
      <c r="H12" s="222" t="s">
        <v>2178</v>
      </c>
      <c r="K12" s="358" t="s">
        <v>652</v>
      </c>
      <c r="L12" s="358" t="s">
        <v>653</v>
      </c>
      <c r="M12" s="145"/>
    </row>
    <row r="13" spans="2:13" x14ac:dyDescent="0.3">
      <c r="B13" s="146"/>
      <c r="C13" s="667" t="s">
        <v>2157</v>
      </c>
      <c r="D13" s="668" t="s">
        <v>2158</v>
      </c>
      <c r="E13" s="718" t="s">
        <v>655</v>
      </c>
      <c r="F13" s="750">
        <v>10</v>
      </c>
      <c r="G13" s="748"/>
      <c r="H13" s="512"/>
      <c r="K13" s="673" t="s">
        <v>854</v>
      </c>
      <c r="L13" s="753">
        <f>VLOOKUP(K13,payscales!B:K,10,0)</f>
        <v>96.44</v>
      </c>
      <c r="M13" s="145"/>
    </row>
    <row r="14" spans="2:13" x14ac:dyDescent="0.3">
      <c r="B14" s="146"/>
      <c r="C14" s="667" t="s">
        <v>654</v>
      </c>
      <c r="D14" s="668" t="s">
        <v>657</v>
      </c>
      <c r="E14" s="718" t="s">
        <v>655</v>
      </c>
      <c r="F14" s="750">
        <v>15</v>
      </c>
      <c r="G14" s="507">
        <v>3</v>
      </c>
      <c r="H14" s="507">
        <v>4</v>
      </c>
      <c r="K14" s="673" t="s">
        <v>656</v>
      </c>
      <c r="L14" s="753">
        <f>VLOOKUP(K14,payscales!B:K,10,0)</f>
        <v>127.43</v>
      </c>
      <c r="M14" s="145"/>
    </row>
    <row r="15" spans="2:13" hidden="1" x14ac:dyDescent="0.3">
      <c r="B15" s="146"/>
      <c r="C15" s="669" t="s">
        <v>658</v>
      </c>
      <c r="D15" s="668" t="s">
        <v>659</v>
      </c>
      <c r="E15" s="718" t="s">
        <v>655</v>
      </c>
      <c r="F15" s="750"/>
      <c r="G15" s="749"/>
      <c r="H15" s="513"/>
      <c r="K15" s="673" t="s">
        <v>660</v>
      </c>
      <c r="L15" s="753">
        <f>VLOOKUP(K15,payscales!B:K,10,0)</f>
        <v>44.4</v>
      </c>
      <c r="M15" s="145"/>
    </row>
    <row r="16" spans="2:13" hidden="1" x14ac:dyDescent="0.3">
      <c r="B16" s="146"/>
      <c r="C16" s="669" t="s">
        <v>658</v>
      </c>
      <c r="D16" s="668" t="s">
        <v>661</v>
      </c>
      <c r="E16" s="718" t="s">
        <v>655</v>
      </c>
      <c r="F16" s="750"/>
      <c r="G16" s="749"/>
      <c r="H16" s="717"/>
      <c r="K16" s="673" t="s">
        <v>660</v>
      </c>
      <c r="L16" s="753">
        <f>VLOOKUP(K16,payscales!B:K,10,0)</f>
        <v>44.4</v>
      </c>
      <c r="M16" s="145"/>
    </row>
    <row r="17" spans="2:13" hidden="1" x14ac:dyDescent="0.3">
      <c r="B17" s="146"/>
      <c r="C17" s="669" t="s">
        <v>658</v>
      </c>
      <c r="D17" s="668" t="s">
        <v>662</v>
      </c>
      <c r="E17" s="718" t="s">
        <v>655</v>
      </c>
      <c r="F17" s="750"/>
      <c r="G17" s="749"/>
      <c r="H17" s="717"/>
      <c r="K17" s="673" t="s">
        <v>660</v>
      </c>
      <c r="L17" s="753">
        <f>VLOOKUP(K17,payscales!B:K,10,0)</f>
        <v>44.4</v>
      </c>
      <c r="M17" s="145"/>
    </row>
    <row r="18" spans="2:13" hidden="1" x14ac:dyDescent="0.3">
      <c r="B18" s="146"/>
      <c r="C18" s="670" t="s">
        <v>663</v>
      </c>
      <c r="D18" s="668" t="s">
        <v>664</v>
      </c>
      <c r="E18" s="718" t="s">
        <v>665</v>
      </c>
      <c r="F18" s="750"/>
      <c r="G18" s="750"/>
      <c r="H18" s="514"/>
      <c r="K18" s="673" t="s">
        <v>666</v>
      </c>
      <c r="L18" s="753">
        <f>VLOOKUP(K18,payscales!B:K,10,0)</f>
        <v>49.24</v>
      </c>
      <c r="M18" s="145"/>
    </row>
    <row r="19" spans="2:13" hidden="1" x14ac:dyDescent="0.3">
      <c r="B19" s="146"/>
      <c r="C19" s="671" t="s">
        <v>667</v>
      </c>
      <c r="D19" s="668" t="s">
        <v>668</v>
      </c>
      <c r="E19" s="718" t="s">
        <v>669</v>
      </c>
      <c r="F19" s="750"/>
      <c r="G19" s="507"/>
      <c r="H19" s="507"/>
      <c r="K19" s="673" t="s">
        <v>656</v>
      </c>
      <c r="L19" s="753">
        <f>VLOOKUP(K19,payscales!B:K,10,0)</f>
        <v>127.43</v>
      </c>
      <c r="M19" s="145"/>
    </row>
    <row r="20" spans="2:13" hidden="1" x14ac:dyDescent="0.3">
      <c r="B20" s="146"/>
      <c r="C20" s="672" t="s">
        <v>670</v>
      </c>
      <c r="D20" s="668" t="s">
        <v>671</v>
      </c>
      <c r="E20" s="718" t="s">
        <v>669</v>
      </c>
      <c r="F20" s="750"/>
      <c r="G20" s="749"/>
      <c r="H20" s="513"/>
      <c r="K20" s="673" t="s">
        <v>660</v>
      </c>
      <c r="L20" s="753">
        <f>VLOOKUP(K20,payscales!B:K,10,0)</f>
        <v>44.4</v>
      </c>
      <c r="M20" s="145"/>
    </row>
    <row r="21" spans="2:13" hidden="1" x14ac:dyDescent="0.3">
      <c r="B21" s="146"/>
      <c r="C21" s="672" t="s">
        <v>672</v>
      </c>
      <c r="D21" s="668" t="s">
        <v>673</v>
      </c>
      <c r="E21" s="718" t="s">
        <v>669</v>
      </c>
      <c r="F21" s="750"/>
      <c r="G21" s="749">
        <v>1</v>
      </c>
      <c r="H21" s="515">
        <v>0</v>
      </c>
      <c r="K21" s="673" t="s">
        <v>674</v>
      </c>
      <c r="L21" s="753">
        <f>VLOOKUP(K21,payscales!B:K,10,0)</f>
        <v>35.97</v>
      </c>
      <c r="M21" s="145"/>
    </row>
    <row r="22" spans="2:13" hidden="1" x14ac:dyDescent="0.3">
      <c r="B22" s="146"/>
      <c r="C22" s="672" t="s">
        <v>2205</v>
      </c>
      <c r="D22" s="668" t="s">
        <v>675</v>
      </c>
      <c r="E22" s="718" t="s">
        <v>669</v>
      </c>
      <c r="F22" s="752"/>
      <c r="G22" s="751"/>
      <c r="H22" s="190"/>
      <c r="I22" s="190"/>
      <c r="K22" s="673" t="s">
        <v>676</v>
      </c>
      <c r="L22" s="753">
        <f>VLOOKUP(K22,payscales!B:K,10,0)</f>
        <v>51.74</v>
      </c>
      <c r="M22" s="145"/>
    </row>
    <row r="23" spans="2:13" x14ac:dyDescent="0.3">
      <c r="B23" s="146"/>
      <c r="C23" s="312"/>
      <c r="D23" s="190"/>
      <c r="E23" s="190"/>
      <c r="F23" s="190"/>
      <c r="G23" s="190"/>
      <c r="K23" s="719" t="s">
        <v>677</v>
      </c>
      <c r="M23" s="145"/>
    </row>
    <row r="24" spans="2:13" x14ac:dyDescent="0.3">
      <c r="B24" s="146"/>
      <c r="C24" s="177" t="s">
        <v>678</v>
      </c>
      <c r="D24" s="139"/>
      <c r="M24" s="145"/>
    </row>
    <row r="25" spans="2:13" x14ac:dyDescent="0.3">
      <c r="B25" s="146"/>
      <c r="C25" t="s">
        <v>2212</v>
      </c>
      <c r="D25" s="139"/>
      <c r="M25" s="145"/>
    </row>
    <row r="26" spans="2:13" x14ac:dyDescent="0.3">
      <c r="B26" s="146"/>
      <c r="C26" t="s">
        <v>2227</v>
      </c>
      <c r="D26" s="139"/>
      <c r="M26" s="145"/>
    </row>
    <row r="27" spans="2:13" x14ac:dyDescent="0.3">
      <c r="B27" s="146"/>
      <c r="C27" s="190" t="s">
        <v>679</v>
      </c>
      <c r="D27" s="139"/>
      <c r="M27" s="145"/>
    </row>
    <row r="28" spans="2:13" x14ac:dyDescent="0.3">
      <c r="B28" s="147"/>
      <c r="C28" s="148"/>
      <c r="D28" s="150"/>
      <c r="E28" s="150"/>
      <c r="F28" s="150"/>
      <c r="G28" s="150"/>
      <c r="H28" s="150"/>
      <c r="I28" s="150"/>
      <c r="J28" s="148"/>
      <c r="K28" s="148"/>
      <c r="L28" s="148"/>
      <c r="M28" s="149"/>
    </row>
    <row r="29" spans="2:13" x14ac:dyDescent="0.3">
      <c r="D29" s="139"/>
      <c r="E29" s="139"/>
      <c r="F29" s="139"/>
      <c r="G29" s="139"/>
      <c r="H29" s="139"/>
      <c r="I29" s="139"/>
    </row>
    <row r="53" spans="2:13" x14ac:dyDescent="0.3">
      <c r="B53" s="721"/>
      <c r="C53" s="721"/>
      <c r="D53" s="721"/>
      <c r="E53" s="721"/>
      <c r="F53" s="721"/>
      <c r="G53" s="721"/>
      <c r="H53" s="721"/>
      <c r="I53" s="721"/>
      <c r="J53" s="721"/>
      <c r="K53" s="721"/>
      <c r="L53" s="721"/>
      <c r="M53" s="721"/>
    </row>
  </sheetData>
  <sheetProtection algorithmName="SHA-512" hashValue="97Y6kbu33aDSal42xjmb5BXskX4Ajoug4YWoPo5aXlHzZ017Bse7G5bsnswqowjT49YV4+PHL3h6J/s29scJTA==" saltValue="Qucl7uXLUOAVUwyBrcVx1w==" spinCount="100000" sheet="1" objects="1" scenarios="1"/>
  <protectedRanges>
    <protectedRange sqref="F13:G22 H13:H21 I23" name="Range1"/>
  </protectedRanges>
  <phoneticPr fontId="43" type="noConversion"/>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payscales!$B$14:$B$48</xm:f>
          </x14:formula1>
          <xm:sqref>K13:K22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25"/>
  <sheetViews>
    <sheetView showGridLines="0" zoomScale="70" zoomScaleNormal="70" workbookViewId="0">
      <selection activeCell="S14" sqref="S14"/>
    </sheetView>
  </sheetViews>
  <sheetFormatPr defaultRowHeight="14.4" x14ac:dyDescent="0.3"/>
  <cols>
    <col min="1" max="1" width="3.21875" customWidth="1"/>
    <col min="2" max="2" width="36.77734375" customWidth="1"/>
    <col min="3" max="3" width="17.21875" customWidth="1"/>
    <col min="4" max="4" width="25" customWidth="1"/>
    <col min="5" max="7" width="10.77734375" customWidth="1"/>
    <col min="9" max="9" width="2.21875" customWidth="1"/>
    <col min="10" max="13" width="11.77734375" customWidth="1"/>
    <col min="14" max="14" width="16.77734375" customWidth="1"/>
    <col min="15" max="15" width="2.44140625" customWidth="1"/>
  </cols>
  <sheetData>
    <row r="1" spans="2:15" ht="30" customHeight="1" x14ac:dyDescent="0.3">
      <c r="B1" s="447" t="str">
        <f>'Inputs and population'!B1</f>
        <v>Benralizumab for treating relapsing or refractory eosinophilic granulomatosis with polyangiitis</v>
      </c>
    </row>
    <row r="2" spans="2:15" ht="30" customHeight="1" x14ac:dyDescent="0.3">
      <c r="B2" s="142" t="s">
        <v>680</v>
      </c>
      <c r="C2" s="141"/>
      <c r="D2" s="156"/>
      <c r="E2" s="156"/>
      <c r="F2" s="156"/>
      <c r="G2" s="156"/>
      <c r="H2" s="141"/>
      <c r="I2" s="141"/>
      <c r="J2" s="141"/>
      <c r="K2" s="141"/>
      <c r="L2" s="141"/>
      <c r="M2" s="141"/>
      <c r="N2" s="141"/>
      <c r="O2" s="141"/>
    </row>
    <row r="3" spans="2:15" x14ac:dyDescent="0.3">
      <c r="B3" s="755"/>
      <c r="C3" s="720"/>
      <c r="D3" s="720"/>
      <c r="E3" s="720"/>
      <c r="F3" s="720"/>
      <c r="G3" s="720"/>
      <c r="H3" s="721"/>
      <c r="I3" s="721"/>
      <c r="J3" s="721"/>
      <c r="K3" s="721"/>
      <c r="L3" s="721"/>
    </row>
    <row r="4" spans="2:15" x14ac:dyDescent="0.3">
      <c r="C4" s="758"/>
      <c r="D4" s="853" t="s">
        <v>681</v>
      </c>
      <c r="E4" s="754"/>
    </row>
    <row r="5" spans="2:15" ht="28.8" x14ac:dyDescent="0.3">
      <c r="B5" s="222" t="s">
        <v>682</v>
      </c>
      <c r="C5" s="222" t="s">
        <v>2177</v>
      </c>
      <c r="D5" s="222" t="s">
        <v>2154</v>
      </c>
      <c r="E5" s="222" t="s">
        <v>683</v>
      </c>
    </row>
    <row r="6" spans="2:15" x14ac:dyDescent="0.3">
      <c r="B6" s="527" t="s">
        <v>2200</v>
      </c>
      <c r="C6" s="528"/>
      <c r="D6" s="528"/>
      <c r="E6" s="262">
        <v>3160.7139999999999</v>
      </c>
    </row>
    <row r="7" spans="2:15" x14ac:dyDescent="0.3">
      <c r="B7" s="527" t="s">
        <v>2202</v>
      </c>
      <c r="C7" s="528"/>
      <c r="D7" s="528"/>
      <c r="E7" s="262">
        <v>3416.931</v>
      </c>
    </row>
    <row r="8" spans="2:15" x14ac:dyDescent="0.3">
      <c r="B8" s="527" t="s">
        <v>2201</v>
      </c>
      <c r="C8" s="528"/>
      <c r="D8" s="528"/>
      <c r="E8" s="262">
        <v>3199.9119999999998</v>
      </c>
    </row>
    <row r="9" spans="2:15" x14ac:dyDescent="0.3">
      <c r="B9" s="220" t="s">
        <v>2204</v>
      </c>
      <c r="C9" s="5"/>
      <c r="D9" s="5"/>
      <c r="E9" s="5"/>
    </row>
    <row r="10" spans="2:15" hidden="1" x14ac:dyDescent="0.3">
      <c r="B10" s="854" t="s">
        <v>2210</v>
      </c>
      <c r="C10" s="5"/>
      <c r="D10" s="5"/>
      <c r="E10" s="5"/>
    </row>
    <row r="11" spans="2:15" x14ac:dyDescent="0.3">
      <c r="B11" s="220" t="s">
        <v>2209</v>
      </c>
      <c r="C11" s="5"/>
      <c r="D11" s="5"/>
      <c r="E11" s="5"/>
    </row>
    <row r="12" spans="2:15" x14ac:dyDescent="0.3">
      <c r="C12" s="5"/>
      <c r="D12" s="5"/>
      <c r="E12" s="5"/>
    </row>
    <row r="13" spans="2:15" x14ac:dyDescent="0.3">
      <c r="C13" s="756" t="s">
        <v>684</v>
      </c>
      <c r="D13" s="757"/>
      <c r="E13" s="757"/>
      <c r="F13" s="380"/>
      <c r="G13" s="380"/>
      <c r="H13" s="530"/>
      <c r="J13" s="756" t="s">
        <v>685</v>
      </c>
      <c r="K13" s="229"/>
      <c r="L13" s="229"/>
      <c r="M13" s="229"/>
      <c r="N13" s="187"/>
    </row>
    <row r="14" spans="2:15" ht="43.2" x14ac:dyDescent="0.3">
      <c r="C14" s="151" t="s">
        <v>686</v>
      </c>
      <c r="D14" s="151" t="s">
        <v>591</v>
      </c>
      <c r="E14" s="151" t="s">
        <v>592</v>
      </c>
      <c r="F14" s="211" t="s">
        <v>593</v>
      </c>
      <c r="G14" s="151" t="s">
        <v>594</v>
      </c>
      <c r="H14" s="151" t="s">
        <v>595</v>
      </c>
      <c r="J14" s="151" t="s">
        <v>591</v>
      </c>
      <c r="K14" s="151" t="s">
        <v>592</v>
      </c>
      <c r="L14" s="211" t="s">
        <v>593</v>
      </c>
      <c r="M14" s="151" t="s">
        <v>594</v>
      </c>
      <c r="N14" s="151" t="s">
        <v>595</v>
      </c>
    </row>
    <row r="15" spans="2:15" x14ac:dyDescent="0.3">
      <c r="B15" s="527" t="s">
        <v>2200</v>
      </c>
      <c r="C15" s="116" t="e">
        <f>($C6*'Financial impact (cash)'!D$13)+(Events!$D6*'Financial impact (cash)'!#REF!)</f>
        <v>#REF!</v>
      </c>
      <c r="D15" s="116" t="e">
        <f>($C6*'Financial impact (cash)'!E$13)+(Events!$D6*'Financial impact (cash)'!#REF!)</f>
        <v>#REF!</v>
      </c>
      <c r="E15" s="116" t="e">
        <f>($C6*'Financial impact (cash)'!F$13)+(Events!$D6*'Financial impact (cash)'!#REF!)</f>
        <v>#REF!</v>
      </c>
      <c r="F15" s="116" t="e">
        <f>($C6*'Financial impact (cash)'!G$13)+(Events!$D6*'Financial impact (cash)'!#REF!)</f>
        <v>#REF!</v>
      </c>
      <c r="G15" s="116" t="e">
        <f>($C6*'Financial impact (cash)'!H$13)+(Events!$D6*'Financial impact (cash)'!#REF!)</f>
        <v>#REF!</v>
      </c>
      <c r="H15" s="116" t="e">
        <f>($C6*'Financial impact (cash)'!I$13)+(Events!$D6*'Financial impact (cash)'!#REF!)</f>
        <v>#REF!</v>
      </c>
      <c r="J15" s="116" t="e">
        <f>D15-$C15</f>
        <v>#REF!</v>
      </c>
      <c r="K15" s="116" t="e">
        <f>E15-$C15</f>
        <v>#REF!</v>
      </c>
      <c r="L15" s="116" t="e">
        <f t="shared" ref="L15:N15" si="0">F15-$C15</f>
        <v>#REF!</v>
      </c>
      <c r="M15" s="116" t="e">
        <f t="shared" si="0"/>
        <v>#REF!</v>
      </c>
      <c r="N15" s="116" t="e">
        <f t="shared" si="0"/>
        <v>#REF!</v>
      </c>
    </row>
    <row r="16" spans="2:15" x14ac:dyDescent="0.3">
      <c r="B16" s="527" t="s">
        <v>2202</v>
      </c>
      <c r="C16" s="116" t="e">
        <f>($C7*'Financial impact (cash)'!D$13)+(Events!$D7*'Financial impact (cash)'!#REF!)</f>
        <v>#REF!</v>
      </c>
      <c r="D16" s="116" t="e">
        <f>($C7*'Financial impact (cash)'!E$13)+(Events!$D7*'Financial impact (cash)'!#REF!)</f>
        <v>#REF!</v>
      </c>
      <c r="E16" s="116" t="e">
        <f>($C7*'Financial impact (cash)'!F$13)+(Events!$D7*'Financial impact (cash)'!#REF!)</f>
        <v>#REF!</v>
      </c>
      <c r="F16" s="116" t="e">
        <f>($C7*'Financial impact (cash)'!G$13)+(Events!$D7*'Financial impact (cash)'!#REF!)</f>
        <v>#REF!</v>
      </c>
      <c r="G16" s="116" t="e">
        <f>($C7*'Financial impact (cash)'!H$13)+(Events!$D7*'Financial impact (cash)'!#REF!)</f>
        <v>#REF!</v>
      </c>
      <c r="H16" s="116" t="e">
        <f>($C7*'Financial impact (cash)'!I$13)+(Events!$D7*'Financial impact (cash)'!#REF!)</f>
        <v>#REF!</v>
      </c>
      <c r="J16" s="116" t="e">
        <f t="shared" ref="J16:J17" si="1">D16-$C16</f>
        <v>#REF!</v>
      </c>
      <c r="K16" s="116" t="e">
        <f t="shared" ref="K16:K17" si="2">E16-$C16</f>
        <v>#REF!</v>
      </c>
      <c r="L16" s="116" t="e">
        <f t="shared" ref="L16:L17" si="3">F16-$C16</f>
        <v>#REF!</v>
      </c>
      <c r="M16" s="116" t="e">
        <f t="shared" ref="M16:M17" si="4">G16-$C16</f>
        <v>#REF!</v>
      </c>
      <c r="N16" s="116" t="e">
        <f t="shared" ref="N16:N17" si="5">H16-$C16</f>
        <v>#REF!</v>
      </c>
    </row>
    <row r="17" spans="2:14" x14ac:dyDescent="0.3">
      <c r="B17" s="527" t="s">
        <v>2201</v>
      </c>
      <c r="C17" s="116" t="e">
        <f>($C8*'Financial impact (cash)'!D$13)+(Events!$D8*'Financial impact (cash)'!#REF!)</f>
        <v>#REF!</v>
      </c>
      <c r="D17" s="116" t="e">
        <f>($C8*'Financial impact (cash)'!E$13)+(Events!$D8*'Financial impact (cash)'!#REF!)</f>
        <v>#REF!</v>
      </c>
      <c r="E17" s="116" t="e">
        <f>($C8*'Financial impact (cash)'!F$13)+(Events!$D8*'Financial impact (cash)'!#REF!)</f>
        <v>#REF!</v>
      </c>
      <c r="F17" s="116" t="e">
        <f>($C8*'Financial impact (cash)'!G$13)+(Events!$D8*'Financial impact (cash)'!#REF!)</f>
        <v>#REF!</v>
      </c>
      <c r="G17" s="116" t="e">
        <f>($C8*'Financial impact (cash)'!H$13)+(Events!$D8*'Financial impact (cash)'!#REF!)</f>
        <v>#REF!</v>
      </c>
      <c r="H17" s="116" t="e">
        <f>($C8*'Financial impact (cash)'!I$13)+(Events!$D8*'Financial impact (cash)'!#REF!)</f>
        <v>#REF!</v>
      </c>
      <c r="J17" s="116" t="e">
        <f t="shared" si="1"/>
        <v>#REF!</v>
      </c>
      <c r="K17" s="116" t="e">
        <f t="shared" si="2"/>
        <v>#REF!</v>
      </c>
      <c r="L17" s="116" t="e">
        <f t="shared" si="3"/>
        <v>#REF!</v>
      </c>
      <c r="M17" s="116" t="e">
        <f t="shared" si="4"/>
        <v>#REF!</v>
      </c>
      <c r="N17" s="116" t="e">
        <f t="shared" si="5"/>
        <v>#REF!</v>
      </c>
    </row>
    <row r="18" spans="2:14" s="136" customFormat="1" x14ac:dyDescent="0.3">
      <c r="B18" s="771"/>
      <c r="C18" s="162" t="e">
        <f t="shared" ref="C18:H18" si="6">SUM(C15:C17)</f>
        <v>#REF!</v>
      </c>
      <c r="D18" s="162" t="e">
        <f t="shared" si="6"/>
        <v>#REF!</v>
      </c>
      <c r="E18" s="162" t="e">
        <f t="shared" si="6"/>
        <v>#REF!</v>
      </c>
      <c r="F18" s="162" t="e">
        <f t="shared" si="6"/>
        <v>#REF!</v>
      </c>
      <c r="G18" s="162" t="e">
        <f t="shared" si="6"/>
        <v>#REF!</v>
      </c>
      <c r="H18" s="162" t="e">
        <f t="shared" si="6"/>
        <v>#REF!</v>
      </c>
      <c r="J18" s="162" t="e">
        <f>SUM(J15:J17)</f>
        <v>#REF!</v>
      </c>
      <c r="K18" s="162" t="e">
        <f>SUM(K15:K17)</f>
        <v>#REF!</v>
      </c>
      <c r="L18" s="162" t="e">
        <f>SUM(L15:L17)</f>
        <v>#REF!</v>
      </c>
      <c r="M18" s="162" t="e">
        <f>SUM(M15:M17)</f>
        <v>#REF!</v>
      </c>
      <c r="N18" s="162" t="e">
        <f>SUM(N15:N17)</f>
        <v>#REF!</v>
      </c>
    </row>
    <row r="19" spans="2:14" x14ac:dyDescent="0.3">
      <c r="J19" s="721"/>
    </row>
    <row r="20" spans="2:14" x14ac:dyDescent="0.3">
      <c r="C20" s="756" t="s">
        <v>687</v>
      </c>
      <c r="D20" s="757"/>
      <c r="E20" s="757"/>
      <c r="F20" s="380"/>
      <c r="G20" s="380"/>
      <c r="H20" s="530"/>
      <c r="J20" s="756" t="s">
        <v>688</v>
      </c>
      <c r="K20" s="229"/>
      <c r="L20" s="229"/>
      <c r="M20" s="229"/>
      <c r="N20" s="187"/>
    </row>
    <row r="21" spans="2:14" ht="43.2" x14ac:dyDescent="0.3">
      <c r="C21" s="151" t="s">
        <v>686</v>
      </c>
      <c r="D21" s="151" t="s">
        <v>591</v>
      </c>
      <c r="E21" s="151" t="s">
        <v>592</v>
      </c>
      <c r="F21" s="211" t="s">
        <v>593</v>
      </c>
      <c r="G21" s="151" t="s">
        <v>594</v>
      </c>
      <c r="H21" s="151" t="s">
        <v>595</v>
      </c>
      <c r="J21" s="151" t="s">
        <v>591</v>
      </c>
      <c r="K21" s="151" t="s">
        <v>592</v>
      </c>
      <c r="L21" s="211" t="s">
        <v>593</v>
      </c>
      <c r="M21" s="151" t="s">
        <v>594</v>
      </c>
      <c r="N21" s="151" t="s">
        <v>595</v>
      </c>
    </row>
    <row r="22" spans="2:14" x14ac:dyDescent="0.3">
      <c r="B22" s="527" t="s">
        <v>2200</v>
      </c>
      <c r="C22" s="262" t="e">
        <f t="shared" ref="C22:H24" si="7">C15*$E6/1000</f>
        <v>#REF!</v>
      </c>
      <c r="D22" s="262" t="e">
        <f t="shared" si="7"/>
        <v>#REF!</v>
      </c>
      <c r="E22" s="262" t="e">
        <f t="shared" si="7"/>
        <v>#REF!</v>
      </c>
      <c r="F22" s="262" t="e">
        <f t="shared" si="7"/>
        <v>#REF!</v>
      </c>
      <c r="G22" s="262" t="e">
        <f t="shared" si="7"/>
        <v>#REF!</v>
      </c>
      <c r="H22" s="262" t="e">
        <f t="shared" si="7"/>
        <v>#REF!</v>
      </c>
      <c r="J22" s="262" t="e">
        <f>D22-$C22</f>
        <v>#REF!</v>
      </c>
      <c r="K22" s="262" t="e">
        <f>E22-$C22</f>
        <v>#REF!</v>
      </c>
      <c r="L22" s="262" t="e">
        <f>F22-$C22</f>
        <v>#REF!</v>
      </c>
      <c r="M22" s="262" t="e">
        <f>G22-$C22</f>
        <v>#REF!</v>
      </c>
      <c r="N22" s="262" t="e">
        <f>H22-$C22</f>
        <v>#REF!</v>
      </c>
    </row>
    <row r="23" spans="2:14" x14ac:dyDescent="0.3">
      <c r="B23" s="527" t="s">
        <v>2202</v>
      </c>
      <c r="C23" s="262" t="e">
        <f t="shared" si="7"/>
        <v>#REF!</v>
      </c>
      <c r="D23" s="262" t="e">
        <f t="shared" si="7"/>
        <v>#REF!</v>
      </c>
      <c r="E23" s="262" t="e">
        <f t="shared" si="7"/>
        <v>#REF!</v>
      </c>
      <c r="F23" s="262" t="e">
        <f t="shared" si="7"/>
        <v>#REF!</v>
      </c>
      <c r="G23" s="262" t="e">
        <f t="shared" si="7"/>
        <v>#REF!</v>
      </c>
      <c r="H23" s="262" t="e">
        <f t="shared" si="7"/>
        <v>#REF!</v>
      </c>
      <c r="J23" s="262" t="e">
        <f t="shared" ref="J23:J24" si="8">D23-$C23</f>
        <v>#REF!</v>
      </c>
      <c r="K23" s="262" t="e">
        <f t="shared" ref="K23:K24" si="9">E23-$C23</f>
        <v>#REF!</v>
      </c>
      <c r="L23" s="262" t="e">
        <f t="shared" ref="L23:L24" si="10">F23-$C23</f>
        <v>#REF!</v>
      </c>
      <c r="M23" s="262" t="e">
        <f t="shared" ref="M23:M24" si="11">G23-$C23</f>
        <v>#REF!</v>
      </c>
      <c r="N23" s="262" t="e">
        <f t="shared" ref="N23:N24" si="12">H23-$C23</f>
        <v>#REF!</v>
      </c>
    </row>
    <row r="24" spans="2:14" x14ac:dyDescent="0.3">
      <c r="B24" s="527" t="s">
        <v>2201</v>
      </c>
      <c r="C24" s="262" t="e">
        <f t="shared" si="7"/>
        <v>#REF!</v>
      </c>
      <c r="D24" s="262" t="e">
        <f t="shared" si="7"/>
        <v>#REF!</v>
      </c>
      <c r="E24" s="262" t="e">
        <f t="shared" si="7"/>
        <v>#REF!</v>
      </c>
      <c r="F24" s="262" t="e">
        <f t="shared" si="7"/>
        <v>#REF!</v>
      </c>
      <c r="G24" s="262" t="e">
        <f t="shared" si="7"/>
        <v>#REF!</v>
      </c>
      <c r="H24" s="262" t="e">
        <f t="shared" si="7"/>
        <v>#REF!</v>
      </c>
      <c r="J24" s="262" t="e">
        <f t="shared" si="8"/>
        <v>#REF!</v>
      </c>
      <c r="K24" s="262" t="e">
        <f t="shared" si="9"/>
        <v>#REF!</v>
      </c>
      <c r="L24" s="262" t="e">
        <f t="shared" si="10"/>
        <v>#REF!</v>
      </c>
      <c r="M24" s="262" t="e">
        <f t="shared" si="11"/>
        <v>#REF!</v>
      </c>
      <c r="N24" s="262" t="e">
        <f t="shared" si="12"/>
        <v>#REF!</v>
      </c>
    </row>
    <row r="25" spans="2:14" x14ac:dyDescent="0.3">
      <c r="C25" s="263" t="e">
        <f t="shared" ref="C25:H25" si="13">SUM(C22:C24)</f>
        <v>#REF!</v>
      </c>
      <c r="D25" s="263" t="e">
        <f t="shared" si="13"/>
        <v>#REF!</v>
      </c>
      <c r="E25" s="263" t="e">
        <f t="shared" si="13"/>
        <v>#REF!</v>
      </c>
      <c r="F25" s="263" t="e">
        <f t="shared" si="13"/>
        <v>#REF!</v>
      </c>
      <c r="G25" s="263" t="e">
        <f t="shared" si="13"/>
        <v>#REF!</v>
      </c>
      <c r="H25" s="263" t="e">
        <f t="shared" si="13"/>
        <v>#REF!</v>
      </c>
      <c r="J25" s="263" t="e">
        <f>SUM(J22:J24)</f>
        <v>#REF!</v>
      </c>
      <c r="K25" s="263" t="e">
        <f>SUM(K22:K24)</f>
        <v>#REF!</v>
      </c>
      <c r="L25" s="263" t="e">
        <f>SUM(L22:L24)</f>
        <v>#REF!</v>
      </c>
      <c r="M25" s="263" t="e">
        <f>SUM(M22:M24)</f>
        <v>#REF!</v>
      </c>
      <c r="N25" s="263" t="e">
        <f>SUM(N22:N24)</f>
        <v>#REF!</v>
      </c>
    </row>
  </sheetData>
  <protectedRanges>
    <protectedRange sqref="B15:B18 B22:B24 B6:D8"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57"/>
  <sheetViews>
    <sheetView showGridLines="0" zoomScale="70" zoomScaleNormal="70" workbookViewId="0">
      <selection activeCell="B30" sqref="B30"/>
    </sheetView>
  </sheetViews>
  <sheetFormatPr defaultColWidth="9.21875" defaultRowHeight="13.2" x14ac:dyDescent="0.25"/>
  <cols>
    <col min="1" max="1" width="3.5546875" style="3" customWidth="1"/>
    <col min="2" max="2" width="30.21875" style="3" customWidth="1"/>
    <col min="3" max="3" width="29.77734375" style="3" bestFit="1" customWidth="1"/>
    <col min="4" max="4" width="17.77734375" style="3" customWidth="1"/>
    <col min="5" max="5" width="11.44140625" style="3" customWidth="1"/>
    <col min="6" max="6" width="10.77734375" style="3" customWidth="1"/>
    <col min="7" max="7" width="10.44140625" style="3" bestFit="1" customWidth="1"/>
    <col min="8" max="8" width="12.21875" style="3" customWidth="1"/>
    <col min="9" max="9" width="11.21875" style="3" customWidth="1"/>
    <col min="10" max="10" width="15.5546875" style="3" customWidth="1"/>
    <col min="11" max="12" width="10.5546875" style="3" customWidth="1"/>
    <col min="13" max="13" width="12.5546875" style="3" customWidth="1"/>
    <col min="14" max="16" width="12.44140625" style="3" customWidth="1"/>
    <col min="17" max="18" width="12.21875" style="3" customWidth="1"/>
    <col min="19" max="19" width="3.77734375" style="3" customWidth="1"/>
    <col min="20" max="20" width="9.44140625" style="3" customWidth="1"/>
    <col min="21" max="16384" width="9.21875" style="3"/>
  </cols>
  <sheetData>
    <row r="1" spans="1:19" ht="30" customHeight="1" x14ac:dyDescent="0.4">
      <c r="A1" s="172"/>
      <c r="B1" s="447" t="str">
        <f>'Inputs and population'!B1</f>
        <v>Benralizumab for treating relapsing or refractory eosinophilic granulomatosis with polyangiitis</v>
      </c>
      <c r="C1" s="135"/>
      <c r="D1" s="119"/>
      <c r="E1" s="119"/>
      <c r="F1" s="119"/>
      <c r="G1" s="119"/>
      <c r="H1" s="119"/>
      <c r="I1" s="119"/>
      <c r="J1" s="119" t="s">
        <v>599</v>
      </c>
      <c r="K1" s="119" t="s">
        <v>599</v>
      </c>
      <c r="L1" s="119" t="s">
        <v>599</v>
      </c>
      <c r="M1" s="119" t="s">
        <v>599</v>
      </c>
      <c r="N1" s="140"/>
      <c r="O1" s="140"/>
      <c r="P1" s="140"/>
      <c r="Q1" s="172"/>
      <c r="R1" s="172"/>
      <c r="S1" s="172"/>
    </row>
    <row r="2" spans="1:19" ht="26.25" customHeight="1" x14ac:dyDescent="0.4">
      <c r="A2" s="172"/>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2"/>
      <c r="R2" s="172"/>
      <c r="S2" s="172"/>
    </row>
    <row r="3" spans="1:19" ht="14.55" customHeight="1" x14ac:dyDescent="0.4">
      <c r="A3" s="172"/>
      <c r="B3" s="117"/>
      <c r="C3" s="135"/>
      <c r="D3" s="119"/>
      <c r="E3" s="119"/>
      <c r="F3" s="119"/>
      <c r="G3" s="119" t="s">
        <v>599</v>
      </c>
      <c r="H3" s="119" t="s">
        <v>599</v>
      </c>
      <c r="I3" s="119" t="s">
        <v>599</v>
      </c>
      <c r="J3" s="119" t="s">
        <v>599</v>
      </c>
      <c r="K3" s="120" t="s">
        <v>599</v>
      </c>
      <c r="L3" s="120"/>
      <c r="M3" s="120"/>
      <c r="N3" s="120"/>
      <c r="O3" s="120"/>
      <c r="P3" s="120"/>
      <c r="Q3" s="172"/>
      <c r="R3" s="172"/>
      <c r="S3" s="172"/>
    </row>
    <row r="4" spans="1:19" ht="14.55" customHeight="1" x14ac:dyDescent="0.4">
      <c r="A4" s="172"/>
      <c r="B4" t="s">
        <v>689</v>
      </c>
      <c r="C4" s="135"/>
      <c r="D4" s="119"/>
      <c r="E4" s="119"/>
      <c r="F4" s="119"/>
      <c r="G4" s="119" t="s">
        <v>599</v>
      </c>
      <c r="H4" s="119" t="s">
        <v>599</v>
      </c>
      <c r="I4" s="119" t="s">
        <v>599</v>
      </c>
      <c r="J4" s="119" t="s">
        <v>599</v>
      </c>
      <c r="K4" s="120" t="s">
        <v>599</v>
      </c>
      <c r="L4" s="119"/>
      <c r="M4" s="120"/>
      <c r="N4" s="120"/>
      <c r="O4" s="120"/>
      <c r="P4" s="120"/>
      <c r="Q4" s="120"/>
      <c r="R4" s="120"/>
      <c r="S4" s="120"/>
    </row>
    <row r="5" spans="1:19" ht="14.55" customHeight="1" x14ac:dyDescent="0.4">
      <c r="A5" s="172"/>
      <c r="B5" t="s">
        <v>581</v>
      </c>
      <c r="C5" s="135"/>
      <c r="D5" s="119"/>
      <c r="E5" s="119"/>
      <c r="F5" s="119"/>
      <c r="G5" s="119"/>
      <c r="H5" s="119" t="s">
        <v>599</v>
      </c>
      <c r="I5" s="119" t="s">
        <v>599</v>
      </c>
      <c r="J5" s="119" t="s">
        <v>599</v>
      </c>
      <c r="K5" s="120" t="s">
        <v>599</v>
      </c>
      <c r="L5" s="119"/>
      <c r="M5" s="120"/>
      <c r="N5" s="120"/>
      <c r="O5" s="120"/>
      <c r="P5" s="120"/>
      <c r="Q5" s="120"/>
      <c r="R5" s="120"/>
      <c r="S5" s="120"/>
    </row>
    <row r="6" spans="1:19" ht="14.55" customHeight="1" x14ac:dyDescent="0.4">
      <c r="A6" s="172"/>
      <c r="B6"/>
      <c r="C6" s="135"/>
      <c r="D6" s="119"/>
      <c r="E6" s="119"/>
      <c r="F6" s="119"/>
      <c r="G6" s="119"/>
      <c r="H6" s="119"/>
      <c r="I6" s="119"/>
      <c r="J6" s="119"/>
      <c r="K6" s="120"/>
      <c r="L6" s="119"/>
      <c r="M6" s="120"/>
      <c r="N6" s="120"/>
      <c r="O6" s="120"/>
      <c r="P6" s="120"/>
      <c r="Q6" s="120"/>
      <c r="R6" s="120"/>
      <c r="S6" s="120"/>
    </row>
    <row r="7" spans="1:19" ht="14.55" customHeight="1" x14ac:dyDescent="0.4">
      <c r="A7" s="172"/>
      <c r="B7" s="136" t="s">
        <v>690</v>
      </c>
      <c r="C7" s="135"/>
      <c r="D7" s="119"/>
      <c r="E7" s="119"/>
      <c r="F7" s="119"/>
      <c r="G7" s="119"/>
      <c r="H7" s="119"/>
      <c r="I7" s="119"/>
      <c r="J7" s="119"/>
      <c r="K7" s="120"/>
      <c r="L7" s="119"/>
      <c r="M7" s="120"/>
      <c r="N7" s="120"/>
      <c r="O7" s="120"/>
      <c r="P7" s="120"/>
      <c r="Q7" s="120"/>
      <c r="R7" s="120"/>
      <c r="S7" s="120"/>
    </row>
    <row r="8" spans="1:19" ht="45" customHeight="1" x14ac:dyDescent="0.3">
      <c r="A8" s="172"/>
      <c r="B8" s="687"/>
      <c r="C8" s="688"/>
      <c r="D8" s="659" t="s">
        <v>2177</v>
      </c>
      <c r="E8" s="119"/>
      <c r="F8" s="119"/>
      <c r="G8" s="119"/>
      <c r="H8" s="119"/>
      <c r="I8" s="119"/>
      <c r="J8" s="119"/>
      <c r="K8" s="120"/>
      <c r="L8" s="119"/>
      <c r="M8" s="120"/>
      <c r="N8" s="120"/>
      <c r="O8" s="120"/>
      <c r="P8" s="120"/>
      <c r="Q8" s="120"/>
      <c r="R8" s="120"/>
      <c r="S8" s="120"/>
    </row>
    <row r="9" spans="1:19" ht="48" customHeight="1" x14ac:dyDescent="0.3">
      <c r="A9" s="172"/>
      <c r="B9" s="656" t="s">
        <v>691</v>
      </c>
      <c r="C9" s="657"/>
      <c r="D9" s="659" t="s">
        <v>692</v>
      </c>
      <c r="E9" s="119"/>
      <c r="F9" s="119"/>
      <c r="G9" s="119"/>
      <c r="H9" s="119"/>
      <c r="I9" s="119"/>
      <c r="J9" s="119"/>
      <c r="K9" s="120"/>
      <c r="L9" s="119"/>
      <c r="M9" s="120"/>
      <c r="N9" s="120"/>
      <c r="O9" s="120"/>
      <c r="P9" s="120"/>
      <c r="Q9" s="120"/>
      <c r="R9" s="120"/>
      <c r="S9" s="120"/>
    </row>
    <row r="10" spans="1:19" ht="14.55" customHeight="1" x14ac:dyDescent="0.3">
      <c r="A10" s="172"/>
      <c r="B10" s="653" t="s">
        <v>693</v>
      </c>
      <c r="C10" s="652"/>
      <c r="D10" s="654">
        <f>((K22*L22*'Inputs and population'!G52)/G22)*((100%+Q22)*P22)</f>
        <v>0</v>
      </c>
      <c r="E10" s="119"/>
      <c r="F10" s="119"/>
      <c r="G10" s="119"/>
      <c r="H10" s="119"/>
      <c r="I10" s="119"/>
      <c r="J10" s="119"/>
      <c r="K10" s="120"/>
      <c r="L10" s="119"/>
      <c r="M10" s="120"/>
      <c r="N10" s="120"/>
      <c r="O10" s="120"/>
      <c r="P10" s="120"/>
      <c r="Q10" s="120"/>
      <c r="R10" s="120"/>
      <c r="S10" s="120"/>
    </row>
    <row r="11" spans="1:19" ht="14.55" customHeight="1" x14ac:dyDescent="0.3">
      <c r="A11" s="172"/>
      <c r="B11" s="653" t="s">
        <v>472</v>
      </c>
      <c r="C11" s="652"/>
      <c r="D11" s="654">
        <f>((K22*L22*'Inputs and population'!H52)/G22)*((100%+Q22)*P22)</f>
        <v>0</v>
      </c>
      <c r="E11" s="119"/>
      <c r="F11" s="119"/>
      <c r="G11" s="119"/>
      <c r="H11" s="119"/>
      <c r="I11" s="119"/>
      <c r="J11" s="119"/>
      <c r="K11" s="120"/>
      <c r="L11" s="119"/>
      <c r="M11" s="120"/>
      <c r="N11" s="120"/>
      <c r="O11" s="120"/>
      <c r="P11" s="120"/>
      <c r="Q11" s="120"/>
      <c r="R11" s="120"/>
      <c r="S11" s="120"/>
    </row>
    <row r="12" spans="1:19" ht="14.55" customHeight="1" x14ac:dyDescent="0.3">
      <c r="A12" s="172"/>
      <c r="B12" s="653" t="s">
        <v>473</v>
      </c>
      <c r="C12" s="652"/>
      <c r="D12" s="654">
        <f>((K22*L22*'Inputs and population'!I52)/G22)*((100%+Q22)*P22)</f>
        <v>0</v>
      </c>
      <c r="E12" s="119"/>
      <c r="F12" s="119"/>
      <c r="G12" s="119"/>
      <c r="H12" s="119"/>
      <c r="I12" s="119"/>
      <c r="J12" s="119"/>
      <c r="K12" s="120"/>
      <c r="L12" s="119"/>
      <c r="M12" s="120"/>
      <c r="N12" s="120"/>
      <c r="O12" s="120"/>
      <c r="P12" s="120"/>
      <c r="Q12" s="120"/>
      <c r="R12" s="120"/>
      <c r="S12" s="120"/>
    </row>
    <row r="13" spans="1:19" ht="14.55" customHeight="1" x14ac:dyDescent="0.3">
      <c r="A13" s="172"/>
      <c r="B13" s="653" t="s">
        <v>474</v>
      </c>
      <c r="C13" s="652"/>
      <c r="D13" s="654">
        <f>((K22*L22*'Inputs and population'!J52)/G22)*((100%+Q22)*P22)</f>
        <v>0</v>
      </c>
      <c r="E13" s="119"/>
      <c r="F13" s="119"/>
      <c r="G13" s="119"/>
      <c r="H13" s="119"/>
      <c r="I13" s="119"/>
      <c r="J13" s="119"/>
      <c r="K13" s="120"/>
      <c r="L13" s="119"/>
      <c r="M13" s="120"/>
      <c r="N13" s="120"/>
      <c r="O13" s="120"/>
      <c r="P13" s="120"/>
      <c r="Q13" s="120"/>
      <c r="R13" s="120"/>
      <c r="S13" s="120"/>
    </row>
    <row r="14" spans="1:19" ht="14.55" customHeight="1" x14ac:dyDescent="0.3">
      <c r="A14" s="172"/>
      <c r="B14" s="653" t="s">
        <v>475</v>
      </c>
      <c r="C14" s="652"/>
      <c r="D14" s="654">
        <f>((K22*L22*'Inputs and population'!K52)/G22)*((100%+Q22)*P22)</f>
        <v>0</v>
      </c>
      <c r="E14" s="119"/>
      <c r="F14" s="119"/>
      <c r="G14" s="119"/>
      <c r="H14" s="119"/>
      <c r="I14" s="119"/>
      <c r="J14" s="119"/>
      <c r="K14" s="120"/>
      <c r="L14" s="119"/>
      <c r="M14" s="120"/>
      <c r="N14" s="120"/>
      <c r="O14" s="120"/>
      <c r="P14" s="120"/>
      <c r="Q14" s="120"/>
      <c r="R14" s="120"/>
      <c r="S14" s="120"/>
    </row>
    <row r="15" spans="1:19" ht="14.55" customHeight="1" x14ac:dyDescent="0.3">
      <c r="A15" s="172"/>
      <c r="B15" s="651" t="s">
        <v>2203</v>
      </c>
      <c r="C15" s="119"/>
      <c r="D15" s="119"/>
      <c r="E15" s="119"/>
      <c r="F15" s="119"/>
      <c r="G15" s="119"/>
      <c r="H15" s="119"/>
      <c r="I15" s="119"/>
      <c r="J15" s="119"/>
      <c r="K15" s="120"/>
      <c r="L15" s="119"/>
      <c r="M15" s="120"/>
      <c r="N15" s="120"/>
      <c r="O15" s="120"/>
      <c r="P15" s="120"/>
      <c r="Q15" s="120"/>
      <c r="R15" s="120"/>
      <c r="S15" s="120"/>
    </row>
    <row r="16" spans="1:19" ht="14.55" customHeight="1" x14ac:dyDescent="0.4">
      <c r="A16" s="172"/>
      <c r="B16" s="135"/>
      <c r="C16" s="135"/>
      <c r="D16" s="119"/>
      <c r="E16" s="119"/>
      <c r="F16" s="119"/>
      <c r="G16" s="119"/>
      <c r="H16" s="119"/>
      <c r="I16" s="119"/>
      <c r="J16" s="119"/>
      <c r="K16" s="120"/>
      <c r="L16" s="119"/>
      <c r="M16" s="120"/>
      <c r="N16" s="120"/>
      <c r="O16" s="120"/>
      <c r="P16" s="120"/>
      <c r="Q16" s="120"/>
      <c r="R16" s="120"/>
      <c r="S16" s="120"/>
    </row>
    <row r="17" spans="1:22" ht="14.55" customHeight="1" x14ac:dyDescent="0.4">
      <c r="A17" s="172"/>
      <c r="B17" s="651"/>
      <c r="C17" s="135"/>
      <c r="D17" s="119"/>
      <c r="E17" s="119"/>
      <c r="F17" s="119"/>
      <c r="G17" s="119"/>
      <c r="H17" s="119"/>
      <c r="I17" s="119"/>
      <c r="J17" s="119"/>
      <c r="K17" s="120"/>
      <c r="L17" s="119"/>
      <c r="M17" s="120"/>
      <c r="N17" s="120"/>
      <c r="O17" s="120"/>
      <c r="P17" s="120"/>
      <c r="Q17" s="120"/>
      <c r="R17" s="120"/>
      <c r="S17" s="120"/>
    </row>
    <row r="18" spans="1:22" ht="14.55" customHeight="1" x14ac:dyDescent="0.4">
      <c r="A18" s="172"/>
      <c r="B18" s="761" t="s">
        <v>2177</v>
      </c>
      <c r="C18" s="762"/>
      <c r="D18" s="658"/>
      <c r="E18" s="658"/>
      <c r="F18" s="658"/>
      <c r="G18" s="658"/>
      <c r="H18" s="658"/>
      <c r="I18" s="658"/>
      <c r="J18" s="658"/>
      <c r="K18" s="658"/>
      <c r="L18" s="658"/>
      <c r="M18" s="658"/>
      <c r="N18" s="658"/>
      <c r="O18" s="658"/>
      <c r="P18" s="658"/>
      <c r="Q18" s="658"/>
      <c r="R18" s="763"/>
      <c r="S18" s="120"/>
    </row>
    <row r="19" spans="1:22" ht="14.55" customHeight="1" x14ac:dyDescent="0.4">
      <c r="A19" s="172"/>
      <c r="B19" s="770" t="s">
        <v>694</v>
      </c>
      <c r="C19" s="767"/>
      <c r="D19" s="768"/>
      <c r="E19" s="768"/>
      <c r="F19" s="768"/>
      <c r="G19" s="768"/>
      <c r="H19" s="768"/>
      <c r="I19" s="768"/>
      <c r="J19" s="768"/>
      <c r="K19" s="768"/>
      <c r="L19" s="768"/>
      <c r="M19" s="768"/>
      <c r="N19" s="768"/>
      <c r="O19" s="768"/>
      <c r="P19" s="768"/>
      <c r="Q19" s="768"/>
      <c r="R19" s="769"/>
      <c r="S19" s="120"/>
    </row>
    <row r="20" spans="1:22" s="218" customFormat="1" ht="14.4" x14ac:dyDescent="0.3">
      <c r="A20" s="660"/>
      <c r="B20" s="220"/>
      <c r="C20" s="764" t="s">
        <v>611</v>
      </c>
      <c r="D20" s="765"/>
      <c r="E20" s="765"/>
      <c r="F20" s="765"/>
      <c r="G20" s="766"/>
      <c r="H20" s="764" t="s">
        <v>695</v>
      </c>
      <c r="I20" s="765"/>
      <c r="J20" s="765"/>
      <c r="K20" s="765"/>
      <c r="L20" s="765"/>
      <c r="M20" s="765"/>
      <c r="N20" s="765"/>
      <c r="O20" s="765"/>
      <c r="P20" s="765"/>
      <c r="Q20" s="765"/>
      <c r="R20" s="766"/>
      <c r="S20" s="120"/>
      <c r="V20" s="3"/>
    </row>
    <row r="21" spans="1:22" s="218" customFormat="1" ht="66" customHeight="1" x14ac:dyDescent="0.3">
      <c r="A21" s="220"/>
      <c r="B21" s="221" t="s">
        <v>696</v>
      </c>
      <c r="C21" s="222" t="s">
        <v>614</v>
      </c>
      <c r="D21" s="222" t="s">
        <v>615</v>
      </c>
      <c r="E21" s="222" t="s">
        <v>616</v>
      </c>
      <c r="F21" s="222" t="s">
        <v>617</v>
      </c>
      <c r="G21" s="222" t="s">
        <v>618</v>
      </c>
      <c r="H21" s="219" t="s">
        <v>697</v>
      </c>
      <c r="I21" s="222" t="s">
        <v>698</v>
      </c>
      <c r="J21" s="222" t="s">
        <v>699</v>
      </c>
      <c r="K21" s="222" t="s">
        <v>700</v>
      </c>
      <c r="L21" s="222" t="s">
        <v>701</v>
      </c>
      <c r="M21" s="222" t="s">
        <v>702</v>
      </c>
      <c r="N21" s="532" t="s">
        <v>703</v>
      </c>
      <c r="O21" s="532" t="s">
        <v>704</v>
      </c>
      <c r="P21" s="532" t="s">
        <v>705</v>
      </c>
      <c r="Q21" s="219" t="s">
        <v>706</v>
      </c>
      <c r="R21" s="222" t="s">
        <v>707</v>
      </c>
      <c r="S21" s="120"/>
      <c r="V21" s="3"/>
    </row>
    <row r="22" spans="1:22" s="218" customFormat="1" ht="14.4" x14ac:dyDescent="0.3">
      <c r="A22" s="220"/>
      <c r="B22" s="868" t="str">
        <f>'Inputs and population'!C56</f>
        <v>Benralizumab</v>
      </c>
      <c r="C22" s="869" t="str">
        <f>'Inputs and population'!D56</f>
        <v>Subcutaneous</v>
      </c>
      <c r="D22" s="869" t="str">
        <f>'Inputs and population'!E56</f>
        <v>Vial</v>
      </c>
      <c r="E22" s="870">
        <f>'Inputs and population'!F56</f>
        <v>30</v>
      </c>
      <c r="F22" s="870">
        <f>'Inputs and population'!G56</f>
        <v>1</v>
      </c>
      <c r="G22" s="870">
        <f>'Inputs and population'!H56</f>
        <v>30</v>
      </c>
      <c r="H22" s="870">
        <f>'Inputs and population'!I56</f>
        <v>30</v>
      </c>
      <c r="I22" s="871" t="s">
        <v>708</v>
      </c>
      <c r="J22" s="871" t="s">
        <v>708</v>
      </c>
      <c r="K22" s="870">
        <f>H22</f>
        <v>30</v>
      </c>
      <c r="L22" s="178">
        <f>'Inputs and population'!J56</f>
        <v>1</v>
      </c>
      <c r="M22" s="872">
        <f>'Inputs and population'!G52</f>
        <v>13.035714285714286</v>
      </c>
      <c r="N22" s="873">
        <f>M22*L22*K22</f>
        <v>391.07142857142861</v>
      </c>
      <c r="O22" s="872">
        <f>N22/G22</f>
        <v>13.035714285714286</v>
      </c>
      <c r="P22" s="874">
        <f>'Inputs and population'!K56</f>
        <v>0</v>
      </c>
      <c r="Q22" s="875">
        <f>'Inputs and population'!L56</f>
        <v>0</v>
      </c>
      <c r="R22" s="819">
        <f>O22*P22*(100%+Q22)</f>
        <v>0</v>
      </c>
      <c r="S22" s="120"/>
      <c r="V22" s="3"/>
    </row>
    <row r="23" spans="1:22" s="218" customFormat="1" ht="14.4" x14ac:dyDescent="0.3">
      <c r="A23" s="220"/>
      <c r="B23" s="868" t="s">
        <v>709</v>
      </c>
      <c r="C23" s="876"/>
      <c r="D23" s="876"/>
      <c r="E23" s="876"/>
      <c r="F23" s="876"/>
      <c r="G23" s="876"/>
      <c r="H23" s="876"/>
      <c r="I23" s="876"/>
      <c r="J23" s="876"/>
      <c r="K23" s="876"/>
      <c r="L23" s="876"/>
      <c r="M23" s="876"/>
      <c r="N23" s="876"/>
      <c r="O23" s="876"/>
      <c r="P23" s="876"/>
      <c r="Q23" s="877"/>
      <c r="R23" s="878">
        <f>SUM(R22:R22)</f>
        <v>0</v>
      </c>
      <c r="S23" s="120"/>
      <c r="V23" s="3"/>
    </row>
    <row r="24" spans="1:22" s="218" customFormat="1" ht="14.4" x14ac:dyDescent="0.3">
      <c r="A24" s="660"/>
      <c r="B24" s="220"/>
      <c r="C24" s="220"/>
      <c r="D24" s="220"/>
      <c r="E24" s="220"/>
      <c r="F24" s="220"/>
      <c r="G24" s="220"/>
      <c r="H24" s="220"/>
      <c r="I24" s="220"/>
      <c r="J24" s="220"/>
      <c r="K24" s="220"/>
      <c r="L24" s="220"/>
      <c r="M24" s="220"/>
      <c r="N24" s="220"/>
      <c r="O24" s="220"/>
      <c r="P24" s="220"/>
      <c r="Q24" s="220"/>
      <c r="R24" s="660"/>
      <c r="S24" s="220"/>
      <c r="V24" s="3"/>
    </row>
    <row r="25" spans="1:22" s="218" customFormat="1" ht="14.4" x14ac:dyDescent="0.3">
      <c r="A25" s="660"/>
      <c r="B25" s="216" t="s">
        <v>710</v>
      </c>
      <c r="C25" s="220"/>
      <c r="D25" s="158"/>
      <c r="E25" s="102"/>
      <c r="F25" s="159"/>
      <c r="G25" s="160"/>
      <c r="H25" s="5"/>
      <c r="I25" s="5"/>
      <c r="J25" s="161"/>
      <c r="K25" s="160"/>
      <c r="L25" s="160"/>
      <c r="M25" s="160"/>
      <c r="N25" s="160"/>
      <c r="O25" s="220"/>
      <c r="P25" s="220"/>
      <c r="Q25" s="220"/>
      <c r="R25" s="660"/>
      <c r="S25" s="220"/>
      <c r="V25" s="3"/>
    </row>
    <row r="26" spans="1:22" s="218" customFormat="1" ht="28.8" x14ac:dyDescent="0.3">
      <c r="A26" s="220"/>
      <c r="B26" s="219" t="s">
        <v>711</v>
      </c>
      <c r="C26" s="221" t="s">
        <v>712</v>
      </c>
      <c r="D26" s="223" t="s">
        <v>713</v>
      </c>
      <c r="E26" s="392"/>
      <c r="F26" s="393"/>
      <c r="G26" s="393"/>
      <c r="H26" s="393"/>
      <c r="I26" s="393"/>
      <c r="J26" s="394"/>
      <c r="K26" s="393"/>
      <c r="L26" s="394"/>
      <c r="M26" s="393"/>
      <c r="N26" s="393"/>
      <c r="O26" s="393"/>
      <c r="P26" s="222" t="s">
        <v>702</v>
      </c>
      <c r="Q26" s="219" t="s">
        <v>715</v>
      </c>
      <c r="R26" s="219" t="s">
        <v>707</v>
      </c>
      <c r="S26" s="220"/>
      <c r="V26" s="3"/>
    </row>
    <row r="27" spans="1:22" s="218" customFormat="1" ht="14.4" x14ac:dyDescent="0.3">
      <c r="A27" s="220"/>
      <c r="B27" s="531" t="s">
        <v>2177</v>
      </c>
      <c r="C27" s="684" t="s">
        <v>2156</v>
      </c>
      <c r="D27" s="519" t="s">
        <v>2155</v>
      </c>
      <c r="E27" s="520"/>
      <c r="F27" s="521"/>
      <c r="G27" s="522"/>
      <c r="H27" s="522"/>
      <c r="I27" s="522"/>
      <c r="J27" s="522"/>
      <c r="K27" s="522"/>
      <c r="L27" s="521"/>
      <c r="M27" s="521"/>
      <c r="N27" s="521"/>
      <c r="O27" s="521"/>
      <c r="P27" s="813">
        <v>12</v>
      </c>
      <c r="Q27" s="524">
        <v>50</v>
      </c>
      <c r="R27" s="524">
        <f>Q27*P27</f>
        <v>600</v>
      </c>
      <c r="S27" s="220"/>
      <c r="V27" s="3"/>
    </row>
    <row r="28" spans="1:22" s="218" customFormat="1" ht="14.4" x14ac:dyDescent="0.3">
      <c r="A28" s="220"/>
      <c r="B28" s="655" t="s">
        <v>678</v>
      </c>
      <c r="C28" s="220"/>
      <c r="D28" s="220"/>
      <c r="E28" s="220"/>
      <c r="F28" s="220"/>
      <c r="G28" s="220"/>
      <c r="H28" s="220"/>
      <c r="I28" s="220"/>
      <c r="J28" s="220"/>
      <c r="K28" s="220"/>
      <c r="L28" s="220"/>
      <c r="M28" s="220"/>
      <c r="N28" s="220"/>
      <c r="O28" s="220"/>
      <c r="P28" s="220"/>
      <c r="Q28" s="220"/>
      <c r="R28" s="220"/>
      <c r="S28" s="220"/>
      <c r="V28" s="3"/>
    </row>
    <row r="29" spans="1:22" s="218" customFormat="1" ht="14.4" x14ac:dyDescent="0.3">
      <c r="A29" s="220"/>
      <c r="B29" s="313" t="s">
        <v>2159</v>
      </c>
      <c r="C29" s="220"/>
      <c r="D29" s="220"/>
      <c r="E29" s="220"/>
      <c r="F29" s="220"/>
      <c r="G29" s="220"/>
      <c r="H29" s="220"/>
      <c r="I29" s="220"/>
      <c r="J29" s="220"/>
      <c r="K29" s="220"/>
      <c r="L29" s="220"/>
      <c r="M29" s="220"/>
      <c r="N29" s="220"/>
      <c r="O29" s="220"/>
      <c r="P29" s="220"/>
      <c r="Q29" s="220"/>
      <c r="R29" s="220"/>
      <c r="S29" s="529"/>
      <c r="V29" s="3"/>
    </row>
    <row r="30" spans="1:22" s="218" customFormat="1" ht="14.4" x14ac:dyDescent="0.3">
      <c r="A30" s="220"/>
      <c r="B30" s="814" t="s">
        <v>2182</v>
      </c>
      <c r="C30" s="220"/>
      <c r="D30" s="220"/>
      <c r="E30" s="220"/>
      <c r="F30" s="220"/>
      <c r="G30" s="220"/>
      <c r="H30" s="220"/>
      <c r="I30" s="220"/>
      <c r="J30" s="220"/>
      <c r="K30" s="220"/>
      <c r="L30" s="220"/>
      <c r="M30" s="220"/>
      <c r="N30" s="220"/>
      <c r="O30" s="220"/>
      <c r="P30" s="220"/>
      <c r="Q30" s="220"/>
      <c r="R30" s="220"/>
      <c r="S30" s="529"/>
      <c r="V30" s="3"/>
    </row>
    <row r="31" spans="1:22" s="218" customFormat="1" ht="14.4" x14ac:dyDescent="0.3">
      <c r="A31" s="220"/>
      <c r="B31" s="814" t="s">
        <v>2183</v>
      </c>
      <c r="C31" s="220"/>
      <c r="D31" s="220"/>
      <c r="E31" s="220"/>
      <c r="F31" s="220"/>
      <c r="G31" s="220"/>
      <c r="H31" s="220"/>
      <c r="I31" s="220"/>
      <c r="J31" s="220"/>
      <c r="K31" s="220"/>
      <c r="L31" s="220"/>
      <c r="M31" s="220"/>
      <c r="N31" s="220"/>
      <c r="O31" s="220"/>
      <c r="P31" s="220"/>
      <c r="Q31" s="220"/>
      <c r="R31" s="220"/>
      <c r="S31" s="529"/>
      <c r="V31" s="3"/>
    </row>
    <row r="32" spans="1:22" s="218" customFormat="1" ht="14.4" x14ac:dyDescent="0.3">
      <c r="A32" s="220"/>
      <c r="B32" s="814" t="s">
        <v>2181</v>
      </c>
      <c r="C32" s="220"/>
      <c r="D32" s="220"/>
      <c r="E32" s="220"/>
      <c r="F32" s="220"/>
      <c r="G32" s="220"/>
      <c r="H32" s="220"/>
      <c r="I32" s="220"/>
      <c r="J32" s="220"/>
      <c r="K32" s="220"/>
      <c r="L32" s="220"/>
      <c r="M32" s="220"/>
      <c r="N32" s="220"/>
      <c r="O32" s="220"/>
      <c r="P32" s="220"/>
      <c r="Q32" s="220"/>
      <c r="R32" s="220"/>
      <c r="S32" s="529"/>
      <c r="V32" s="3"/>
    </row>
    <row r="33" spans="1:22" s="218" customFormat="1" ht="14.4" x14ac:dyDescent="0.3">
      <c r="A33" s="220"/>
      <c r="B33" s="814"/>
      <c r="C33" s="220"/>
      <c r="D33" s="220"/>
      <c r="E33" s="220"/>
      <c r="F33" s="220"/>
      <c r="G33" s="220"/>
      <c r="H33" s="220"/>
      <c r="I33" s="220"/>
      <c r="J33" s="220"/>
      <c r="K33" s="220"/>
      <c r="L33" s="220"/>
      <c r="M33" s="220"/>
      <c r="N33" s="220"/>
      <c r="O33" s="220"/>
      <c r="P33" s="220"/>
      <c r="Q33" s="220"/>
      <c r="R33" s="220"/>
      <c r="S33" s="529"/>
      <c r="V33" s="3"/>
    </row>
    <row r="34" spans="1:22" s="218" customFormat="1" ht="14.4" x14ac:dyDescent="0.3">
      <c r="A34" s="220"/>
      <c r="B34" s="216" t="s">
        <v>2213</v>
      </c>
      <c r="C34" s="220"/>
      <c r="D34" s="220"/>
      <c r="E34" s="220"/>
      <c r="F34" s="220"/>
      <c r="G34" s="220"/>
      <c r="H34" s="220"/>
      <c r="I34" s="220"/>
      <c r="J34" s="220"/>
      <c r="K34" s="220"/>
      <c r="L34" s="220"/>
      <c r="M34" s="220"/>
      <c r="N34" s="220"/>
      <c r="O34" s="220"/>
      <c r="P34" s="220"/>
      <c r="Q34" s="220"/>
      <c r="R34" s="220"/>
      <c r="S34" s="529"/>
      <c r="V34" s="3"/>
    </row>
    <row r="35" spans="1:22" s="218" customFormat="1" ht="14.4" x14ac:dyDescent="0.3">
      <c r="A35" s="220"/>
      <c r="B35" s="219" t="s">
        <v>691</v>
      </c>
      <c r="C35" s="219" t="s">
        <v>2213</v>
      </c>
      <c r="D35" s="220"/>
      <c r="E35" s="220"/>
      <c r="F35" s="220"/>
      <c r="G35" s="220"/>
      <c r="H35" s="220"/>
      <c r="I35" s="220"/>
      <c r="J35" s="220"/>
      <c r="K35" s="220"/>
      <c r="L35" s="220"/>
      <c r="M35" s="220"/>
      <c r="N35" s="220"/>
      <c r="O35" s="220"/>
      <c r="P35" s="220"/>
      <c r="Q35" s="220"/>
      <c r="R35" s="220"/>
      <c r="S35" s="529"/>
      <c r="V35" s="3"/>
    </row>
    <row r="36" spans="1:22" s="218" customFormat="1" ht="14.4" x14ac:dyDescent="0.3">
      <c r="A36" s="220"/>
      <c r="B36" s="516">
        <v>1</v>
      </c>
      <c r="C36" s="858">
        <v>0.15</v>
      </c>
      <c r="D36" s="220"/>
      <c r="E36" s="220"/>
      <c r="F36" s="220"/>
      <c r="G36" s="220"/>
      <c r="H36" s="220"/>
      <c r="I36" s="220"/>
      <c r="J36" s="220"/>
      <c r="K36" s="220"/>
      <c r="L36" s="220"/>
      <c r="M36" s="220"/>
      <c r="N36" s="220"/>
      <c r="O36" s="220"/>
      <c r="P36" s="220"/>
      <c r="Q36" s="220"/>
      <c r="R36" s="220"/>
      <c r="S36" s="529"/>
      <c r="V36" s="3"/>
    </row>
    <row r="37" spans="1:22" s="218" customFormat="1" ht="14.4" x14ac:dyDescent="0.3">
      <c r="A37" s="220"/>
      <c r="B37" s="857" t="s">
        <v>2214</v>
      </c>
      <c r="C37" s="859">
        <v>0.05</v>
      </c>
      <c r="D37" s="220"/>
      <c r="E37" s="220"/>
      <c r="F37" s="220"/>
      <c r="G37" s="220"/>
      <c r="H37" s="220"/>
      <c r="I37" s="220"/>
      <c r="J37" s="220"/>
      <c r="K37" s="220"/>
      <c r="L37" s="220"/>
      <c r="M37" s="220"/>
      <c r="N37" s="220"/>
      <c r="O37" s="220"/>
      <c r="P37" s="220"/>
      <c r="Q37" s="220"/>
      <c r="R37" s="220"/>
      <c r="S37" s="529"/>
      <c r="V37" s="3"/>
    </row>
    <row r="38" spans="1:22" s="218" customFormat="1" ht="14.4" x14ac:dyDescent="0.3">
      <c r="A38" s="220"/>
      <c r="B38" s="220" t="s">
        <v>2226</v>
      </c>
      <c r="C38" s="220"/>
      <c r="D38" s="220"/>
      <c r="E38" s="220"/>
      <c r="F38" s="220"/>
      <c r="G38" s="220"/>
      <c r="H38" s="220"/>
      <c r="I38" s="220"/>
      <c r="J38" s="220"/>
      <c r="K38" s="220"/>
      <c r="L38" s="220"/>
      <c r="M38" s="220"/>
      <c r="N38" s="220"/>
      <c r="O38" s="220"/>
      <c r="P38" s="220"/>
      <c r="Q38" s="220"/>
      <c r="R38" s="220"/>
      <c r="S38" s="529"/>
      <c r="V38" s="3"/>
    </row>
    <row r="39" spans="1:22" s="218" customFormat="1" ht="14.4" x14ac:dyDescent="0.3">
      <c r="A39" s="220"/>
      <c r="B39" s="814"/>
      <c r="C39" s="220"/>
      <c r="D39" s="220"/>
      <c r="E39" s="220"/>
      <c r="F39" s="220"/>
      <c r="G39" s="220"/>
      <c r="H39" s="220"/>
      <c r="I39" s="220"/>
      <c r="J39" s="220"/>
      <c r="K39" s="220"/>
      <c r="L39" s="220"/>
      <c r="M39" s="220"/>
      <c r="N39" s="220"/>
      <c r="O39" s="220"/>
      <c r="P39" s="220"/>
      <c r="Q39" s="220"/>
      <c r="R39" s="220"/>
      <c r="S39" s="529"/>
      <c r="V39" s="3"/>
    </row>
    <row r="40" spans="1:22" s="4" customFormat="1" ht="14.4" x14ac:dyDescent="0.3">
      <c r="A40" s="5"/>
      <c r="B40" s="395" t="s">
        <v>716</v>
      </c>
      <c r="C40" s="158"/>
      <c r="D40" s="158"/>
      <c r="E40" s="102"/>
      <c r="F40" s="159"/>
      <c r="G40" s="160"/>
      <c r="H40" s="5"/>
      <c r="I40" s="5"/>
      <c r="J40" s="161"/>
      <c r="K40" s="160"/>
      <c r="L40" s="160"/>
      <c r="M40" s="160"/>
      <c r="N40" s="160"/>
      <c r="O40" s="160"/>
      <c r="P40" s="220"/>
      <c r="Q40" s="160"/>
      <c r="R40" s="161"/>
      <c r="S40" s="5"/>
      <c r="V40" s="3"/>
    </row>
    <row r="41" spans="1:22" s="4" customFormat="1" ht="14.4" x14ac:dyDescent="0.3">
      <c r="A41" s="5"/>
      <c r="B41" s="219" t="s">
        <v>711</v>
      </c>
      <c r="C41" s="221" t="s">
        <v>712</v>
      </c>
      <c r="D41" s="223" t="s">
        <v>713</v>
      </c>
      <c r="E41" s="391"/>
      <c r="F41" s="392"/>
      <c r="G41" s="393"/>
      <c r="H41" s="394"/>
      <c r="I41" s="393"/>
      <c r="J41" s="394"/>
      <c r="K41" s="393"/>
      <c r="L41" s="394"/>
      <c r="M41" s="393"/>
      <c r="N41" s="396" t="s">
        <v>715</v>
      </c>
      <c r="O41" s="160"/>
      <c r="P41" s="220"/>
      <c r="Q41" s="5"/>
      <c r="R41" s="161"/>
      <c r="S41" s="5"/>
      <c r="V41" s="3"/>
    </row>
    <row r="42" spans="1:22" s="4" customFormat="1" ht="14.4" hidden="1" x14ac:dyDescent="0.3">
      <c r="A42" s="5"/>
      <c r="B42" s="516" t="s">
        <v>717</v>
      </c>
      <c r="C42" s="525"/>
      <c r="D42" s="519"/>
      <c r="E42" s="526"/>
      <c r="F42" s="520"/>
      <c r="G42" s="521"/>
      <c r="H42" s="522"/>
      <c r="I42" s="522"/>
      <c r="J42" s="522"/>
      <c r="K42" s="522"/>
      <c r="L42" s="521"/>
      <c r="M42" s="523"/>
      <c r="N42" s="524"/>
      <c r="O42" s="160"/>
      <c r="P42" s="220"/>
      <c r="Q42" s="5"/>
      <c r="R42" s="161"/>
      <c r="S42" s="5"/>
      <c r="V42" s="3"/>
    </row>
    <row r="43" spans="1:22" s="4" customFormat="1" ht="14.4" x14ac:dyDescent="0.3">
      <c r="A43" s="5"/>
      <c r="B43" s="516" t="s">
        <v>2228</v>
      </c>
      <c r="C43" s="525" t="s">
        <v>2160</v>
      </c>
      <c r="D43" s="519" t="s">
        <v>2161</v>
      </c>
      <c r="E43" s="526"/>
      <c r="F43" s="520"/>
      <c r="G43" s="521"/>
      <c r="H43" s="522"/>
      <c r="I43" s="522"/>
      <c r="J43" s="522"/>
      <c r="K43" s="522"/>
      <c r="L43" s="521"/>
      <c r="M43" s="523"/>
      <c r="N43" s="524">
        <v>114</v>
      </c>
      <c r="O43" s="160"/>
      <c r="P43" s="220"/>
      <c r="Q43" s="5"/>
      <c r="R43" s="161"/>
      <c r="S43" s="5"/>
      <c r="V43" s="3"/>
    </row>
    <row r="44" spans="1:22" s="4" customFormat="1" ht="14.4" x14ac:dyDescent="0.3">
      <c r="A44" s="5"/>
      <c r="B44" s="313" t="s">
        <v>2159</v>
      </c>
      <c r="C44" s="5"/>
      <c r="D44" s="158"/>
      <c r="E44" s="102"/>
      <c r="F44" s="159"/>
      <c r="G44" s="160"/>
      <c r="H44" s="5"/>
      <c r="I44" s="5"/>
      <c r="J44" s="161"/>
      <c r="K44" s="160"/>
      <c r="L44" s="160"/>
      <c r="M44" s="160"/>
      <c r="N44" s="160"/>
      <c r="O44" s="160"/>
      <c r="P44" s="220"/>
      <c r="Q44" s="5"/>
      <c r="R44" s="161"/>
      <c r="S44" s="5"/>
      <c r="V44" s="3"/>
    </row>
    <row r="45" spans="1:22" s="4" customFormat="1" ht="14.4" x14ac:dyDescent="0.3">
      <c r="A45" s="5"/>
      <c r="B45" s="173"/>
      <c r="C45" s="5"/>
      <c r="D45" s="158"/>
      <c r="E45" s="102"/>
      <c r="F45" s="159"/>
      <c r="G45" s="160"/>
      <c r="H45" s="5"/>
      <c r="I45" s="5"/>
      <c r="J45" s="161"/>
      <c r="K45" s="160"/>
      <c r="L45" s="160"/>
      <c r="M45" s="160"/>
      <c r="N45" s="160"/>
      <c r="O45" s="160"/>
      <c r="P45" s="220"/>
      <c r="Q45" s="5"/>
      <c r="R45" s="161"/>
      <c r="S45" s="5"/>
      <c r="V45" s="3"/>
    </row>
    <row r="46" spans="1:22" s="4" customFormat="1" ht="14.4" hidden="1" x14ac:dyDescent="0.3">
      <c r="A46" s="5"/>
      <c r="B46" s="173"/>
      <c r="C46" s="5"/>
      <c r="D46" s="158"/>
      <c r="E46" s="102"/>
      <c r="F46" s="159"/>
      <c r="G46" s="160"/>
      <c r="H46" s="5"/>
      <c r="I46" s="5"/>
      <c r="J46" s="161"/>
      <c r="K46" s="160"/>
      <c r="L46" s="160"/>
      <c r="M46" s="160"/>
      <c r="N46" s="160"/>
      <c r="O46" s="160"/>
      <c r="P46" s="220"/>
      <c r="Q46" s="5"/>
      <c r="R46" s="161"/>
      <c r="S46" s="5"/>
      <c r="V46" s="3"/>
    </row>
    <row r="47" spans="1:22" s="4" customFormat="1" ht="14.4" hidden="1" x14ac:dyDescent="0.3">
      <c r="A47" s="5"/>
      <c r="B47" s="395" t="s">
        <v>719</v>
      </c>
      <c r="C47" s="158"/>
      <c r="D47" s="158"/>
      <c r="E47" s="102"/>
      <c r="F47" s="159"/>
      <c r="G47" s="160"/>
      <c r="H47" s="5"/>
      <c r="I47" s="5"/>
      <c r="J47" s="161"/>
      <c r="K47" s="160"/>
      <c r="L47" s="160"/>
      <c r="M47" s="160"/>
      <c r="N47" s="160"/>
      <c r="O47" s="160"/>
      <c r="P47" s="220"/>
      <c r="Q47" s="5"/>
      <c r="R47" s="161"/>
      <c r="S47" s="5"/>
      <c r="V47" s="3"/>
    </row>
    <row r="48" spans="1:22" s="4" customFormat="1" ht="14.4" hidden="1" x14ac:dyDescent="0.3">
      <c r="A48" s="5"/>
      <c r="B48" s="219" t="s">
        <v>711</v>
      </c>
      <c r="C48" s="221" t="s">
        <v>712</v>
      </c>
      <c r="D48" s="223" t="s">
        <v>713</v>
      </c>
      <c r="E48" s="391"/>
      <c r="F48" s="392"/>
      <c r="G48" s="393"/>
      <c r="H48" s="394"/>
      <c r="I48" s="393"/>
      <c r="J48" s="394"/>
      <c r="K48" s="393"/>
      <c r="L48" s="394"/>
      <c r="M48" s="393"/>
      <c r="N48" s="396" t="s">
        <v>715</v>
      </c>
      <c r="O48" s="160"/>
      <c r="P48" s="220"/>
      <c r="Q48" s="5"/>
      <c r="R48" s="161"/>
      <c r="S48" s="5"/>
      <c r="V48" s="3"/>
    </row>
    <row r="49" spans="1:22" s="4" customFormat="1" ht="14.4" hidden="1" x14ac:dyDescent="0.3">
      <c r="A49" s="5"/>
      <c r="B49" s="516" t="s">
        <v>720</v>
      </c>
      <c r="C49" s="525"/>
      <c r="D49" s="519"/>
      <c r="E49" s="526"/>
      <c r="F49" s="520"/>
      <c r="G49" s="521"/>
      <c r="H49" s="522"/>
      <c r="I49" s="522"/>
      <c r="J49" s="522"/>
      <c r="K49" s="522"/>
      <c r="L49" s="521"/>
      <c r="M49" s="523"/>
      <c r="N49" s="524"/>
      <c r="O49" s="160"/>
      <c r="P49" s="220"/>
      <c r="Q49" s="5"/>
      <c r="R49" s="161"/>
      <c r="S49" s="5"/>
      <c r="V49" s="3"/>
    </row>
    <row r="50" spans="1:22" s="4" customFormat="1" ht="14.4" hidden="1" x14ac:dyDescent="0.3">
      <c r="A50" s="5"/>
      <c r="B50" s="534" t="s">
        <v>718</v>
      </c>
      <c r="C50" s="5"/>
      <c r="D50" s="158"/>
      <c r="E50" s="102"/>
      <c r="F50" s="159"/>
      <c r="G50" s="160"/>
      <c r="H50" s="5"/>
      <c r="I50" s="5"/>
      <c r="J50" s="161"/>
      <c r="K50" s="160"/>
      <c r="L50" s="160"/>
      <c r="M50" s="160"/>
      <c r="N50" s="160"/>
      <c r="O50" s="160"/>
      <c r="P50" s="220"/>
      <c r="Q50" s="5"/>
      <c r="R50" s="161"/>
      <c r="S50" s="5"/>
      <c r="V50" s="3"/>
    </row>
    <row r="51" spans="1:22" s="4" customFormat="1" ht="14.4" hidden="1" x14ac:dyDescent="0.3">
      <c r="A51" s="5"/>
      <c r="B51" s="173"/>
      <c r="C51" s="5"/>
      <c r="D51" s="158"/>
      <c r="E51" s="102"/>
      <c r="F51" s="159"/>
      <c r="G51" s="160"/>
      <c r="H51" s="5"/>
      <c r="I51" s="5"/>
      <c r="J51" s="161"/>
      <c r="K51" s="160"/>
      <c r="L51" s="160"/>
      <c r="M51" s="160"/>
      <c r="N51" s="160"/>
      <c r="O51" s="160"/>
      <c r="P51" s="220"/>
      <c r="Q51" s="160"/>
      <c r="R51" s="161"/>
      <c r="S51" s="5"/>
      <c r="V51" s="3"/>
    </row>
    <row r="52" spans="1:22" s="4" customFormat="1" ht="14.4" hidden="1" x14ac:dyDescent="0.3">
      <c r="A52" s="5"/>
      <c r="B52" s="173"/>
      <c r="C52" s="5"/>
      <c r="D52" s="158"/>
      <c r="E52" s="102"/>
      <c r="F52" s="159"/>
      <c r="G52" s="160"/>
      <c r="H52" s="5"/>
      <c r="I52" s="5"/>
      <c r="J52" s="161"/>
      <c r="K52" s="160"/>
      <c r="L52" s="160"/>
      <c r="M52" s="160"/>
      <c r="N52" s="160"/>
      <c r="O52" s="160"/>
      <c r="P52" s="220"/>
      <c r="Q52" s="160"/>
      <c r="R52" s="161"/>
      <c r="S52" s="5"/>
      <c r="V52" s="3"/>
    </row>
    <row r="53" spans="1:22" s="4" customFormat="1" ht="14.4" hidden="1" x14ac:dyDescent="0.3">
      <c r="A53" s="5"/>
      <c r="B53" s="395" t="s">
        <v>721</v>
      </c>
      <c r="C53" s="158"/>
      <c r="D53" s="158"/>
      <c r="E53" s="102"/>
      <c r="F53" s="159"/>
      <c r="G53" s="160"/>
      <c r="H53" s="5"/>
      <c r="I53" s="5"/>
      <c r="J53" s="161"/>
      <c r="K53" s="160"/>
      <c r="L53" s="160"/>
      <c r="M53" s="160"/>
      <c r="N53" s="160"/>
      <c r="O53" s="160"/>
      <c r="P53" s="220"/>
      <c r="Q53" s="160"/>
      <c r="R53" s="161"/>
      <c r="S53" s="5"/>
      <c r="V53" s="3"/>
    </row>
    <row r="54" spans="1:22" s="4" customFormat="1" ht="14.4" hidden="1" x14ac:dyDescent="0.3">
      <c r="A54" s="5"/>
      <c r="B54" s="219" t="s">
        <v>711</v>
      </c>
      <c r="C54" s="221" t="s">
        <v>712</v>
      </c>
      <c r="D54" s="223" t="s">
        <v>713</v>
      </c>
      <c r="E54" s="391"/>
      <c r="F54" s="392"/>
      <c r="G54" s="393"/>
      <c r="H54" s="394"/>
      <c r="I54" s="393"/>
      <c r="J54" s="394"/>
      <c r="K54" s="393"/>
      <c r="L54" s="394"/>
      <c r="M54" s="393"/>
      <c r="N54" s="396" t="s">
        <v>715</v>
      </c>
      <c r="O54" s="160"/>
      <c r="P54" s="160"/>
      <c r="Q54" s="160"/>
      <c r="R54" s="161"/>
      <c r="S54" s="5"/>
      <c r="V54" s="3"/>
    </row>
    <row r="55" spans="1:22" s="4" customFormat="1" ht="14.4" hidden="1" x14ac:dyDescent="0.3">
      <c r="A55" s="5"/>
      <c r="B55" s="516" t="s">
        <v>720</v>
      </c>
      <c r="C55" s="525"/>
      <c r="D55" s="519"/>
      <c r="E55" s="526"/>
      <c r="F55" s="520"/>
      <c r="G55" s="521"/>
      <c r="H55" s="522"/>
      <c r="I55" s="522"/>
      <c r="J55" s="522"/>
      <c r="K55" s="522"/>
      <c r="L55" s="521"/>
      <c r="M55" s="523"/>
      <c r="N55" s="524"/>
      <c r="O55" s="160"/>
      <c r="P55" s="160"/>
      <c r="Q55" s="160"/>
      <c r="R55" s="161"/>
      <c r="S55" s="5"/>
      <c r="V55" s="3"/>
    </row>
    <row r="56" spans="1:22" s="4" customFormat="1" ht="14.4" hidden="1" x14ac:dyDescent="0.25">
      <c r="A56" s="5"/>
      <c r="B56" s="534" t="s">
        <v>718</v>
      </c>
      <c r="C56" s="5"/>
      <c r="D56" s="158"/>
      <c r="E56" s="102"/>
      <c r="F56" s="159"/>
      <c r="G56" s="160"/>
      <c r="H56" s="5"/>
      <c r="I56" s="5"/>
      <c r="J56" s="161"/>
      <c r="K56" s="160"/>
      <c r="L56" s="160"/>
      <c r="M56" s="160"/>
      <c r="N56" s="160"/>
      <c r="O56" s="160"/>
      <c r="P56" s="160"/>
      <c r="Q56" s="160"/>
      <c r="R56" s="161"/>
      <c r="S56" s="5"/>
      <c r="V56" s="3"/>
    </row>
    <row r="57" spans="1:22" s="4" customFormat="1" ht="14.4" hidden="1" x14ac:dyDescent="0.3">
      <c r="A57" s="5"/>
      <c r="B57" s="173"/>
      <c r="C57" s="5"/>
      <c r="D57" s="158"/>
      <c r="E57" s="102"/>
      <c r="F57" s="159"/>
      <c r="G57" s="160"/>
      <c r="H57" s="5"/>
      <c r="I57" s="5"/>
      <c r="J57" s="161"/>
      <c r="K57" s="160"/>
      <c r="L57" s="160"/>
      <c r="M57" s="160"/>
      <c r="N57" s="160"/>
      <c r="O57" s="160"/>
      <c r="P57" s="160"/>
      <c r="Q57" s="160"/>
      <c r="R57" s="161"/>
      <c r="S57" s="5"/>
      <c r="V57" s="3"/>
    </row>
  </sheetData>
  <sheetProtection algorithmName="SHA-512" hashValue="j3HduRXdw73i93sHXHJuZF9ROmUfucsMZsOj3OlgxeX3hPbg6FzhwmMaqJ+yoXZi16gbeikwTXRE2lLY563ngw==" saltValue="l0AKrXyoA2L2OZKFj26JXQ==" spinCount="100000" sheet="1" objects="1" scenarios="1"/>
  <phoneticPr fontId="43" type="noConversion"/>
  <hyperlinks>
    <hyperlink ref="B50" r:id="rId1" location="National-Tariff-Payment-System" xr:uid="{576C444C-F7C3-4FD6-BD7E-025B67F97EFF}"/>
    <hyperlink ref="B56" r:id="rId2" location="National-Tariff-Payment-System" xr:uid="{C98480D8-B6C2-404B-BE28-FDEF49837074}"/>
    <hyperlink ref="B29" r:id="rId3" display="https://www.england.nhs.uk/publication/2025-26-nhs-payment-scheme/" xr:uid="{D87679AD-AB1A-4943-A054-F07C38393301}"/>
    <hyperlink ref="B44" r:id="rId4" display="https://www.england.nhs.uk/publication/2025-26-nhs-payment-scheme/" xr:uid="{D177C320-11EE-49CA-AB79-EFF036A69A58}"/>
  </hyperlinks>
  <pageMargins left="0.70866141732283472" right="0.70866141732283472" top="0.74803149606299213" bottom="0.74803149606299213" header="0.31496062992125984" footer="0.31496062992125984"/>
  <pageSetup paperSize="9" scale="35"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7"/>
  <sheetViews>
    <sheetView showGridLines="0" zoomScale="70" zoomScaleNormal="70" zoomScaleSheetLayoutView="80" workbookViewId="0">
      <selection activeCell="I4" sqref="I4"/>
    </sheetView>
  </sheetViews>
  <sheetFormatPr defaultColWidth="8.77734375" defaultRowHeight="14.4" x14ac:dyDescent="0.3"/>
  <cols>
    <col min="1" max="1" width="3.5546875" customWidth="1"/>
    <col min="2" max="2" width="64.21875"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446" t="str">
        <f>'Inputs and population'!B1</f>
        <v>Benralizumab for treating relapsing or refractory eosinophilic granulomatosis with polyangiitis</v>
      </c>
      <c r="C1" s="132"/>
      <c r="D1" s="129"/>
      <c r="E1" s="129"/>
      <c r="F1" s="129"/>
      <c r="G1" s="129"/>
      <c r="H1" s="129"/>
      <c r="I1" s="129"/>
      <c r="J1" s="129"/>
    </row>
    <row r="2" spans="2:10" ht="30" customHeight="1" x14ac:dyDescent="0.3">
      <c r="B2" s="332" t="s">
        <v>557</v>
      </c>
      <c r="C2" s="129"/>
      <c r="E2" s="115" t="s">
        <v>599</v>
      </c>
      <c r="F2" s="115" t="s">
        <v>599</v>
      </c>
      <c r="G2" s="115" t="s">
        <v>599</v>
      </c>
      <c r="H2" s="115" t="s">
        <v>599</v>
      </c>
      <c r="I2" s="115" t="s">
        <v>599</v>
      </c>
      <c r="J2" s="129"/>
    </row>
    <row r="3" spans="2:10" x14ac:dyDescent="0.3">
      <c r="B3" s="118" t="s">
        <v>599</v>
      </c>
      <c r="C3" s="118"/>
      <c r="D3" s="121" t="s">
        <v>599</v>
      </c>
      <c r="E3" s="121" t="s">
        <v>599</v>
      </c>
      <c r="F3" s="121" t="s">
        <v>599</v>
      </c>
      <c r="G3" s="121" t="s">
        <v>599</v>
      </c>
      <c r="H3" s="121" t="s">
        <v>599</v>
      </c>
      <c r="I3" s="121" t="s">
        <v>599</v>
      </c>
      <c r="J3" s="129"/>
    </row>
    <row r="4" spans="2:10" ht="43.2" x14ac:dyDescent="0.3">
      <c r="B4" s="230" t="s">
        <v>2184</v>
      </c>
      <c r="C4" s="213" t="s">
        <v>686</v>
      </c>
      <c r="D4" s="242" t="s">
        <v>591</v>
      </c>
      <c r="E4" s="242" t="s">
        <v>592</v>
      </c>
      <c r="F4" s="243" t="s">
        <v>722</v>
      </c>
      <c r="G4" s="243" t="s">
        <v>723</v>
      </c>
      <c r="H4" s="242" t="s">
        <v>724</v>
      </c>
      <c r="J4" s="129"/>
    </row>
    <row r="5" spans="2:10" s="136" customFormat="1" x14ac:dyDescent="0.3">
      <c r="B5" s="153" t="s">
        <v>725</v>
      </c>
      <c r="C5" s="116">
        <f>'Inputs and population'!E30</f>
        <v>1330.3733043515219</v>
      </c>
      <c r="D5" s="116">
        <f>'Inputs and population'!F30</f>
        <v>1342.0683759075043</v>
      </c>
      <c r="E5" s="116">
        <f>'Inputs and population'!G30</f>
        <v>1353.8662567263095</v>
      </c>
      <c r="F5" s="116">
        <f>'Inputs and population'!H30</f>
        <v>1365.7678505856074</v>
      </c>
      <c r="G5" s="116">
        <f>'Inputs and population'!I30</f>
        <v>1377.7740692080147</v>
      </c>
      <c r="H5" s="116">
        <f>'Inputs and population'!J30</f>
        <v>1389.8858323309369</v>
      </c>
      <c r="I5"/>
      <c r="J5" s="129"/>
    </row>
    <row r="6" spans="2:10" x14ac:dyDescent="0.3">
      <c r="B6" s="232" t="s">
        <v>2177</v>
      </c>
      <c r="C6" s="442">
        <f>'Inputs and population'!D35</f>
        <v>0</v>
      </c>
      <c r="D6" s="442">
        <f>'Inputs and population'!E35</f>
        <v>0.2</v>
      </c>
      <c r="E6" s="442">
        <f>'Inputs and population'!F35</f>
        <v>0.4</v>
      </c>
      <c r="F6" s="442">
        <f>'Inputs and population'!G35</f>
        <v>0.6</v>
      </c>
      <c r="G6" s="442">
        <f>'Inputs and population'!H35</f>
        <v>0.8</v>
      </c>
      <c r="H6" s="442">
        <f>'Inputs and population'!I35</f>
        <v>0.8</v>
      </c>
      <c r="J6" s="129"/>
    </row>
    <row r="7" spans="2:10" x14ac:dyDescent="0.3">
      <c r="B7" s="153" t="s">
        <v>2229</v>
      </c>
      <c r="C7" s="116">
        <f>'Inputs and population'!D35*C$5</f>
        <v>0</v>
      </c>
      <c r="D7" s="116">
        <f>'Inputs and population'!E35*D$5</f>
        <v>268.41367518150088</v>
      </c>
      <c r="E7" s="116">
        <f>'Inputs and population'!F35*E$5</f>
        <v>541.54650269052388</v>
      </c>
      <c r="F7" s="116">
        <f>'Inputs and population'!G35*F$5</f>
        <v>819.46071035136447</v>
      </c>
      <c r="G7" s="116">
        <f>'Inputs and population'!H35*G$5</f>
        <v>1102.2192553664117</v>
      </c>
      <c r="H7" s="116">
        <f>'Inputs and population'!I35*H$5</f>
        <v>1111.9086658647495</v>
      </c>
      <c r="J7" s="121"/>
    </row>
    <row r="8" spans="2:10" ht="14.55" customHeight="1" x14ac:dyDescent="0.3">
      <c r="B8" s="217"/>
      <c r="C8" s="217"/>
      <c r="D8" s="121"/>
      <c r="E8" s="121"/>
      <c r="F8" s="121"/>
      <c r="G8" s="121"/>
      <c r="H8" s="121"/>
      <c r="J8" s="121"/>
    </row>
    <row r="9" spans="2:10" ht="43.2" x14ac:dyDescent="0.3">
      <c r="B9" s="237" t="s">
        <v>2230</v>
      </c>
      <c r="C9" s="213" t="s">
        <v>686</v>
      </c>
      <c r="D9" s="242" t="s">
        <v>591</v>
      </c>
      <c r="E9" s="242" t="s">
        <v>592</v>
      </c>
      <c r="F9" s="243" t="s">
        <v>722</v>
      </c>
      <c r="G9" s="243" t="s">
        <v>723</v>
      </c>
      <c r="H9" s="242" t="s">
        <v>724</v>
      </c>
      <c r="J9" s="121"/>
    </row>
    <row r="10" spans="2:10" x14ac:dyDescent="0.3">
      <c r="B10" s="308" t="s">
        <v>2231</v>
      </c>
      <c r="C10" s="116">
        <f>SUM('Inputs and population'!D40:D44)</f>
        <v>0</v>
      </c>
      <c r="D10" s="116">
        <f>SUM('Inputs and population'!E40:E44)</f>
        <v>268.41367518150088</v>
      </c>
      <c r="E10" s="116">
        <f>SUM('Inputs and population'!F40:F44)</f>
        <v>501.28445141329871</v>
      </c>
      <c r="F10" s="116">
        <f>SUM('Inputs and population'!G40:G44)</f>
        <v>726.82115375257217</v>
      </c>
      <c r="G10" s="116">
        <f>SUM('Inputs and population'!H40:H44)</f>
        <v>945.44722031390666</v>
      </c>
      <c r="H10" s="116">
        <f>SUM('Inputs and population'!I40:I44)</f>
        <v>879.58841529504434</v>
      </c>
      <c r="I10" s="257"/>
      <c r="J10" s="121"/>
    </row>
    <row r="11" spans="2:10" x14ac:dyDescent="0.3">
      <c r="B11" s="308" t="s">
        <v>2233</v>
      </c>
      <c r="C11" s="116">
        <f>'Inputs and population'!D45</f>
        <v>0</v>
      </c>
      <c r="D11" s="116">
        <f>'Inputs and population'!E45</f>
        <v>0</v>
      </c>
      <c r="E11" s="116">
        <f>'Inputs and population'!F45</f>
        <v>40.262051277225133</v>
      </c>
      <c r="F11" s="116">
        <f>'Inputs and population'!G45</f>
        <v>92.639556598792367</v>
      </c>
      <c r="G11" s="116">
        <f>'Inputs and population'!H45</f>
        <v>156.77203505250503</v>
      </c>
      <c r="H11" s="116">
        <f>'Inputs and population'!I45</f>
        <v>232.32025056970511</v>
      </c>
      <c r="I11" s="257"/>
      <c r="J11" s="121"/>
    </row>
    <row r="12" spans="2:10" x14ac:dyDescent="0.3">
      <c r="B12" s="308" t="s">
        <v>2178</v>
      </c>
      <c r="C12" s="116">
        <f>'Inputs and population'!D46</f>
        <v>1330.3733043515219</v>
      </c>
      <c r="D12" s="116">
        <f>'Inputs and population'!E46</f>
        <v>1073.6547007260035</v>
      </c>
      <c r="E12" s="116">
        <f>'Inputs and population'!F46</f>
        <v>812.31975403578565</v>
      </c>
      <c r="F12" s="116">
        <f>'Inputs and population'!G46</f>
        <v>546.30714023424298</v>
      </c>
      <c r="G12" s="116">
        <f>'Inputs and population'!H46</f>
        <v>275.55481384160288</v>
      </c>
      <c r="H12" s="116">
        <f>'Inputs and population'!I46</f>
        <v>277.97716646618733</v>
      </c>
      <c r="J12" s="121"/>
    </row>
    <row r="13" spans="2:10" x14ac:dyDescent="0.3">
      <c r="B13" s="795"/>
      <c r="C13" s="162">
        <f t="shared" ref="C13:G13" si="0">SUM(C10:C12)</f>
        <v>1330.3733043515219</v>
      </c>
      <c r="D13" s="162">
        <f t="shared" si="0"/>
        <v>1342.0683759075043</v>
      </c>
      <c r="E13" s="162">
        <f t="shared" si="0"/>
        <v>1353.8662567263095</v>
      </c>
      <c r="F13" s="162">
        <f t="shared" si="0"/>
        <v>1365.7678505856074</v>
      </c>
      <c r="G13" s="162">
        <f t="shared" si="0"/>
        <v>1377.7740692080147</v>
      </c>
      <c r="H13" s="162">
        <f>SUM(H10:H12)</f>
        <v>1389.8858323309369</v>
      </c>
      <c r="J13" s="121"/>
    </row>
    <row r="14" spans="2:10" ht="15" thickBot="1" x14ac:dyDescent="0.35">
      <c r="B14" s="427"/>
      <c r="C14" s="427"/>
      <c r="D14" s="428"/>
      <c r="E14" s="428"/>
      <c r="F14" s="428"/>
      <c r="G14" s="428"/>
      <c r="H14" s="428"/>
      <c r="I14" s="429"/>
      <c r="J14" s="121"/>
    </row>
    <row r="15" spans="2:10" x14ac:dyDescent="0.3">
      <c r="B15" s="239"/>
      <c r="C15" s="239"/>
      <c r="D15" s="301"/>
      <c r="E15" s="301"/>
      <c r="F15" s="301"/>
      <c r="G15" s="301"/>
      <c r="H15" s="301"/>
      <c r="I15" s="121"/>
      <c r="J15" s="121"/>
    </row>
    <row r="16" spans="2:10" ht="43.2" x14ac:dyDescent="0.3">
      <c r="B16" s="233" t="s">
        <v>726</v>
      </c>
      <c r="C16" s="213" t="s">
        <v>686</v>
      </c>
      <c r="D16" s="242" t="s">
        <v>591</v>
      </c>
      <c r="E16" s="242" t="s">
        <v>592</v>
      </c>
      <c r="F16" s="243" t="s">
        <v>722</v>
      </c>
      <c r="G16" s="243" t="s">
        <v>723</v>
      </c>
      <c r="H16" s="242" t="s">
        <v>724</v>
      </c>
      <c r="I16" s="121"/>
      <c r="J16" s="121"/>
    </row>
    <row r="17" spans="1:10" x14ac:dyDescent="0.3">
      <c r="B17" s="264" t="s">
        <v>727</v>
      </c>
      <c r="C17" s="537" t="s">
        <v>728</v>
      </c>
      <c r="D17" s="537" t="s">
        <v>728</v>
      </c>
      <c r="E17" s="537" t="s">
        <v>728</v>
      </c>
      <c r="F17" s="537" t="s">
        <v>728</v>
      </c>
      <c r="G17" s="537" t="s">
        <v>728</v>
      </c>
      <c r="H17" s="537" t="s">
        <v>728</v>
      </c>
      <c r="I17" s="121"/>
      <c r="J17" s="121"/>
    </row>
    <row r="18" spans="1:10" x14ac:dyDescent="0.3">
      <c r="B18" s="238" t="s">
        <v>729</v>
      </c>
      <c r="C18" s="225">
        <f>'Financial impact (cash)'!D30</f>
        <v>0</v>
      </c>
      <c r="D18" s="225">
        <f>'Financial impact (cash)'!E30</f>
        <v>0</v>
      </c>
      <c r="E18" s="225">
        <f>'Financial impact (cash)'!F30</f>
        <v>0</v>
      </c>
      <c r="F18" s="225">
        <f>'Financial impact (cash)'!G30</f>
        <v>0</v>
      </c>
      <c r="G18" s="225">
        <f>'Financial impact (cash)'!H30</f>
        <v>0</v>
      </c>
      <c r="H18" s="225">
        <f>'Financial impact (cash)'!I30</f>
        <v>0</v>
      </c>
      <c r="I18" s="121"/>
      <c r="J18" s="121"/>
    </row>
    <row r="19" spans="1:10" x14ac:dyDescent="0.3">
      <c r="C19" s="781"/>
      <c r="D19" s="175">
        <f>D18-$C$18</f>
        <v>0</v>
      </c>
      <c r="E19" s="175">
        <f>E18-$C$18</f>
        <v>0</v>
      </c>
      <c r="F19" s="175">
        <f>F18-$C$18</f>
        <v>0</v>
      </c>
      <c r="G19" s="175">
        <f>G18-$C$18</f>
        <v>0</v>
      </c>
      <c r="H19" s="175">
        <f>H18-$C$18</f>
        <v>0</v>
      </c>
      <c r="I19" s="397" t="s">
        <v>730</v>
      </c>
      <c r="J19" s="121"/>
    </row>
    <row r="20" spans="1:10" x14ac:dyDescent="0.3">
      <c r="C20" s="80"/>
      <c r="D20" s="175">
        <f>D18-C18</f>
        <v>0</v>
      </c>
      <c r="E20" s="175">
        <f>E18-D18</f>
        <v>0</v>
      </c>
      <c r="F20" s="175">
        <f>F18-E18</f>
        <v>0</v>
      </c>
      <c r="G20" s="175">
        <f>G18-F18</f>
        <v>0</v>
      </c>
      <c r="H20" s="175">
        <f>H18-G18</f>
        <v>0</v>
      </c>
      <c r="I20" s="397" t="s">
        <v>731</v>
      </c>
      <c r="J20" s="121"/>
    </row>
    <row r="21" spans="1:10" x14ac:dyDescent="0.3">
      <c r="B21" s="239"/>
      <c r="C21" s="239"/>
      <c r="D21" s="356"/>
      <c r="E21" s="356"/>
      <c r="F21" s="356"/>
      <c r="G21" s="356"/>
      <c r="H21" s="356"/>
      <c r="J21" s="121"/>
    </row>
    <row r="22" spans="1:10" x14ac:dyDescent="0.3">
      <c r="B22" t="s">
        <v>732</v>
      </c>
      <c r="C22" s="239"/>
      <c r="D22" s="356"/>
      <c r="E22" s="356"/>
      <c r="F22" s="356"/>
      <c r="G22" s="356"/>
      <c r="H22" s="356"/>
      <c r="J22" s="121"/>
    </row>
    <row r="23" spans="1:10" x14ac:dyDescent="0.3">
      <c r="B23" s="505" t="s">
        <v>15</v>
      </c>
      <c r="C23" s="239"/>
      <c r="D23" s="356"/>
      <c r="E23" s="356"/>
      <c r="F23" s="356"/>
      <c r="G23" s="356"/>
      <c r="H23" s="356"/>
      <c r="J23" s="121"/>
    </row>
    <row r="24" spans="1:10" x14ac:dyDescent="0.3">
      <c r="B24" s="239"/>
      <c r="C24" s="239"/>
      <c r="D24" s="356"/>
      <c r="E24" s="356"/>
      <c r="F24" s="356"/>
      <c r="G24" s="356"/>
      <c r="H24" s="356"/>
      <c r="J24" s="121"/>
    </row>
    <row r="25" spans="1:10" ht="43.2" x14ac:dyDescent="0.3">
      <c r="A25" s="356"/>
      <c r="B25" s="233" t="s">
        <v>733</v>
      </c>
      <c r="C25" s="213" t="s">
        <v>686</v>
      </c>
      <c r="D25" s="242" t="s">
        <v>591</v>
      </c>
      <c r="E25" s="242" t="s">
        <v>592</v>
      </c>
      <c r="F25" s="243" t="s">
        <v>722</v>
      </c>
      <c r="G25" s="243" t="s">
        <v>723</v>
      </c>
      <c r="H25" s="242" t="s">
        <v>724</v>
      </c>
      <c r="J25" s="121"/>
    </row>
    <row r="26" spans="1:10" x14ac:dyDescent="0.3">
      <c r="A26" s="356"/>
      <c r="B26" s="264" t="s">
        <v>734</v>
      </c>
      <c r="C26" s="537" t="s">
        <v>728</v>
      </c>
      <c r="D26" s="537" t="s">
        <v>728</v>
      </c>
      <c r="E26" s="537" t="s">
        <v>728</v>
      </c>
      <c r="F26" s="537" t="s">
        <v>728</v>
      </c>
      <c r="G26" s="537" t="s">
        <v>728</v>
      </c>
      <c r="H26" s="537" t="s">
        <v>728</v>
      </c>
      <c r="J26" s="121"/>
    </row>
    <row r="27" spans="1:10" x14ac:dyDescent="0.3">
      <c r="A27" s="356"/>
      <c r="B27" s="238" t="s">
        <v>735</v>
      </c>
      <c r="C27" s="225">
        <f>IF($B$23="national prices",'Capacity (national prices)'!L31,IF($B$23="local prices",'Capacity (local prices)'!L31,0))</f>
        <v>606.65022678429398</v>
      </c>
      <c r="D27" s="225">
        <f>IF($B$23="national prices",'Capacity (national prices)'!M31,IF($B$23="local prices",'Capacity (local prices)'!M31,0))</f>
        <v>742.43222555203147</v>
      </c>
      <c r="E27" s="225">
        <f>IF($B$23="national prices",'Capacity (national prices)'!N31,IF($B$23="local prices",'Capacity (local prices)'!N31,0))</f>
        <v>860.98725645406023</v>
      </c>
      <c r="F27" s="225">
        <f>IF($B$23="national prices",'Capacity (national prices)'!O31,IF($B$23="local prices",'Capacity (local prices)'!O31,0))</f>
        <v>976.02522059078706</v>
      </c>
      <c r="G27" s="225">
        <f>IF($B$23="national prices",'Capacity (national prices)'!P31,IF($B$23="local prices",'Capacity (local prices)'!P31,0))</f>
        <v>1087.7523246314133</v>
      </c>
      <c r="H27" s="225">
        <f>IF($B$23="national prices",'Capacity (national prices)'!Q31,IF($B$23="local prices",'Capacity (local prices)'!Q31,0))</f>
        <v>1061.2679093762986</v>
      </c>
      <c r="J27" s="121"/>
    </row>
    <row r="28" spans="1:10" x14ac:dyDescent="0.3">
      <c r="A28" s="356"/>
      <c r="C28" s="781"/>
      <c r="D28" s="175">
        <f>D27-$C$27</f>
        <v>135.78199876773749</v>
      </c>
      <c r="E28" s="175">
        <f>E27-$C$27</f>
        <v>254.33702966976625</v>
      </c>
      <c r="F28" s="175">
        <f>F27-$C$27</f>
        <v>369.37499380649308</v>
      </c>
      <c r="G28" s="175">
        <f>G27-$C$27</f>
        <v>481.10209784711935</v>
      </c>
      <c r="H28" s="175">
        <f>H27-$C$27</f>
        <v>454.6176825920046</v>
      </c>
      <c r="I28" s="397" t="s">
        <v>730</v>
      </c>
      <c r="J28" s="121"/>
    </row>
    <row r="29" spans="1:10" x14ac:dyDescent="0.3">
      <c r="A29" s="356"/>
      <c r="C29" s="80"/>
      <c r="D29" s="175">
        <f>D27-C27</f>
        <v>135.78199876773749</v>
      </c>
      <c r="E29" s="175">
        <f>E27-D27</f>
        <v>118.55503090202876</v>
      </c>
      <c r="F29" s="175">
        <f>F27-E27</f>
        <v>115.03796413672683</v>
      </c>
      <c r="G29" s="175">
        <f>G27-F27</f>
        <v>111.72710404062627</v>
      </c>
      <c r="H29" s="175">
        <f>H27-G27</f>
        <v>-26.484415255114754</v>
      </c>
      <c r="I29" s="397" t="s">
        <v>731</v>
      </c>
      <c r="J29" s="121"/>
    </row>
    <row r="30" spans="1:10" x14ac:dyDescent="0.3">
      <c r="A30" s="356"/>
      <c r="B30" s="356"/>
      <c r="C30" s="356"/>
      <c r="D30" s="356"/>
      <c r="E30" s="356"/>
      <c r="F30" s="356"/>
      <c r="G30" s="356"/>
      <c r="H30" s="356"/>
      <c r="J30" s="121"/>
    </row>
    <row r="31" spans="1:10" ht="43.2" x14ac:dyDescent="0.3">
      <c r="A31" s="356"/>
      <c r="B31" s="233" t="s">
        <v>736</v>
      </c>
      <c r="C31" s="213" t="s">
        <v>686</v>
      </c>
      <c r="D31" s="242" t="s">
        <v>591</v>
      </c>
      <c r="E31" s="242" t="s">
        <v>592</v>
      </c>
      <c r="F31" s="243" t="s">
        <v>722</v>
      </c>
      <c r="G31" s="243" t="s">
        <v>723</v>
      </c>
      <c r="H31" s="242" t="s">
        <v>724</v>
      </c>
      <c r="J31" s="121"/>
    </row>
    <row r="32" spans="1:10" x14ac:dyDescent="0.3">
      <c r="B32" s="264"/>
      <c r="C32" s="537" t="s">
        <v>728</v>
      </c>
      <c r="D32" s="537" t="s">
        <v>728</v>
      </c>
      <c r="E32" s="537" t="s">
        <v>728</v>
      </c>
      <c r="F32" s="537" t="s">
        <v>728</v>
      </c>
      <c r="G32" s="537" t="s">
        <v>728</v>
      </c>
      <c r="H32" s="537" t="s">
        <v>728</v>
      </c>
      <c r="I32" s="121"/>
      <c r="J32" s="121"/>
    </row>
    <row r="33" spans="2:10" x14ac:dyDescent="0.3">
      <c r="B33" s="423" t="s">
        <v>737</v>
      </c>
      <c r="C33" s="436">
        <f>C18+C27</f>
        <v>606.65022678429398</v>
      </c>
      <c r="D33" s="436">
        <f t="shared" ref="D33:H33" si="1">D18+D27</f>
        <v>742.43222555203147</v>
      </c>
      <c r="E33" s="436">
        <f t="shared" si="1"/>
        <v>860.98725645406023</v>
      </c>
      <c r="F33" s="436">
        <f t="shared" si="1"/>
        <v>976.02522059078706</v>
      </c>
      <c r="G33" s="436">
        <f>G18+G27</f>
        <v>1087.7523246314133</v>
      </c>
      <c r="H33" s="436">
        <f t="shared" si="1"/>
        <v>1061.2679093762986</v>
      </c>
      <c r="I33" s="121"/>
      <c r="J33" s="121"/>
    </row>
    <row r="34" spans="2:10" x14ac:dyDescent="0.3">
      <c r="B34" s="422"/>
      <c r="C34" s="424"/>
      <c r="D34" s="425">
        <f>D33-$C$33</f>
        <v>135.78199876773749</v>
      </c>
      <c r="E34" s="425">
        <f t="shared" ref="E34:G34" si="2">E33-$C$33</f>
        <v>254.33702966976625</v>
      </c>
      <c r="F34" s="425">
        <f t="shared" si="2"/>
        <v>369.37499380649308</v>
      </c>
      <c r="G34" s="425">
        <f t="shared" si="2"/>
        <v>481.10209784711935</v>
      </c>
      <c r="H34" s="425">
        <f>H33-$C$33</f>
        <v>454.6176825920046</v>
      </c>
      <c r="I34" s="397" t="s">
        <v>730</v>
      </c>
      <c r="J34" s="121"/>
    </row>
    <row r="35" spans="2:10" x14ac:dyDescent="0.3">
      <c r="B35" s="422"/>
      <c r="C35" s="424"/>
      <c r="D35" s="426">
        <f>D33-C33</f>
        <v>135.78199876773749</v>
      </c>
      <c r="E35" s="426">
        <f>E33-D33</f>
        <v>118.55503090202876</v>
      </c>
      <c r="F35" s="426">
        <f>F33-E33</f>
        <v>115.03796413672683</v>
      </c>
      <c r="G35" s="426">
        <f>G33-F33</f>
        <v>111.72710404062627</v>
      </c>
      <c r="H35" s="426">
        <f>H33-G33</f>
        <v>-26.484415255114754</v>
      </c>
      <c r="I35" s="397" t="s">
        <v>731</v>
      </c>
      <c r="J35" s="121"/>
    </row>
    <row r="36" spans="2:10" ht="15" thickBot="1" x14ac:dyDescent="0.35">
      <c r="B36" s="427"/>
      <c r="C36" s="427"/>
      <c r="D36" s="428"/>
      <c r="E36" s="428"/>
      <c r="F36" s="428"/>
      <c r="G36" s="428"/>
      <c r="H36" s="428"/>
      <c r="I36" s="429"/>
      <c r="J36" s="121"/>
    </row>
    <row r="37" spans="2:10" x14ac:dyDescent="0.3">
      <c r="B37" s="239"/>
      <c r="C37" s="239"/>
      <c r="D37" s="301"/>
      <c r="E37" s="301"/>
      <c r="F37" s="301"/>
      <c r="G37" s="301"/>
      <c r="H37" s="301"/>
      <c r="I37" s="121"/>
      <c r="J37" s="121"/>
    </row>
    <row r="38" spans="2:10" ht="43.2" x14ac:dyDescent="0.3">
      <c r="B38" s="233" t="s">
        <v>738</v>
      </c>
      <c r="C38" s="415"/>
      <c r="D38" s="242" t="s">
        <v>591</v>
      </c>
      <c r="E38" s="242" t="s">
        <v>592</v>
      </c>
      <c r="F38" s="243" t="s">
        <v>722</v>
      </c>
      <c r="G38" s="243" t="s">
        <v>723</v>
      </c>
      <c r="H38" s="242" t="s">
        <v>724</v>
      </c>
      <c r="I38" s="121"/>
      <c r="J38" s="121"/>
    </row>
    <row r="39" spans="2:10" x14ac:dyDescent="0.3">
      <c r="B39" s="418"/>
      <c r="C39" s="416"/>
      <c r="D39" s="417"/>
      <c r="E39" s="417"/>
      <c r="F39" s="417"/>
      <c r="G39" s="417"/>
      <c r="H39" s="417"/>
      <c r="I39" s="121"/>
      <c r="J39" s="121"/>
    </row>
    <row r="40" spans="2:10" hidden="1" x14ac:dyDescent="0.3">
      <c r="B40" s="233" t="s">
        <v>739</v>
      </c>
      <c r="C40" s="231"/>
      <c r="D40" s="227"/>
      <c r="E40" s="227"/>
      <c r="F40" s="227"/>
      <c r="G40" s="227"/>
      <c r="H40" s="228"/>
      <c r="I40" s="121"/>
      <c r="J40" s="121"/>
    </row>
    <row r="41" spans="2:10" x14ac:dyDescent="0.3">
      <c r="B41" s="503" t="str">
        <f>'Capacity (local prices)'!B10</f>
        <v>GP appointments</v>
      </c>
      <c r="C41" s="502"/>
      <c r="D41" s="504">
        <f>'Capacity (local prices)'!E10-'Capacity (local prices)'!$D10</f>
        <v>0</v>
      </c>
      <c r="E41" s="504">
        <f>'Capacity (local prices)'!F10-'Capacity (local prices)'!$D10</f>
        <v>0</v>
      </c>
      <c r="F41" s="504">
        <f>'Capacity (local prices)'!G10-'Capacity (local prices)'!$D10</f>
        <v>0</v>
      </c>
      <c r="G41" s="504">
        <f>'Capacity (local prices)'!H10-'Capacity (local prices)'!$D10</f>
        <v>0</v>
      </c>
      <c r="H41" s="504">
        <f>'Capacity (local prices)'!I10-'Capacity (local prices)'!$D10</f>
        <v>0</v>
      </c>
      <c r="I41" s="121"/>
      <c r="J41" s="121"/>
    </row>
    <row r="42" spans="2:10" x14ac:dyDescent="0.3">
      <c r="B42" s="503" t="str">
        <f>'Capacity (local prices)'!B11</f>
        <v>GP appointments - hours</v>
      </c>
      <c r="C42" s="502"/>
      <c r="D42" s="504">
        <f>'Capacity (local prices)'!E11-'Capacity (local prices)'!$D11</f>
        <v>0</v>
      </c>
      <c r="E42" s="504">
        <f>'Capacity (local prices)'!F11-'Capacity (local prices)'!$D11</f>
        <v>0</v>
      </c>
      <c r="F42" s="504">
        <f>'Capacity (local prices)'!G11-'Capacity (local prices)'!$D11</f>
        <v>0</v>
      </c>
      <c r="G42" s="504">
        <f>'Capacity (local prices)'!H11-'Capacity (local prices)'!$D11</f>
        <v>0</v>
      </c>
      <c r="H42" s="504">
        <f>'Capacity (local prices)'!I11-'Capacity (local prices)'!$D11</f>
        <v>0</v>
      </c>
      <c r="I42" s="121"/>
      <c r="J42" s="121"/>
    </row>
    <row r="43" spans="2:10" x14ac:dyDescent="0.3">
      <c r="B43" s="503" t="str">
        <f>'Capacity (local prices)'!B12</f>
        <v>Follow up attendances</v>
      </c>
      <c r="C43" s="236"/>
      <c r="D43" s="504">
        <f>'Capacity (local prices)'!E12-'Capacity (local prices)'!$D12</f>
        <v>-221.63338895757079</v>
      </c>
      <c r="E43" s="504">
        <f>'Capacity (local prices)'!F12-'Capacity (local prices)'!$D12</f>
        <v>-407.31264191414812</v>
      </c>
      <c r="F43" s="504">
        <f>'Capacity (local prices)'!G12-'Capacity (local prices)'!$D12</f>
        <v>-585.24296881622922</v>
      </c>
      <c r="G43" s="504">
        <f>'Capacity (local prices)'!H12-'Capacity (local prices)'!$D12</f>
        <v>-755.84416088793569</v>
      </c>
      <c r="H43" s="504">
        <f>'Capacity (local prices)'!I12-'Capacity (local prices)'!$D12</f>
        <v>-641.53830337738509</v>
      </c>
      <c r="I43" s="121"/>
      <c r="J43" s="121"/>
    </row>
    <row r="44" spans="2:10" x14ac:dyDescent="0.3">
      <c r="B44" s="503" t="str">
        <f>'Capacity (local prices)'!B13</f>
        <v>Follow up attendances - hours</v>
      </c>
      <c r="C44" s="236"/>
      <c r="D44" s="504">
        <f>'Capacity (local prices)'!E13-'Capacity (local prices)'!$D13</f>
        <v>-55.408347239392697</v>
      </c>
      <c r="E44" s="504">
        <f>'Capacity (local prices)'!F13-'Capacity (local prices)'!$D13</f>
        <v>-101.82816047853703</v>
      </c>
      <c r="F44" s="504">
        <f>'Capacity (local prices)'!G13-'Capacity (local prices)'!$D13</f>
        <v>-146.31074220405731</v>
      </c>
      <c r="G44" s="504">
        <f>'Capacity (local prices)'!H13-'Capacity (local prices)'!$D13</f>
        <v>-188.96104022198392</v>
      </c>
      <c r="H44" s="504">
        <f>'Capacity (local prices)'!I13-'Capacity (local prices)'!$D13</f>
        <v>-160.38457584434627</v>
      </c>
      <c r="I44" s="121"/>
      <c r="J44" s="121"/>
    </row>
    <row r="45" spans="2:10" x14ac:dyDescent="0.3">
      <c r="B45" s="503" t="str">
        <f>'Capacity (local prices)'!B14</f>
        <v>Number of administrations</v>
      </c>
      <c r="C45" s="236"/>
      <c r="D45" s="504">
        <f>'Capacity (local prices)'!E14-'Capacity (local prices)'!$D14</f>
        <v>3220.9641021780108</v>
      </c>
      <c r="E45" s="504">
        <f>'Capacity (local prices)'!F14-'Capacity (local prices)'!$D14</f>
        <v>6015.4134169595845</v>
      </c>
      <c r="F45" s="504">
        <f>'Capacity (local prices)'!G14-'Capacity (local prices)'!$D14</f>
        <v>8721.8538450308661</v>
      </c>
      <c r="G45" s="504">
        <f>'Capacity (local prices)'!H14-'Capacity (local prices)'!$D14</f>
        <v>11345.36664376688</v>
      </c>
      <c r="H45" s="504">
        <f>'Capacity (local prices)'!I14-'Capacity (local prices)'!$D14</f>
        <v>10555.060983540532</v>
      </c>
      <c r="I45" s="121"/>
      <c r="J45" s="121"/>
    </row>
    <row r="46" spans="2:10" x14ac:dyDescent="0.3">
      <c r="I46" s="121"/>
      <c r="J46" s="121"/>
    </row>
    <row r="47" spans="2:10" hidden="1" x14ac:dyDescent="0.3">
      <c r="B47" s="233" t="s">
        <v>740</v>
      </c>
      <c r="C47" s="234"/>
      <c r="D47" s="227"/>
      <c r="E47" s="227"/>
      <c r="F47" s="227"/>
      <c r="G47" s="227"/>
      <c r="H47" s="228"/>
      <c r="I47" s="121"/>
      <c r="J47" s="121"/>
    </row>
    <row r="48" spans="2:10" hidden="1" x14ac:dyDescent="0.3">
      <c r="B48" s="235" t="str">
        <f>'Capacity (local prices)'!B15</f>
        <v>Nursing - administrations</v>
      </c>
      <c r="C48" s="236"/>
      <c r="D48" s="504">
        <f>'Capacity (local prices)'!E15-'Capacity (local prices)'!$D15</f>
        <v>0</v>
      </c>
      <c r="E48" s="504">
        <f>'Capacity (local prices)'!F15-'Capacity (local prices)'!$D15</f>
        <v>0</v>
      </c>
      <c r="F48" s="504">
        <f>'Capacity (local prices)'!G15-'Capacity (local prices)'!$D15</f>
        <v>0</v>
      </c>
      <c r="G48" s="504">
        <f>'Capacity (local prices)'!H15-'Capacity (local prices)'!$D15</f>
        <v>0</v>
      </c>
      <c r="H48" s="504">
        <f>'Capacity (local prices)'!I15-'Capacity (local prices)'!$D15</f>
        <v>0</v>
      </c>
      <c r="I48" s="121"/>
      <c r="J48" s="121"/>
    </row>
    <row r="49" spans="2:10" hidden="1" x14ac:dyDescent="0.3">
      <c r="B49" s="235" t="str">
        <f>'Capacity (local prices)'!B16</f>
        <v>Nursing - administrations - hours</v>
      </c>
      <c r="C49" s="236"/>
      <c r="D49" s="504">
        <f>'Capacity (local prices)'!E16-'Capacity (local prices)'!$D16</f>
        <v>0</v>
      </c>
      <c r="E49" s="504">
        <f>'Capacity (local prices)'!F16-'Capacity (local prices)'!$D16</f>
        <v>0</v>
      </c>
      <c r="F49" s="504">
        <f>'Capacity (local prices)'!G16-'Capacity (local prices)'!$D16</f>
        <v>0</v>
      </c>
      <c r="G49" s="504">
        <f>'Capacity (local prices)'!H16-'Capacity (local prices)'!$D16</f>
        <v>0</v>
      </c>
      <c r="H49" s="504">
        <f>'Capacity (local prices)'!I16-'Capacity (local prices)'!$D16</f>
        <v>0</v>
      </c>
      <c r="I49" s="121"/>
      <c r="J49" s="121"/>
    </row>
    <row r="50" spans="2:10" hidden="1" x14ac:dyDescent="0.3">
      <c r="B50" s="235" t="str">
        <f>'Capacity (local prices)'!B17</f>
        <v>Nursing patient preparation time</v>
      </c>
      <c r="C50" s="236"/>
      <c r="D50" s="504">
        <f>'Capacity (local prices)'!E17-'Capacity (local prices)'!$D17</f>
        <v>0</v>
      </c>
      <c r="E50" s="504">
        <f>'Capacity (local prices)'!F17-'Capacity (local prices)'!$D17</f>
        <v>0</v>
      </c>
      <c r="F50" s="504">
        <f>'Capacity (local prices)'!G17-'Capacity (local prices)'!$D17</f>
        <v>0</v>
      </c>
      <c r="G50" s="504">
        <f>'Capacity (local prices)'!H17-'Capacity (local prices)'!$D17</f>
        <v>0</v>
      </c>
      <c r="H50" s="504">
        <f>'Capacity (local prices)'!I17-'Capacity (local prices)'!$D17</f>
        <v>0</v>
      </c>
      <c r="I50" s="121"/>
      <c r="J50" s="121"/>
    </row>
    <row r="51" spans="2:10" hidden="1" x14ac:dyDescent="0.3">
      <c r="B51" s="235" t="str">
        <f>'Capacity (local prices)'!B18</f>
        <v>Nursing patient preparation time - hours</v>
      </c>
      <c r="C51" s="236"/>
      <c r="D51" s="504">
        <f>'Capacity (local prices)'!E18-'Capacity (local prices)'!$D18</f>
        <v>0</v>
      </c>
      <c r="E51" s="504">
        <f>'Capacity (local prices)'!F18-'Capacity (local prices)'!$D18</f>
        <v>0</v>
      </c>
      <c r="F51" s="504">
        <f>'Capacity (local prices)'!G18-'Capacity (local prices)'!$D18</f>
        <v>0</v>
      </c>
      <c r="G51" s="504">
        <f>'Capacity (local prices)'!H18-'Capacity (local prices)'!$D18</f>
        <v>0</v>
      </c>
      <c r="H51" s="504">
        <f>'Capacity (local prices)'!I18-'Capacity (local prices)'!$D18</f>
        <v>0</v>
      </c>
      <c r="I51" s="121"/>
      <c r="J51" s="121"/>
    </row>
    <row r="52" spans="2:10" hidden="1" x14ac:dyDescent="0.3">
      <c r="B52" s="235" t="str">
        <f>'Capacity (local prices)'!B19</f>
        <v>Post administration nursing time</v>
      </c>
      <c r="C52" s="236"/>
      <c r="D52" s="504">
        <f>'Capacity (local prices)'!E19-'Capacity (local prices)'!$D19</f>
        <v>0</v>
      </c>
      <c r="E52" s="504">
        <f>'Capacity (local prices)'!F19-'Capacity (local prices)'!$D19</f>
        <v>0</v>
      </c>
      <c r="F52" s="504">
        <f>'Capacity (local prices)'!G19-'Capacity (local prices)'!$D19</f>
        <v>0</v>
      </c>
      <c r="G52" s="504">
        <f>'Capacity (local prices)'!H19-'Capacity (local prices)'!$D19</f>
        <v>0</v>
      </c>
      <c r="H52" s="504">
        <f>'Capacity (local prices)'!I19-'Capacity (local prices)'!$D19</f>
        <v>0</v>
      </c>
      <c r="I52" s="121"/>
      <c r="J52" s="121"/>
    </row>
    <row r="53" spans="2:10" hidden="1" x14ac:dyDescent="0.3">
      <c r="B53" s="235" t="str">
        <f>'Capacity (local prices)'!B20</f>
        <v>Post administration nursing time - hours</v>
      </c>
      <c r="C53" s="236"/>
      <c r="D53" s="504">
        <f>'Capacity (local prices)'!E20-'Capacity (local prices)'!$D20</f>
        <v>0</v>
      </c>
      <c r="E53" s="504">
        <f>'Capacity (local prices)'!F20-'Capacity (local prices)'!$D20</f>
        <v>0</v>
      </c>
      <c r="F53" s="504">
        <f>'Capacity (local prices)'!G20-'Capacity (local prices)'!$D20</f>
        <v>0</v>
      </c>
      <c r="G53" s="504">
        <f>'Capacity (local prices)'!H20-'Capacity (local prices)'!$D20</f>
        <v>0</v>
      </c>
      <c r="H53" s="504">
        <f>'Capacity (local prices)'!I20-'Capacity (local prices)'!$D20</f>
        <v>0</v>
      </c>
      <c r="I53" s="121"/>
      <c r="J53" s="121"/>
    </row>
    <row r="54" spans="2:10" hidden="1" x14ac:dyDescent="0.3">
      <c r="I54" s="121"/>
      <c r="J54" s="121"/>
    </row>
    <row r="55" spans="2:10" hidden="1" x14ac:dyDescent="0.3">
      <c r="B55" s="233" t="s">
        <v>741</v>
      </c>
      <c r="C55" s="234"/>
      <c r="D55" s="227"/>
      <c r="E55" s="227"/>
      <c r="F55" s="227"/>
      <c r="G55" s="227"/>
      <c r="H55" s="228"/>
      <c r="I55" s="121"/>
      <c r="J55" s="121"/>
    </row>
    <row r="56" spans="2:10" hidden="1" x14ac:dyDescent="0.3">
      <c r="B56" s="235" t="str">
        <f>'Capacity (local prices)'!B21</f>
        <v>Pharmacy support</v>
      </c>
      <c r="C56" s="240"/>
      <c r="D56" s="504">
        <f>'Capacity (local prices)'!E21-'Capacity (local prices)'!$D21</f>
        <v>0</v>
      </c>
      <c r="E56" s="504">
        <f>'Capacity (local prices)'!F21-'Capacity (local prices)'!$D21</f>
        <v>0</v>
      </c>
      <c r="F56" s="504">
        <f>'Capacity (local prices)'!G21-'Capacity (local prices)'!$D21</f>
        <v>0</v>
      </c>
      <c r="G56" s="504">
        <f>'Capacity (local prices)'!H21-'Capacity (local prices)'!$D21</f>
        <v>0</v>
      </c>
      <c r="H56" s="504">
        <f>'Capacity (local prices)'!I21-'Capacity (local prices)'!$D21</f>
        <v>0</v>
      </c>
      <c r="I56" s="121"/>
      <c r="J56" s="121"/>
    </row>
    <row r="57" spans="2:10" hidden="1" x14ac:dyDescent="0.3">
      <c r="B57" s="235" t="str">
        <f>'Capacity (local prices)'!B22</f>
        <v>Pharmacy support - hours</v>
      </c>
      <c r="C57" s="240"/>
      <c r="D57" s="504">
        <f>'Capacity (local prices)'!E22-'Capacity (local prices)'!$D22</f>
        <v>0</v>
      </c>
      <c r="E57" s="504">
        <f>'Capacity (local prices)'!F22-'Capacity (local prices)'!$D22</f>
        <v>0</v>
      </c>
      <c r="F57" s="504">
        <f>'Capacity (local prices)'!G22-'Capacity (local prices)'!$D22</f>
        <v>0</v>
      </c>
      <c r="G57" s="504">
        <f>'Capacity (local prices)'!H22-'Capacity (local prices)'!$D22</f>
        <v>0</v>
      </c>
      <c r="H57" s="504">
        <f>'Capacity (local prices)'!I22-'Capacity (local prices)'!$D22</f>
        <v>0</v>
      </c>
      <c r="I57" s="121"/>
      <c r="J57" s="121"/>
    </row>
    <row r="58" spans="2:10" hidden="1" x14ac:dyDescent="0.3">
      <c r="I58" s="121"/>
      <c r="J58" s="121"/>
    </row>
    <row r="59" spans="2:10" hidden="1" x14ac:dyDescent="0.3">
      <c r="B59" s="233" t="s">
        <v>742</v>
      </c>
      <c r="C59" s="234"/>
      <c r="D59" s="227"/>
      <c r="E59" s="227"/>
      <c r="F59" s="227"/>
      <c r="G59" s="227"/>
      <c r="H59" s="228"/>
      <c r="I59" s="121"/>
      <c r="J59" s="121"/>
    </row>
    <row r="60" spans="2:10" hidden="1" x14ac:dyDescent="0.3">
      <c r="B60" s="235" t="str">
        <f>'Capacity (local prices)'!B23</f>
        <v>Appointments with supporting specialty x</v>
      </c>
      <c r="C60" s="240"/>
      <c r="D60" s="504">
        <f>'Capacity (local prices)'!E23-'Capacity (local prices)'!$D23</f>
        <v>0</v>
      </c>
      <c r="E60" s="504">
        <f>'Capacity (local prices)'!F23-'Capacity (local prices)'!$D23</f>
        <v>0</v>
      </c>
      <c r="F60" s="504">
        <f>'Capacity (local prices)'!G23-'Capacity (local prices)'!$D23</f>
        <v>0</v>
      </c>
      <c r="G60" s="504">
        <f>'Capacity (local prices)'!H23-'Capacity (local prices)'!$D23</f>
        <v>0</v>
      </c>
      <c r="H60" s="504">
        <f>'Capacity (local prices)'!I23-'Capacity (local prices)'!$D23</f>
        <v>0</v>
      </c>
      <c r="I60" s="121"/>
      <c r="J60" s="121"/>
    </row>
    <row r="61" spans="2:10" hidden="1" x14ac:dyDescent="0.3">
      <c r="B61" s="235" t="str">
        <f>'Capacity (local prices)'!B24</f>
        <v>Appointments with supporting specialty x - hours</v>
      </c>
      <c r="C61" s="240"/>
      <c r="D61" s="504">
        <f>'Capacity (local prices)'!E24-'Capacity (local prices)'!$D24</f>
        <v>0</v>
      </c>
      <c r="E61" s="504">
        <f>'Capacity (local prices)'!F24-'Capacity (local prices)'!$D24</f>
        <v>0</v>
      </c>
      <c r="F61" s="504">
        <f>'Capacity (local prices)'!G24-'Capacity (local prices)'!$D24</f>
        <v>0</v>
      </c>
      <c r="G61" s="504">
        <f>'Capacity (local prices)'!H24-'Capacity (local prices)'!$D24</f>
        <v>0</v>
      </c>
      <c r="H61" s="504">
        <f>'Capacity (local prices)'!I24-'Capacity (local prices)'!$D24</f>
        <v>0</v>
      </c>
      <c r="I61" s="121"/>
      <c r="J61" s="121"/>
    </row>
    <row r="62" spans="2:10" hidden="1" x14ac:dyDescent="0.3">
      <c r="I62" s="121"/>
      <c r="J62" s="121"/>
    </row>
    <row r="63" spans="2:10" hidden="1" x14ac:dyDescent="0.3">
      <c r="B63" s="233" t="s">
        <v>2179</v>
      </c>
      <c r="C63" s="234"/>
      <c r="D63" s="227"/>
      <c r="E63" s="227"/>
      <c r="F63" s="227"/>
      <c r="G63" s="227"/>
      <c r="H63" s="228"/>
      <c r="I63" s="121"/>
      <c r="J63" s="121"/>
    </row>
    <row r="64" spans="2:10" hidden="1" x14ac:dyDescent="0.3">
      <c r="B64" s="235" t="str">
        <f>'Capacity (local prices)'!B25</f>
        <v>Imaging scans</v>
      </c>
      <c r="C64" s="236"/>
      <c r="D64" s="504">
        <f>'Capacity (local prices)'!E25-'Capacity (local prices)'!$D25</f>
        <v>0</v>
      </c>
      <c r="E64" s="504">
        <f>'Capacity (local prices)'!F25-'Capacity (local prices)'!$D25</f>
        <v>0</v>
      </c>
      <c r="F64" s="504">
        <f>'Capacity (local prices)'!G25-'Capacity (local prices)'!$D25</f>
        <v>0</v>
      </c>
      <c r="G64" s="504">
        <f>'Capacity (local prices)'!H25-'Capacity (local prices)'!$D25</f>
        <v>0</v>
      </c>
      <c r="H64" s="504">
        <f>'Capacity (local prices)'!I25-'Capacity (local prices)'!$D25</f>
        <v>0</v>
      </c>
      <c r="I64" s="121"/>
      <c r="J64" s="121"/>
    </row>
    <row r="65" spans="2:14" hidden="1" x14ac:dyDescent="0.3">
      <c r="B65" s="235" t="str">
        <f>'Capacity (local prices)'!B26</f>
        <v>Imaging scans - hours</v>
      </c>
      <c r="C65" s="236"/>
      <c r="D65" s="504">
        <f>'Capacity (local prices)'!E26-'Capacity (local prices)'!$D26</f>
        <v>0</v>
      </c>
      <c r="E65" s="504">
        <f>'Capacity (local prices)'!F26-'Capacity (local prices)'!$D26</f>
        <v>0</v>
      </c>
      <c r="F65" s="504">
        <f>'Capacity (local prices)'!G26-'Capacity (local prices)'!$D26</f>
        <v>0</v>
      </c>
      <c r="G65" s="504">
        <f>'Capacity (local prices)'!H26-'Capacity (local prices)'!$D26</f>
        <v>0</v>
      </c>
      <c r="H65" s="504">
        <f>'Capacity (local prices)'!I26-'Capacity (local prices)'!$D26</f>
        <v>0</v>
      </c>
      <c r="I65" s="121"/>
      <c r="J65" s="121"/>
    </row>
    <row r="66" spans="2:14" hidden="1" x14ac:dyDescent="0.3">
      <c r="B66" s="235" t="str">
        <f>'Capacity (local prices)'!B27</f>
        <v>Diagnostic tests</v>
      </c>
      <c r="C66" s="236"/>
      <c r="D66" s="504">
        <f>'Capacity (local prices)'!E27-'Capacity (local prices)'!$D27</f>
        <v>0</v>
      </c>
      <c r="E66" s="504">
        <f>'Capacity (local prices)'!F27-'Capacity (local prices)'!$D27</f>
        <v>0</v>
      </c>
      <c r="F66" s="504">
        <f>'Capacity (local prices)'!G27-'Capacity (local prices)'!$D27</f>
        <v>0</v>
      </c>
      <c r="G66" s="504">
        <f>'Capacity (local prices)'!H27-'Capacity (local prices)'!$D27</f>
        <v>0</v>
      </c>
      <c r="H66" s="504">
        <f>'Capacity (local prices)'!I27-'Capacity (local prices)'!$D27</f>
        <v>0</v>
      </c>
      <c r="I66" s="121"/>
      <c r="J66" s="121"/>
    </row>
    <row r="67" spans="2:14" hidden="1" x14ac:dyDescent="0.3">
      <c r="B67" s="235" t="str">
        <f>'Capacity (local prices)'!B28</f>
        <v>Diagnostic tests - hours</v>
      </c>
      <c r="C67" s="236"/>
      <c r="D67" s="504">
        <f>'Capacity (local prices)'!E28-'Capacity (local prices)'!$D28</f>
        <v>0</v>
      </c>
      <c r="E67" s="504">
        <f>'Capacity (local prices)'!F28-'Capacity (local prices)'!$D28</f>
        <v>0</v>
      </c>
      <c r="F67" s="504">
        <f>'Capacity (local prices)'!G28-'Capacity (local prices)'!$D28</f>
        <v>0</v>
      </c>
      <c r="G67" s="504">
        <f>'Capacity (local prices)'!H28-'Capacity (local prices)'!$D28</f>
        <v>0</v>
      </c>
      <c r="H67" s="504">
        <f>'Capacity (local prices)'!I28-'Capacity (local prices)'!$D28</f>
        <v>0</v>
      </c>
      <c r="I67" s="121"/>
      <c r="J67" s="121"/>
    </row>
    <row r="68" spans="2:14" hidden="1" x14ac:dyDescent="0.3">
      <c r="B68" s="235" t="str">
        <f>'Capacity (local prices)'!B29</f>
        <v>Genomic tests</v>
      </c>
      <c r="C68" s="236"/>
      <c r="D68" s="504">
        <f>'Capacity (local prices)'!E29-'Capacity (local prices)'!$D29</f>
        <v>0</v>
      </c>
      <c r="E68" s="504">
        <f>'Capacity (local prices)'!F29-'Capacity (local prices)'!$D29</f>
        <v>0</v>
      </c>
      <c r="F68" s="504">
        <f>'Capacity (local prices)'!G29-'Capacity (local prices)'!$D29</f>
        <v>0</v>
      </c>
      <c r="G68" s="504">
        <f>'Capacity (local prices)'!H29-'Capacity (local prices)'!$D29</f>
        <v>0</v>
      </c>
      <c r="H68" s="504">
        <f>'Capacity (local prices)'!I29-'Capacity (local prices)'!$D29</f>
        <v>0</v>
      </c>
      <c r="I68" s="121"/>
      <c r="J68" s="121"/>
    </row>
    <row r="69" spans="2:14" ht="10.050000000000001" hidden="1" customHeight="1" x14ac:dyDescent="0.3">
      <c r="B69" s="235" t="str">
        <f>'Capacity (local prices)'!B30</f>
        <v>Genomic tests - hours</v>
      </c>
      <c r="C69" s="236"/>
      <c r="D69" s="504">
        <f>'Capacity (local prices)'!E30-'Capacity (local prices)'!$D30</f>
        <v>0</v>
      </c>
      <c r="E69" s="504">
        <f>'Capacity (local prices)'!F30-'Capacity (local prices)'!$D30</f>
        <v>0</v>
      </c>
      <c r="F69" s="504">
        <f>'Capacity (local prices)'!G30-'Capacity (local prices)'!$D30</f>
        <v>0</v>
      </c>
      <c r="G69" s="504">
        <f>'Capacity (local prices)'!H30-'Capacity (local prices)'!$D30</f>
        <v>0</v>
      </c>
      <c r="H69" s="504">
        <f>'Capacity (local prices)'!I30-'Capacity (local prices)'!$D30</f>
        <v>0</v>
      </c>
      <c r="I69" s="121"/>
      <c r="J69" s="121"/>
    </row>
    <row r="70" spans="2:14" hidden="1" x14ac:dyDescent="0.3">
      <c r="I70" s="121"/>
      <c r="J70" s="121"/>
    </row>
    <row r="71" spans="2:14" hidden="1" x14ac:dyDescent="0.3">
      <c r="B71" s="233" t="s">
        <v>743</v>
      </c>
      <c r="C71" s="231"/>
      <c r="D71" s="227"/>
      <c r="E71" s="227"/>
      <c r="F71" s="227"/>
      <c r="G71" s="227"/>
      <c r="H71" s="228"/>
      <c r="I71" s="121"/>
      <c r="J71" s="121"/>
    </row>
    <row r="72" spans="2:14" hidden="1" x14ac:dyDescent="0.3">
      <c r="B72" s="235" t="s">
        <v>744</v>
      </c>
      <c r="C72" s="236"/>
      <c r="D72" s="504" t="e">
        <f>Events!J18</f>
        <v>#REF!</v>
      </c>
      <c r="E72" s="504" t="e">
        <f>Events!K18</f>
        <v>#REF!</v>
      </c>
      <c r="F72" s="504" t="e">
        <f>Events!L18</f>
        <v>#REF!</v>
      </c>
      <c r="G72" s="504" t="e">
        <f>Events!M18</f>
        <v>#REF!</v>
      </c>
      <c r="H72" s="504" t="e">
        <f>Events!N18</f>
        <v>#REF!</v>
      </c>
      <c r="I72" s="121"/>
      <c r="J72" s="121"/>
    </row>
    <row r="73" spans="2:14" x14ac:dyDescent="0.3">
      <c r="B73" s="239"/>
      <c r="C73" s="239"/>
      <c r="D73" s="226"/>
      <c r="E73" s="226"/>
      <c r="F73" s="226"/>
      <c r="G73" s="226"/>
      <c r="H73" s="226"/>
      <c r="I73" s="121"/>
      <c r="J73" s="121"/>
    </row>
    <row r="75" spans="2:14" x14ac:dyDescent="0.3">
      <c r="D75" s="882"/>
      <c r="E75" s="883"/>
      <c r="F75" s="883"/>
      <c r="G75" s="883"/>
      <c r="H75" s="883"/>
      <c r="I75" s="883"/>
      <c r="J75" s="883"/>
      <c r="K75" s="883"/>
      <c r="L75" s="883"/>
      <c r="M75" s="883"/>
      <c r="N75" s="883"/>
    </row>
    <row r="76" spans="2:14" x14ac:dyDescent="0.3">
      <c r="D76" s="883"/>
      <c r="E76" s="883"/>
      <c r="F76" s="883"/>
      <c r="G76" s="883"/>
      <c r="H76" s="883"/>
      <c r="I76" s="883"/>
      <c r="J76" s="883"/>
      <c r="K76" s="883"/>
      <c r="L76" s="883"/>
      <c r="M76" s="883"/>
      <c r="N76" s="883"/>
    </row>
    <row r="77" spans="2:14" x14ac:dyDescent="0.3">
      <c r="D77" s="882"/>
      <c r="E77" s="883"/>
      <c r="F77" s="883"/>
      <c r="G77" s="883"/>
      <c r="H77" s="883"/>
      <c r="I77" s="883"/>
      <c r="J77" s="883"/>
      <c r="K77" s="883"/>
      <c r="L77" s="883"/>
      <c r="M77" s="883"/>
      <c r="N77" s="883"/>
    </row>
  </sheetData>
  <sheetProtection algorithmName="SHA-512" hashValue="B2yHUsCatjMvvXLXYUPwpAxt8Rogy3FLIW75pe6xloxRrtLhy9jdYqavEigYqeKNWZ++QF+HOhCN1Yipy/f4cg==" saltValue="MtRQVgCCNhguo4UrA44zwA==" spinCount="100000" sheet="1" objects="1" scenarios="1"/>
  <mergeCells count="2">
    <mergeCell ref="D75:N76"/>
    <mergeCell ref="D77:N77"/>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purl.org/dc/dcmitype/"/>
    <ds:schemaRef ds:uri="http://www.w3.org/XML/1998/namespace"/>
    <ds:schemaRef ds:uri="acaf4567-dc07-471f-892c-2bcb86ef35a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0eb656aa-4e79-4e95-9076-bc119a23e0cc"/>
    <ds:schemaRef ds:uri="c1f338ac-e338-414f-952c-f74dcc6d59e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TA1096 Benralizumab for treating relapsing or refractory eosinophilic granulomatosis with polyangiitis: resource impact template 06/10/2025</dc:title>
  <dc:subject/>
  <dc:creator/>
  <cp:keywords/>
  <dc:description/>
  <cp:lastModifiedBy/>
  <cp:revision/>
  <dcterms:created xsi:type="dcterms:W3CDTF">2022-07-27T12:38:28Z</dcterms:created>
  <dcterms:modified xsi:type="dcterms:W3CDTF">2025-10-06T07:28:35Z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