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0" documentId="13_ncr:1_{11B18D31-9DFC-4D19-9245-47A2E5C02C66}" xr6:coauthVersionLast="47" xr6:coauthVersionMax="47" xr10:uidLastSave="{00000000-0000-0000-0000-000000000000}"/>
  <bookViews>
    <workbookView xWindow="23880" yWindow="-120" windowWidth="29040" windowHeight="1572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prices)'!$B$1:$R$195</definedName>
    <definedName name="_xlnm.Print_Area" localSheetId="11">'Capacity (national prices)'!$B$1:$S$202</definedName>
    <definedName name="_xlnm.Print_Area" localSheetId="5">'Capacity inputs'!$A$2:$Q$27</definedName>
    <definedName name="_xlnm.Print_Area" localSheetId="3">Contents!$A$1:$T$26</definedName>
    <definedName name="_xlnm.Print_Area" localSheetId="2">Cover!$A$1:$C$25</definedName>
    <definedName name="_xlnm.Print_Area" localSheetId="9">'Financial impact (cash)'!$B$1:$J$44</definedName>
    <definedName name="_xlnm.Print_Area" localSheetId="4">'Inputs and population'!$A$2:$Q$126</definedName>
    <definedName name="_xlnm.Print_Area" localSheetId="0">'Population selection'!$B$11:$J$17</definedName>
    <definedName name="_xlnm.Print_Area" localSheetId="8">Summary!$B$1:$K$71</definedName>
    <definedName name="_xlnm.Print_Area" localSheetId="7">'Unit costs'!$B$1:$S$131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9" i="62" l="1"/>
  <c r="L59" i="62"/>
  <c r="M59" i="62"/>
  <c r="N59" i="62"/>
  <c r="J59" i="62"/>
  <c r="J58" i="62"/>
  <c r="K58" i="62"/>
  <c r="L58" i="62"/>
  <c r="M58" i="62"/>
  <c r="N58" i="62"/>
  <c r="C58" i="62"/>
  <c r="C59" i="62" s="1"/>
  <c r="D58" i="62"/>
  <c r="D59" i="62" s="1"/>
  <c r="E58" i="62"/>
  <c r="F58" i="62"/>
  <c r="G58" i="62"/>
  <c r="H58" i="62"/>
  <c r="E59" i="62"/>
  <c r="F59" i="62"/>
  <c r="G59" i="62"/>
  <c r="H59" i="62"/>
  <c r="D41" i="62"/>
  <c r="E41" i="62"/>
  <c r="F41" i="62"/>
  <c r="G41" i="62"/>
  <c r="H41" i="62"/>
  <c r="C41" i="62"/>
  <c r="K41" i="62"/>
  <c r="L41" i="62"/>
  <c r="M41" i="62"/>
  <c r="N41" i="62"/>
  <c r="J41" i="62"/>
  <c r="J40" i="62"/>
  <c r="K40" i="62"/>
  <c r="L40" i="62"/>
  <c r="M40" i="62"/>
  <c r="N40" i="62"/>
  <c r="C40" i="62"/>
  <c r="D40" i="62"/>
  <c r="E40" i="62"/>
  <c r="F40" i="62"/>
  <c r="G40" i="62"/>
  <c r="H40" i="62"/>
  <c r="I44" i="50"/>
  <c r="H44" i="50"/>
  <c r="G44" i="50"/>
  <c r="F44" i="50"/>
  <c r="E44" i="50"/>
  <c r="D44" i="50"/>
  <c r="I86" i="50"/>
  <c r="B58" i="47"/>
  <c r="D58" i="47"/>
  <c r="E58" i="47"/>
  <c r="F58" i="47"/>
  <c r="G58" i="47"/>
  <c r="H58" i="47"/>
  <c r="B59" i="47"/>
  <c r="D59" i="47"/>
  <c r="E59" i="47"/>
  <c r="F59" i="47"/>
  <c r="G59" i="47"/>
  <c r="H59" i="47"/>
  <c r="B171" i="56"/>
  <c r="B172" i="56"/>
  <c r="B173" i="56"/>
  <c r="B174" i="56"/>
  <c r="B175" i="56"/>
  <c r="B170" i="56"/>
  <c r="H134" i="59"/>
  <c r="G134" i="59"/>
  <c r="F134" i="59"/>
  <c r="E134" i="59"/>
  <c r="D134" i="59"/>
  <c r="H133" i="59"/>
  <c r="G133" i="59"/>
  <c r="F133" i="59"/>
  <c r="E133" i="59"/>
  <c r="D133" i="59"/>
  <c r="H132" i="59"/>
  <c r="G132" i="59"/>
  <c r="F132" i="59"/>
  <c r="E132" i="59"/>
  <c r="D132" i="59"/>
  <c r="H131" i="59"/>
  <c r="G131" i="59"/>
  <c r="F131" i="59"/>
  <c r="E131" i="59"/>
  <c r="D131" i="59"/>
  <c r="H130" i="59"/>
  <c r="G130" i="59"/>
  <c r="F130" i="59"/>
  <c r="E130" i="59"/>
  <c r="D130" i="59"/>
  <c r="H129" i="59"/>
  <c r="G129" i="59"/>
  <c r="F129" i="59"/>
  <c r="E129" i="59"/>
  <c r="D129" i="59"/>
  <c r="C134" i="59"/>
  <c r="C133" i="59"/>
  <c r="C132" i="59"/>
  <c r="C131" i="59"/>
  <c r="C130" i="59"/>
  <c r="C129" i="59"/>
  <c r="I104" i="50"/>
  <c r="H135" i="59" s="1"/>
  <c r="F104" i="50"/>
  <c r="E135" i="59" s="1"/>
  <c r="E104" i="50"/>
  <c r="D135" i="59" s="1"/>
  <c r="P109" i="59"/>
  <c r="K170" i="56" l="1"/>
  <c r="K163" i="46"/>
  <c r="K171" i="56"/>
  <c r="K164" i="46"/>
  <c r="K172" i="56"/>
  <c r="K165" i="46"/>
  <c r="K173" i="56"/>
  <c r="K166" i="46"/>
  <c r="K174" i="56"/>
  <c r="K167" i="46"/>
  <c r="K175" i="56"/>
  <c r="K168" i="46"/>
  <c r="D27" i="50"/>
  <c r="O29" i="59"/>
  <c r="H25" i="59"/>
  <c r="C35" i="46" l="1"/>
  <c r="J82" i="50"/>
  <c r="K63" i="59" s="1"/>
  <c r="J87" i="50"/>
  <c r="J25" i="59"/>
  <c r="K80" i="56" l="1"/>
  <c r="K78" i="56"/>
  <c r="K77" i="56"/>
  <c r="K76" i="56"/>
  <c r="K75" i="56"/>
  <c r="B150" i="56"/>
  <c r="B149" i="56"/>
  <c r="B148" i="56"/>
  <c r="B147" i="56"/>
  <c r="B146" i="56"/>
  <c r="B145" i="56"/>
  <c r="B144" i="56"/>
  <c r="B132" i="56"/>
  <c r="C131" i="56"/>
  <c r="B131" i="56"/>
  <c r="B130" i="56"/>
  <c r="B129" i="56"/>
  <c r="B128" i="56"/>
  <c r="B127" i="56"/>
  <c r="C126" i="56"/>
  <c r="B126" i="56"/>
  <c r="B115" i="56"/>
  <c r="B114" i="56"/>
  <c r="B113" i="56"/>
  <c r="B112" i="56"/>
  <c r="B111" i="56"/>
  <c r="B110" i="56"/>
  <c r="B109" i="56"/>
  <c r="B98" i="56"/>
  <c r="B97" i="56"/>
  <c r="B96" i="56"/>
  <c r="B95" i="56"/>
  <c r="B94" i="56"/>
  <c r="B93" i="56"/>
  <c r="B92" i="56"/>
  <c r="B80" i="56"/>
  <c r="B79" i="56"/>
  <c r="B78" i="56"/>
  <c r="B77" i="56"/>
  <c r="B76" i="56"/>
  <c r="B75" i="56"/>
  <c r="B74" i="56"/>
  <c r="B63" i="56"/>
  <c r="B62" i="56"/>
  <c r="B61" i="56"/>
  <c r="B60" i="56"/>
  <c r="B59" i="56"/>
  <c r="B58" i="56"/>
  <c r="B57" i="56"/>
  <c r="K73" i="56"/>
  <c r="K72" i="56"/>
  <c r="K71" i="56"/>
  <c r="K70" i="56"/>
  <c r="K69" i="56"/>
  <c r="G18" i="59"/>
  <c r="G17" i="59"/>
  <c r="C143" i="46"/>
  <c r="C150" i="56" s="1"/>
  <c r="C141" i="46"/>
  <c r="C148" i="56" s="1"/>
  <c r="C125" i="46"/>
  <c r="C132" i="56" s="1"/>
  <c r="C123" i="46"/>
  <c r="C130" i="56" s="1"/>
  <c r="C108" i="46"/>
  <c r="C115" i="56" s="1"/>
  <c r="C106" i="46"/>
  <c r="C113" i="56" s="1"/>
  <c r="C91" i="46"/>
  <c r="C98" i="56" s="1"/>
  <c r="C89" i="46"/>
  <c r="C96" i="56" s="1"/>
  <c r="C140" i="46"/>
  <c r="C147" i="56" s="1"/>
  <c r="C139" i="46"/>
  <c r="C146" i="56" s="1"/>
  <c r="C138" i="46"/>
  <c r="C145" i="56" s="1"/>
  <c r="C122" i="46"/>
  <c r="C129" i="56" s="1"/>
  <c r="C121" i="46"/>
  <c r="C128" i="56" s="1"/>
  <c r="C120" i="46"/>
  <c r="C127" i="56" s="1"/>
  <c r="C105" i="46"/>
  <c r="C112" i="56" s="1"/>
  <c r="C104" i="46"/>
  <c r="C111" i="56" s="1"/>
  <c r="C103" i="46"/>
  <c r="C110" i="56" s="1"/>
  <c r="C88" i="46"/>
  <c r="C95" i="56" s="1"/>
  <c r="C87" i="46"/>
  <c r="C94" i="56" s="1"/>
  <c r="C86" i="46"/>
  <c r="C93" i="56" s="1"/>
  <c r="C73" i="46"/>
  <c r="C80" i="56" s="1"/>
  <c r="C71" i="46"/>
  <c r="C78" i="56" s="1"/>
  <c r="C70" i="46"/>
  <c r="C77" i="56" s="1"/>
  <c r="C69" i="46"/>
  <c r="C76" i="56" s="1"/>
  <c r="C68" i="46"/>
  <c r="C75" i="56" s="1"/>
  <c r="C56" i="46"/>
  <c r="C54" i="46"/>
  <c r="C61" i="56" s="1"/>
  <c r="C53" i="46"/>
  <c r="C60" i="56" s="1"/>
  <c r="C52" i="46"/>
  <c r="C59" i="56" s="1"/>
  <c r="C51" i="46"/>
  <c r="C58" i="56" s="1"/>
  <c r="C63" i="56" l="1"/>
  <c r="D53" i="46"/>
  <c r="D51" i="46"/>
  <c r="D58" i="56" s="1"/>
  <c r="D52" i="46"/>
  <c r="D54" i="46"/>
  <c r="D69" i="46" l="1"/>
  <c r="D104" i="46" s="1"/>
  <c r="D111" i="56" s="1"/>
  <c r="D59" i="56"/>
  <c r="D71" i="46"/>
  <c r="D141" i="46" s="1"/>
  <c r="D148" i="56" s="1"/>
  <c r="D61" i="56"/>
  <c r="D70" i="46"/>
  <c r="D77" i="56" s="1"/>
  <c r="L77" i="56" s="1"/>
  <c r="D60" i="56"/>
  <c r="D68" i="46"/>
  <c r="D75" i="56" s="1"/>
  <c r="L75" i="56" s="1"/>
  <c r="D55" i="46"/>
  <c r="D62" i="56" s="1"/>
  <c r="D106" i="46" l="1"/>
  <c r="D113" i="56" s="1"/>
  <c r="D87" i="46"/>
  <c r="D94" i="56" s="1"/>
  <c r="D139" i="46"/>
  <c r="D146" i="56" s="1"/>
  <c r="D123" i="46"/>
  <c r="D130" i="56" s="1"/>
  <c r="D122" i="46"/>
  <c r="D129" i="56" s="1"/>
  <c r="D140" i="46"/>
  <c r="D147" i="56" s="1"/>
  <c r="D88" i="46"/>
  <c r="D95" i="56" s="1"/>
  <c r="D105" i="46"/>
  <c r="D112" i="56" s="1"/>
  <c r="D121" i="46"/>
  <c r="D128" i="56" s="1"/>
  <c r="D76" i="56"/>
  <c r="L76" i="56" s="1"/>
  <c r="D89" i="46"/>
  <c r="D96" i="56" s="1"/>
  <c r="D78" i="56"/>
  <c r="L78" i="56" s="1"/>
  <c r="D72" i="46"/>
  <c r="D79" i="56" s="1"/>
  <c r="D86" i="46"/>
  <c r="D93" i="56" s="1"/>
  <c r="D120" i="46"/>
  <c r="D127" i="56" s="1"/>
  <c r="D138" i="46"/>
  <c r="D145" i="56" s="1"/>
  <c r="D103" i="46"/>
  <c r="D110" i="56" s="1"/>
  <c r="L79" i="56" l="1"/>
  <c r="D90" i="46"/>
  <c r="D97" i="56" s="1"/>
  <c r="D107" i="46"/>
  <c r="D114" i="56" s="1"/>
  <c r="D124" i="46" l="1"/>
  <c r="D131" i="56" s="1"/>
  <c r="D142" i="46" l="1"/>
  <c r="D149" i="56" s="1"/>
  <c r="B53" i="56" l="1"/>
  <c r="B36" i="56"/>
  <c r="B35" i="56"/>
  <c r="B34" i="56"/>
  <c r="B33" i="56"/>
  <c r="C115" i="46"/>
  <c r="C122" i="56" s="1"/>
  <c r="C133" i="46"/>
  <c r="C140" i="56" s="1"/>
  <c r="C98" i="46"/>
  <c r="C105" i="56" s="1"/>
  <c r="C81" i="46"/>
  <c r="C88" i="56" s="1"/>
  <c r="C47" i="46"/>
  <c r="C48" i="46"/>
  <c r="C49" i="46"/>
  <c r="C56" i="56" s="1"/>
  <c r="C46" i="46"/>
  <c r="M79" i="59"/>
  <c r="B63" i="46"/>
  <c r="B81" i="46" s="1"/>
  <c r="B98" i="46" s="1"/>
  <c r="B115" i="46" s="1"/>
  <c r="B122" i="56" s="1"/>
  <c r="J86" i="50"/>
  <c r="C53" i="56" l="1"/>
  <c r="C55" i="56"/>
  <c r="C54" i="56"/>
  <c r="B70" i="56"/>
  <c r="B133" i="46"/>
  <c r="B140" i="56" s="1"/>
  <c r="B88" i="56"/>
  <c r="B105" i="56"/>
  <c r="D46" i="46"/>
  <c r="D53" i="56" l="1"/>
  <c r="D20" i="42" l="1"/>
  <c r="D21" i="42"/>
  <c r="D22" i="42"/>
  <c r="D19" i="42"/>
  <c r="B24" i="42"/>
  <c r="B39" i="42" s="1"/>
  <c r="B32" i="42"/>
  <c r="B20" i="42"/>
  <c r="B35" i="42" s="1"/>
  <c r="B21" i="42"/>
  <c r="B36" i="42" s="1"/>
  <c r="B22" i="42"/>
  <c r="B37" i="42" s="1"/>
  <c r="B19" i="42"/>
  <c r="B34" i="42" s="1"/>
  <c r="K51" i="50"/>
  <c r="J80" i="50"/>
  <c r="D23" i="42" l="1"/>
  <c r="B29" i="42"/>
  <c r="D14" i="42"/>
  <c r="I109" i="59" l="1"/>
  <c r="I94" i="59"/>
  <c r="J79" i="59"/>
  <c r="I79" i="59"/>
  <c r="I64" i="59"/>
  <c r="I63" i="59"/>
  <c r="I48" i="59"/>
  <c r="I47" i="59"/>
  <c r="L64" i="59"/>
  <c r="K64" i="59"/>
  <c r="D64" i="59"/>
  <c r="E64" i="59"/>
  <c r="F64" i="59"/>
  <c r="H64" i="59"/>
  <c r="C64" i="59"/>
  <c r="P64" i="59"/>
  <c r="P63" i="59"/>
  <c r="P47" i="59"/>
  <c r="P48" i="59"/>
  <c r="P30" i="59"/>
  <c r="P29" i="59"/>
  <c r="P26" i="59"/>
  <c r="P27" i="59"/>
  <c r="P25" i="59"/>
  <c r="Q109" i="59" l="1"/>
  <c r="O109" i="59"/>
  <c r="L109" i="59"/>
  <c r="K109" i="59"/>
  <c r="H109" i="59"/>
  <c r="J109" i="59" s="1"/>
  <c r="E109" i="59"/>
  <c r="F109" i="59"/>
  <c r="C109" i="59"/>
  <c r="D109" i="59"/>
  <c r="B109" i="59"/>
  <c r="L94" i="59"/>
  <c r="H94" i="59"/>
  <c r="M94" i="59"/>
  <c r="Q94" i="59"/>
  <c r="P94" i="59"/>
  <c r="C94" i="59"/>
  <c r="D94" i="59"/>
  <c r="E94" i="59"/>
  <c r="F94" i="59"/>
  <c r="B94" i="59"/>
  <c r="Q79" i="59"/>
  <c r="P79" i="59"/>
  <c r="L79" i="59"/>
  <c r="H79" i="59"/>
  <c r="D79" i="59"/>
  <c r="E79" i="59"/>
  <c r="F79" i="59"/>
  <c r="C79" i="59"/>
  <c r="B79" i="59"/>
  <c r="J85" i="50"/>
  <c r="H85" i="50"/>
  <c r="G79" i="59" s="1"/>
  <c r="O64" i="59"/>
  <c r="Q64" i="59"/>
  <c r="Q63" i="59"/>
  <c r="L48" i="59"/>
  <c r="O48" i="59"/>
  <c r="Q48" i="59"/>
  <c r="C48" i="59"/>
  <c r="D48" i="59"/>
  <c r="E48" i="59"/>
  <c r="F48" i="59"/>
  <c r="O63" i="59"/>
  <c r="F63" i="59"/>
  <c r="E63" i="59"/>
  <c r="D63" i="59"/>
  <c r="C63" i="59"/>
  <c r="Q47" i="59"/>
  <c r="O47" i="59"/>
  <c r="F47" i="59"/>
  <c r="E47" i="59"/>
  <c r="D47" i="59"/>
  <c r="C47" i="59"/>
  <c r="L30" i="59"/>
  <c r="L26" i="59"/>
  <c r="L27" i="59"/>
  <c r="L29" i="59"/>
  <c r="Q30" i="59"/>
  <c r="O30" i="59"/>
  <c r="I30" i="59"/>
  <c r="H30" i="59"/>
  <c r="F30" i="59"/>
  <c r="E30" i="59"/>
  <c r="D30" i="59"/>
  <c r="C30" i="59"/>
  <c r="B30" i="59"/>
  <c r="Q29" i="59"/>
  <c r="I29" i="59"/>
  <c r="H29" i="59"/>
  <c r="F29" i="59"/>
  <c r="E29" i="59"/>
  <c r="D29" i="59"/>
  <c r="C29" i="59"/>
  <c r="B29" i="59"/>
  <c r="Q26" i="59"/>
  <c r="O26" i="59"/>
  <c r="I26" i="59"/>
  <c r="H26" i="59"/>
  <c r="J30" i="59" s="1"/>
  <c r="F26" i="59"/>
  <c r="E26" i="59"/>
  <c r="D26" i="59"/>
  <c r="C26" i="59"/>
  <c r="B26" i="59"/>
  <c r="Q25" i="59"/>
  <c r="O25" i="59"/>
  <c r="L25" i="59"/>
  <c r="I25" i="59"/>
  <c r="J29" i="59"/>
  <c r="F25" i="59"/>
  <c r="E25" i="59"/>
  <c r="D25" i="59"/>
  <c r="C25" i="59"/>
  <c r="B25" i="59"/>
  <c r="C63" i="46"/>
  <c r="O27" i="59"/>
  <c r="Q27" i="59"/>
  <c r="I27" i="59"/>
  <c r="H27" i="59"/>
  <c r="J27" i="59" s="1"/>
  <c r="E9" i="59" s="1"/>
  <c r="C27" i="59"/>
  <c r="D27" i="59"/>
  <c r="E27" i="59"/>
  <c r="F27" i="59"/>
  <c r="B27" i="59"/>
  <c r="P38" i="59" l="1"/>
  <c r="P37" i="59"/>
  <c r="C70" i="56"/>
  <c r="D63" i="46"/>
  <c r="J26" i="59"/>
  <c r="J83" i="50"/>
  <c r="K48" i="59" s="1"/>
  <c r="I83" i="50"/>
  <c r="H48" i="59" s="1"/>
  <c r="H83" i="50"/>
  <c r="G48" i="59" s="1"/>
  <c r="I82" i="50"/>
  <c r="J48" i="59" l="1"/>
  <c r="G9" i="59"/>
  <c r="D9" i="59"/>
  <c r="D70" i="56"/>
  <c r="D133" i="46"/>
  <c r="D140" i="56" s="1"/>
  <c r="D81" i="46"/>
  <c r="D88" i="56" s="1"/>
  <c r="D115" i="46"/>
  <c r="D122" i="56" s="1"/>
  <c r="D98" i="46"/>
  <c r="D105" i="56" s="1"/>
  <c r="M48" i="59"/>
  <c r="H63" i="59"/>
  <c r="H47" i="59"/>
  <c r="J64" i="59"/>
  <c r="H87" i="50"/>
  <c r="G109" i="59" s="1"/>
  <c r="H86" i="50"/>
  <c r="G94" i="59" s="1"/>
  <c r="H84" i="50"/>
  <c r="G64" i="59" s="1"/>
  <c r="H82" i="50"/>
  <c r="H81" i="50"/>
  <c r="G27" i="59" s="1"/>
  <c r="M27" i="59" s="1"/>
  <c r="K47" i="59"/>
  <c r="M64" i="59" l="1"/>
  <c r="N64" i="59" s="1"/>
  <c r="R64" i="59" s="1"/>
  <c r="H9" i="59"/>
  <c r="N48" i="59"/>
  <c r="R48" i="59" s="1"/>
  <c r="G63" i="59"/>
  <c r="G47" i="59"/>
  <c r="H80" i="50"/>
  <c r="G104" i="50"/>
  <c r="F135" i="59" s="1"/>
  <c r="H104" i="50"/>
  <c r="G135" i="59" s="1"/>
  <c r="C192" i="46"/>
  <c r="C191" i="46"/>
  <c r="C190" i="46"/>
  <c r="C199" i="56"/>
  <c r="C198" i="56"/>
  <c r="C197" i="56"/>
  <c r="C187" i="56"/>
  <c r="C186" i="56"/>
  <c r="C185" i="56"/>
  <c r="C184" i="56"/>
  <c r="C183" i="56"/>
  <c r="C182" i="56"/>
  <c r="C181" i="56"/>
  <c r="C180" i="46"/>
  <c r="C179" i="46"/>
  <c r="C178" i="46"/>
  <c r="C163" i="56"/>
  <c r="C162" i="56"/>
  <c r="C161" i="56"/>
  <c r="C160" i="56"/>
  <c r="C159" i="56"/>
  <c r="C158" i="56"/>
  <c r="C157" i="56"/>
  <c r="C156" i="46"/>
  <c r="C155" i="46"/>
  <c r="C154" i="46"/>
  <c r="C136" i="46"/>
  <c r="C143" i="56" s="1"/>
  <c r="C38" i="46"/>
  <c r="C45" i="56" s="1"/>
  <c r="C37" i="46"/>
  <c r="C44" i="56" s="1"/>
  <c r="C36" i="46"/>
  <c r="C43" i="56" s="1"/>
  <c r="C42" i="56"/>
  <c r="B156" i="46"/>
  <c r="B180" i="46" s="1"/>
  <c r="B192" i="46" s="1"/>
  <c r="B155" i="46"/>
  <c r="B179" i="46" s="1"/>
  <c r="B191" i="46" s="1"/>
  <c r="B154" i="46"/>
  <c r="B178" i="46" s="1"/>
  <c r="B190" i="46" s="1"/>
  <c r="F18" i="59"/>
  <c r="F17" i="59"/>
  <c r="E18" i="59"/>
  <c r="E17" i="59"/>
  <c r="D18" i="59"/>
  <c r="D17" i="59"/>
  <c r="L47" i="59"/>
  <c r="P53" i="59" s="1"/>
  <c r="K94" i="59"/>
  <c r="N94" i="59" s="1"/>
  <c r="O94" i="59" s="1"/>
  <c r="R94" i="59" s="1"/>
  <c r="J47" i="59"/>
  <c r="J81" i="50"/>
  <c r="K27" i="59" s="1"/>
  <c r="N27" i="59" s="1"/>
  <c r="R27" i="59" s="1"/>
  <c r="J84" i="50"/>
  <c r="O86" i="59"/>
  <c r="O101" i="59"/>
  <c r="O116" i="59"/>
  <c r="B30" i="42"/>
  <c r="B31" i="42"/>
  <c r="B28" i="42"/>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14" i="57"/>
  <c r="G13" i="57"/>
  <c r="H45" i="57"/>
  <c r="H44" i="57"/>
  <c r="H43" i="57"/>
  <c r="I45" i="57"/>
  <c r="I44" i="57"/>
  <c r="I43" i="57"/>
  <c r="E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E45" i="57"/>
  <c r="E44"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13" i="57"/>
  <c r="R53" i="59" l="1"/>
  <c r="O70" i="59"/>
  <c r="O69" i="59"/>
  <c r="M47" i="59"/>
  <c r="N47" i="59" s="1"/>
  <c r="R47" i="59" s="1"/>
  <c r="K30" i="59"/>
  <c r="K26" i="59"/>
  <c r="G30" i="59"/>
  <c r="G26" i="59"/>
  <c r="M26" i="59" s="1"/>
  <c r="I17" i="59"/>
  <c r="I18" i="59"/>
  <c r="P116" i="59"/>
  <c r="R116" i="59" s="1"/>
  <c r="M109" i="59"/>
  <c r="N109" i="59" s="1"/>
  <c r="R109" i="59" s="1"/>
  <c r="J45" i="57"/>
  <c r="J44" i="57"/>
  <c r="J43" i="57"/>
  <c r="B14" i="32"/>
  <c r="N7" i="32"/>
  <c r="C1337" i="32"/>
  <c r="C1338" i="32"/>
  <c r="C1339" i="32"/>
  <c r="C1340" i="32"/>
  <c r="I1337" i="32"/>
  <c r="D1337" i="32" s="1"/>
  <c r="J1337" i="32"/>
  <c r="E1337" i="32" s="1"/>
  <c r="G1337" i="32"/>
  <c r="H1337" i="32"/>
  <c r="K1337" i="32"/>
  <c r="L1337" i="32"/>
  <c r="I1338" i="32"/>
  <c r="D1338" i="32" s="1"/>
  <c r="J1338" i="32"/>
  <c r="E1338" i="32"/>
  <c r="G1338" i="32"/>
  <c r="H1338" i="32"/>
  <c r="K1338" i="32"/>
  <c r="L1338" i="32"/>
  <c r="I1339" i="32"/>
  <c r="D1339" i="32" s="1"/>
  <c r="J1339" i="32"/>
  <c r="E1339" i="32" s="1"/>
  <c r="G1339" i="32"/>
  <c r="H1339" i="32"/>
  <c r="K1339" i="32"/>
  <c r="L1339" i="32"/>
  <c r="I1340" i="32"/>
  <c r="D1340" i="32" s="1"/>
  <c r="J1340" i="32"/>
  <c r="E1340" i="32" s="1"/>
  <c r="G1340" i="32"/>
  <c r="F1340" i="32" s="1"/>
  <c r="H1340" i="32"/>
  <c r="K1340" i="32"/>
  <c r="L1340" i="32"/>
  <c r="C1341" i="32"/>
  <c r="I1341" i="32"/>
  <c r="D1341" i="32" s="1"/>
  <c r="J1341" i="32"/>
  <c r="E1341" i="32" s="1"/>
  <c r="G1341" i="32"/>
  <c r="H1341" i="32"/>
  <c r="K1341" i="32"/>
  <c r="L1341" i="32"/>
  <c r="C1342" i="32"/>
  <c r="I1342" i="32"/>
  <c r="D1342" i="32"/>
  <c r="J1342" i="32"/>
  <c r="E1342" i="32"/>
  <c r="G1342" i="32"/>
  <c r="H1342" i="32"/>
  <c r="F1342" i="32"/>
  <c r="K1342" i="32"/>
  <c r="L1342" i="32"/>
  <c r="C1343" i="32"/>
  <c r="I1343" i="32"/>
  <c r="D1343" i="32"/>
  <c r="J1343" i="32"/>
  <c r="E1343" i="32"/>
  <c r="G1343" i="32"/>
  <c r="H1343" i="32"/>
  <c r="F1343" i="32"/>
  <c r="K1343" i="32"/>
  <c r="L1343" i="32"/>
  <c r="C1344" i="32"/>
  <c r="I1344" i="32"/>
  <c r="D1344" i="32"/>
  <c r="J1344" i="32"/>
  <c r="E1344" i="32"/>
  <c r="G1344" i="32"/>
  <c r="H1344" i="32"/>
  <c r="F1344" i="32"/>
  <c r="K1344" i="32"/>
  <c r="L1344" i="32"/>
  <c r="C1345" i="32"/>
  <c r="I1345" i="32"/>
  <c r="D1345" i="32"/>
  <c r="J1345" i="32"/>
  <c r="E1345" i="32"/>
  <c r="G1345" i="32"/>
  <c r="H1345" i="32"/>
  <c r="F1345" i="32"/>
  <c r="K1345" i="32"/>
  <c r="L1345" i="32"/>
  <c r="C1346" i="32"/>
  <c r="I1346" i="32"/>
  <c r="D1346" i="32"/>
  <c r="J1346" i="32"/>
  <c r="E1346" i="32"/>
  <c r="G1346" i="32"/>
  <c r="H1346" i="32"/>
  <c r="F1346" i="32"/>
  <c r="K1346" i="32"/>
  <c r="L1346" i="32"/>
  <c r="C1347" i="32"/>
  <c r="I1347" i="32"/>
  <c r="D1347" i="32"/>
  <c r="J1347" i="32"/>
  <c r="E1347" i="32"/>
  <c r="G1347" i="32"/>
  <c r="H1347" i="32"/>
  <c r="F1347" i="32"/>
  <c r="K1347" i="32"/>
  <c r="L1347" i="32"/>
  <c r="C1348" i="32"/>
  <c r="I1348" i="32"/>
  <c r="D1348" i="32"/>
  <c r="J1348" i="32"/>
  <c r="E1348" i="32"/>
  <c r="G1348" i="32"/>
  <c r="H1348" i="32"/>
  <c r="F1348" i="32"/>
  <c r="K1348" i="32"/>
  <c r="L1348" i="32"/>
  <c r="C1349" i="32"/>
  <c r="I1349" i="32"/>
  <c r="D1349" i="32"/>
  <c r="J1349" i="32"/>
  <c r="E1349" i="32"/>
  <c r="G1349" i="32"/>
  <c r="H1349" i="32"/>
  <c r="F1349" i="32"/>
  <c r="K1349" i="32"/>
  <c r="L1349" i="32"/>
  <c r="C1350" i="32"/>
  <c r="I1350" i="32"/>
  <c r="D1350" i="32"/>
  <c r="J1350" i="32"/>
  <c r="E1350" i="32"/>
  <c r="G1350" i="32"/>
  <c r="H1350" i="32"/>
  <c r="F1350" i="32"/>
  <c r="K1350" i="32"/>
  <c r="L1350" i="32"/>
  <c r="C1351" i="32"/>
  <c r="I1351" i="32"/>
  <c r="D1351" i="32"/>
  <c r="J1351" i="32"/>
  <c r="E1351" i="32"/>
  <c r="G1351" i="32"/>
  <c r="H1351" i="32"/>
  <c r="F1351" i="32"/>
  <c r="K1351" i="32"/>
  <c r="L1351" i="32"/>
  <c r="C1352" i="32"/>
  <c r="I1352" i="32"/>
  <c r="D1352" i="32"/>
  <c r="J1352" i="32"/>
  <c r="E1352" i="32"/>
  <c r="G1352" i="32"/>
  <c r="H1352" i="32"/>
  <c r="F1352" i="32"/>
  <c r="K1352" i="32"/>
  <c r="L1352" i="32"/>
  <c r="C1353" i="32"/>
  <c r="I1353" i="32"/>
  <c r="D1353" i="32"/>
  <c r="J1353" i="32"/>
  <c r="E1353" i="32"/>
  <c r="G1353" i="32"/>
  <c r="H1353" i="32"/>
  <c r="F1353" i="32"/>
  <c r="K1353" i="32"/>
  <c r="L1353" i="32"/>
  <c r="C1354" i="32"/>
  <c r="I1354" i="32"/>
  <c r="D1354" i="32"/>
  <c r="J1354" i="32"/>
  <c r="E1354" i="32"/>
  <c r="G1354" i="32"/>
  <c r="H1354" i="32"/>
  <c r="F1354" i="32"/>
  <c r="K1354" i="32"/>
  <c r="L1354" i="32"/>
  <c r="C1355" i="32"/>
  <c r="I1355" i="32"/>
  <c r="D1355" i="32"/>
  <c r="J1355" i="32"/>
  <c r="E1355" i="32"/>
  <c r="G1355" i="32"/>
  <c r="H1355" i="32"/>
  <c r="F1355" i="32"/>
  <c r="K1355" i="32"/>
  <c r="L1355" i="32"/>
  <c r="C1356" i="32"/>
  <c r="I1356" i="32"/>
  <c r="D1356" i="32"/>
  <c r="J1356" i="32"/>
  <c r="E1356" i="32"/>
  <c r="G1356" i="32"/>
  <c r="H1356" i="32"/>
  <c r="F1356" i="32"/>
  <c r="K1356" i="32"/>
  <c r="L1356" i="32"/>
  <c r="C1357" i="32"/>
  <c r="I1357" i="32"/>
  <c r="D1357" i="32"/>
  <c r="J1357" i="32"/>
  <c r="E1357" i="32"/>
  <c r="G1357" i="32"/>
  <c r="H1357" i="32"/>
  <c r="F1357" i="32"/>
  <c r="K1357" i="32"/>
  <c r="L1357" i="32"/>
  <c r="C1358" i="32"/>
  <c r="I1358" i="32"/>
  <c r="D1358" i="32"/>
  <c r="J1358" i="32"/>
  <c r="E1358" i="32"/>
  <c r="G1358" i="32"/>
  <c r="H1358" i="32"/>
  <c r="F1358" i="32"/>
  <c r="K1358" i="32"/>
  <c r="L1358" i="32"/>
  <c r="C1359" i="32"/>
  <c r="I1359" i="32"/>
  <c r="D1359" i="32"/>
  <c r="J1359" i="32"/>
  <c r="E1359" i="32"/>
  <c r="G1359" i="32"/>
  <c r="H1359" i="32"/>
  <c r="F1359" i="32"/>
  <c r="K1359" i="32"/>
  <c r="L1359" i="32"/>
  <c r="C1360" i="32"/>
  <c r="I1360" i="32"/>
  <c r="D1360" i="32"/>
  <c r="J1360" i="32"/>
  <c r="E1360" i="32"/>
  <c r="G1360" i="32"/>
  <c r="H1360" i="32"/>
  <c r="F1360" i="32"/>
  <c r="K1360" i="32"/>
  <c r="L1360" i="32"/>
  <c r="C1361" i="32"/>
  <c r="I1361" i="32"/>
  <c r="D1361" i="32"/>
  <c r="J1361" i="32"/>
  <c r="E1361" i="32"/>
  <c r="G1361" i="32"/>
  <c r="H1361" i="32"/>
  <c r="F1361" i="32"/>
  <c r="K1361" i="32"/>
  <c r="L1361" i="32"/>
  <c r="C1362" i="32"/>
  <c r="I1362" i="32"/>
  <c r="D1362" i="32"/>
  <c r="J1362" i="32"/>
  <c r="E1362" i="32"/>
  <c r="G1362" i="32"/>
  <c r="H1362" i="32"/>
  <c r="F1362" i="32"/>
  <c r="K1362" i="32"/>
  <c r="L1362" i="32"/>
  <c r="C1363" i="32"/>
  <c r="I1363" i="32"/>
  <c r="D1363" i="32"/>
  <c r="J1363" i="32"/>
  <c r="E1363" i="32"/>
  <c r="G1363" i="32"/>
  <c r="H1363" i="32"/>
  <c r="F1363" i="32"/>
  <c r="K1363" i="32"/>
  <c r="L1363" i="32"/>
  <c r="C1364" i="32"/>
  <c r="I1364" i="32"/>
  <c r="D1364" i="32"/>
  <c r="J1364" i="32"/>
  <c r="E1364" i="32"/>
  <c r="G1364" i="32"/>
  <c r="H1364" i="32"/>
  <c r="F1364" i="32"/>
  <c r="K1364" i="32"/>
  <c r="L1364" i="32"/>
  <c r="C1365" i="32"/>
  <c r="I1365" i="32"/>
  <c r="D1365" i="32"/>
  <c r="J1365" i="32"/>
  <c r="E1365" i="32"/>
  <c r="G1365" i="32"/>
  <c r="H1365" i="32"/>
  <c r="F1365" i="32"/>
  <c r="K1365" i="32"/>
  <c r="L1365" i="32"/>
  <c r="C1366" i="32"/>
  <c r="I1366" i="32"/>
  <c r="D1366" i="32"/>
  <c r="J1366" i="32"/>
  <c r="E1366" i="32"/>
  <c r="G1366" i="32"/>
  <c r="H1366" i="32"/>
  <c r="F1366" i="32"/>
  <c r="K1366" i="32"/>
  <c r="L1366" i="32"/>
  <c r="C1367" i="32"/>
  <c r="I1367" i="32"/>
  <c r="D1367" i="32"/>
  <c r="J1367" i="32"/>
  <c r="E1367" i="32"/>
  <c r="G1367" i="32"/>
  <c r="H1367" i="32"/>
  <c r="F1367" i="32"/>
  <c r="K1367" i="32"/>
  <c r="L1367" i="32"/>
  <c r="C1368" i="32"/>
  <c r="I1368" i="32"/>
  <c r="D1368" i="32"/>
  <c r="J1368" i="32"/>
  <c r="E1368" i="32"/>
  <c r="G1368" i="32"/>
  <c r="H1368" i="32"/>
  <c r="F1368" i="32"/>
  <c r="K1368" i="32"/>
  <c r="L1368" i="32"/>
  <c r="C1369" i="32"/>
  <c r="I1369" i="32"/>
  <c r="D1369" i="32"/>
  <c r="J1369" i="32"/>
  <c r="E1369" i="32"/>
  <c r="G1369" i="32"/>
  <c r="H1369" i="32"/>
  <c r="F1369" i="32"/>
  <c r="K1369" i="32"/>
  <c r="L1369" i="32"/>
  <c r="C1370" i="32"/>
  <c r="I1370" i="32"/>
  <c r="D1370" i="32"/>
  <c r="J1370" i="32"/>
  <c r="E1370" i="32"/>
  <c r="G1370" i="32"/>
  <c r="H1370" i="32"/>
  <c r="F1370" i="32"/>
  <c r="K1370" i="32"/>
  <c r="L1370" i="32"/>
  <c r="C1371" i="32"/>
  <c r="I1371" i="32"/>
  <c r="D1371" i="32"/>
  <c r="J1371" i="32"/>
  <c r="E1371" i="32"/>
  <c r="G1371" i="32"/>
  <c r="H1371" i="32"/>
  <c r="F1371" i="32"/>
  <c r="K1371" i="32"/>
  <c r="L1371" i="32"/>
  <c r="C1372" i="32"/>
  <c r="I1372" i="32"/>
  <c r="D1372" i="32"/>
  <c r="J1372" i="32"/>
  <c r="E1372" i="32"/>
  <c r="G1372" i="32"/>
  <c r="H1372" i="32"/>
  <c r="F1372" i="32"/>
  <c r="K1372" i="32"/>
  <c r="L1372" i="32"/>
  <c r="C1373" i="32"/>
  <c r="I1373" i="32"/>
  <c r="D1373" i="32"/>
  <c r="J1373" i="32"/>
  <c r="E1373" i="32"/>
  <c r="G1373" i="32"/>
  <c r="H1373" i="32"/>
  <c r="F1373" i="32"/>
  <c r="K1373" i="32"/>
  <c r="L1373" i="32"/>
  <c r="C1374" i="32"/>
  <c r="I1374" i="32"/>
  <c r="D1374" i="32"/>
  <c r="J1374" i="32"/>
  <c r="E1374" i="32"/>
  <c r="G1374" i="32"/>
  <c r="H1374" i="32"/>
  <c r="F1374" i="32"/>
  <c r="K1374" i="32"/>
  <c r="L1374" i="32"/>
  <c r="C1375" i="32"/>
  <c r="I1375" i="32"/>
  <c r="D1375" i="32"/>
  <c r="J1375" i="32"/>
  <c r="E1375" i="32"/>
  <c r="G1375" i="32"/>
  <c r="H1375" i="32"/>
  <c r="F1375" i="32"/>
  <c r="K1375" i="32"/>
  <c r="L1375" i="32"/>
  <c r="C1376" i="32"/>
  <c r="I1376" i="32"/>
  <c r="D1376" i="32"/>
  <c r="J1376" i="32"/>
  <c r="E1376" i="32"/>
  <c r="G1376" i="32"/>
  <c r="H1376" i="32"/>
  <c r="F1376" i="32"/>
  <c r="K1376" i="32"/>
  <c r="L1376" i="32"/>
  <c r="D1377" i="32"/>
  <c r="E1377" i="32"/>
  <c r="F1377" i="32"/>
  <c r="D1378" i="32"/>
  <c r="E1378" i="32"/>
  <c r="F1378" i="32"/>
  <c r="E18" i="50"/>
  <c r="E1784" i="32"/>
  <c r="D1784" i="32"/>
  <c r="C196" i="56"/>
  <c r="C195" i="56"/>
  <c r="C194" i="56"/>
  <c r="C193" i="56"/>
  <c r="C189" i="46"/>
  <c r="C188" i="46"/>
  <c r="C187" i="46"/>
  <c r="C186" i="46"/>
  <c r="C177" i="46"/>
  <c r="C176" i="46"/>
  <c r="C175" i="46"/>
  <c r="C174" i="46"/>
  <c r="C153" i="46"/>
  <c r="C152" i="46"/>
  <c r="C151" i="46"/>
  <c r="C150" i="46"/>
  <c r="C135" i="46"/>
  <c r="C142" i="56" s="1"/>
  <c r="C134" i="46"/>
  <c r="C141" i="56" s="1"/>
  <c r="C132" i="46"/>
  <c r="C139" i="56" s="1"/>
  <c r="C118" i="46"/>
  <c r="C125" i="56" s="1"/>
  <c r="C101" i="46"/>
  <c r="C108" i="56" s="1"/>
  <c r="C84" i="46"/>
  <c r="C91" i="56" s="1"/>
  <c r="C66" i="46"/>
  <c r="C73" i="56" s="1"/>
  <c r="B38" i="46"/>
  <c r="B37" i="46"/>
  <c r="B36" i="46"/>
  <c r="B35" i="46"/>
  <c r="C29" i="46"/>
  <c r="C28" i="46"/>
  <c r="C27" i="46"/>
  <c r="C34" i="56" s="1"/>
  <c r="C26" i="46"/>
  <c r="K79" i="59"/>
  <c r="I9" i="59" s="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c r="E1763" i="32"/>
  <c r="E1764" i="32"/>
  <c r="E1754" i="32"/>
  <c r="L1739" i="32"/>
  <c r="F1739" i="32"/>
  <c r="F1762" i="32"/>
  <c r="G1739" i="32"/>
  <c r="G1762" i="32"/>
  <c r="H1739" i="32"/>
  <c r="H1762" i="32"/>
  <c r="I1739" i="32"/>
  <c r="I1762" i="32"/>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c r="K1210" i="32"/>
  <c r="L1210" i="32"/>
  <c r="C1211" i="32"/>
  <c r="G1211" i="32"/>
  <c r="H1211" i="32"/>
  <c r="I1211" i="32"/>
  <c r="D1211" i="32" s="1"/>
  <c r="J1211" i="32"/>
  <c r="E1211" i="32"/>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G1221" i="32"/>
  <c r="H1221" i="32"/>
  <c r="F1221" i="32" s="1"/>
  <c r="I1221" i="32"/>
  <c r="D1221" i="32" s="1"/>
  <c r="J1221" i="32"/>
  <c r="E1221" i="32" s="1"/>
  <c r="K1221" i="32"/>
  <c r="L1221" i="32"/>
  <c r="C1222" i="32"/>
  <c r="G1222" i="32"/>
  <c r="H1222" i="32"/>
  <c r="I1222" i="32"/>
  <c r="D1222" i="32" s="1"/>
  <c r="J1222" i="32"/>
  <c r="E1222" i="32" s="1"/>
  <c r="K1222" i="32"/>
  <c r="L1222" i="32"/>
  <c r="C1223" i="32"/>
  <c r="G1223" i="32"/>
  <c r="H1223" i="32"/>
  <c r="I1223" i="32"/>
  <c r="D1223" i="32"/>
  <c r="J1223" i="32"/>
  <c r="E1223" i="32" s="1"/>
  <c r="K1223" i="32"/>
  <c r="L1223" i="32"/>
  <c r="C1224" i="32"/>
  <c r="G1224" i="32"/>
  <c r="H1224" i="32"/>
  <c r="I1224" i="32"/>
  <c r="D1224" i="32" s="1"/>
  <c r="J1224" i="32"/>
  <c r="E1224" i="32" s="1"/>
  <c r="K1224" i="32"/>
  <c r="L1224" i="32"/>
  <c r="C1225" i="32"/>
  <c r="G1225" i="32"/>
  <c r="F1225" i="32" s="1"/>
  <c r="H1225" i="32"/>
  <c r="I1225" i="32"/>
  <c r="D1225" i="32" s="1"/>
  <c r="J1225" i="32"/>
  <c r="E1225" i="32"/>
  <c r="K1225" i="32"/>
  <c r="L1225" i="32"/>
  <c r="C1226" i="32"/>
  <c r="G1226" i="32"/>
  <c r="H1226" i="32"/>
  <c r="I1226" i="32"/>
  <c r="D1226" i="32" s="1"/>
  <c r="J1226" i="32"/>
  <c r="E1226" i="32" s="1"/>
  <c r="K1226" i="32"/>
  <c r="L1226" i="32"/>
  <c r="C1227" i="32"/>
  <c r="G1227" i="32"/>
  <c r="H1227" i="32"/>
  <c r="F1227" i="32" s="1"/>
  <c r="I1227" i="32"/>
  <c r="D1227" i="32"/>
  <c r="J1227" i="32"/>
  <c r="E1227" i="32" s="1"/>
  <c r="K1227" i="32"/>
  <c r="L1227" i="32"/>
  <c r="C1228" i="32"/>
  <c r="G1228" i="32"/>
  <c r="H1228" i="32"/>
  <c r="I1228" i="32"/>
  <c r="D1228" i="32" s="1"/>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c r="J1231" i="32"/>
  <c r="E1231" i="32"/>
  <c r="K1231" i="32"/>
  <c r="L1231" i="32"/>
  <c r="C1232" i="32"/>
  <c r="G1232" i="32"/>
  <c r="H1232" i="32"/>
  <c r="I1232" i="32"/>
  <c r="D1232" i="32" s="1"/>
  <c r="J1232" i="32"/>
  <c r="E1232" i="32"/>
  <c r="K1232" i="32"/>
  <c r="L1232" i="32"/>
  <c r="C1233" i="32"/>
  <c r="E1233" i="32"/>
  <c r="G1233" i="32"/>
  <c r="F1233" i="32"/>
  <c r="H1233" i="32"/>
  <c r="I1233" i="32"/>
  <c r="D1233" i="32" s="1"/>
  <c r="J1233" i="32"/>
  <c r="K1233" i="32"/>
  <c r="L1233" i="32"/>
  <c r="C1234" i="32"/>
  <c r="G1234" i="32"/>
  <c r="H1234" i="32"/>
  <c r="I1234" i="32"/>
  <c r="D1234" i="32" s="1"/>
  <c r="J1234" i="32"/>
  <c r="E1234" i="32" s="1"/>
  <c r="K1234" i="32"/>
  <c r="L1234" i="32"/>
  <c r="C1235" i="32"/>
  <c r="G1235" i="32"/>
  <c r="F1235" i="32"/>
  <c r="H1235" i="32"/>
  <c r="I1235" i="32"/>
  <c r="D1235" i="32"/>
  <c r="J1235" i="32"/>
  <c r="E1235" i="32" s="1"/>
  <c r="K1235" i="32"/>
  <c r="L1235" i="32"/>
  <c r="C1236" i="32"/>
  <c r="G1236" i="32"/>
  <c r="H1236" i="32"/>
  <c r="I1236" i="32"/>
  <c r="D1236" i="32"/>
  <c r="J1236" i="32"/>
  <c r="E1236" i="32" s="1"/>
  <c r="K1236" i="32"/>
  <c r="L1236" i="32"/>
  <c r="C1237" i="32"/>
  <c r="G1237" i="32"/>
  <c r="H1237" i="32"/>
  <c r="I1237" i="32"/>
  <c r="D1237" i="32"/>
  <c r="J1237" i="32"/>
  <c r="E1237" i="32" s="1"/>
  <c r="K1237" i="32"/>
  <c r="L1237" i="32"/>
  <c r="C1238" i="32"/>
  <c r="G1238" i="32"/>
  <c r="H1238" i="32"/>
  <c r="I1238" i="32"/>
  <c r="D1238" i="32" s="1"/>
  <c r="J1238" i="32"/>
  <c r="E1238" i="32" s="1"/>
  <c r="K1238" i="32"/>
  <c r="L1238" i="32"/>
  <c r="C1239" i="32"/>
  <c r="G1239" i="32"/>
  <c r="H1239" i="32"/>
  <c r="I1239" i="32"/>
  <c r="D1239" i="32"/>
  <c r="J1239" i="32"/>
  <c r="E1239" i="32" s="1"/>
  <c r="K1239" i="32"/>
  <c r="L1239" i="32"/>
  <c r="C1240" i="32"/>
  <c r="G1240" i="32"/>
  <c r="H1240" i="32"/>
  <c r="I1240" i="32"/>
  <c r="D1240" i="32" s="1"/>
  <c r="J1240" i="32"/>
  <c r="E1240" i="32"/>
  <c r="K1240" i="32"/>
  <c r="L1240" i="32"/>
  <c r="C1241" i="32"/>
  <c r="G1241" i="32"/>
  <c r="H1241" i="32"/>
  <c r="I1241" i="32"/>
  <c r="D1241" i="32" s="1"/>
  <c r="J1241" i="32"/>
  <c r="E1241" i="32" s="1"/>
  <c r="K1241" i="32"/>
  <c r="L1241" i="32"/>
  <c r="C1242" i="32"/>
  <c r="G1242" i="32"/>
  <c r="H1242" i="32"/>
  <c r="I1242" i="32"/>
  <c r="D1242" i="32"/>
  <c r="J1242" i="32"/>
  <c r="E1242" i="32"/>
  <c r="K1242" i="32"/>
  <c r="L1242" i="32"/>
  <c r="C1243" i="32"/>
  <c r="G1243" i="32"/>
  <c r="H1243" i="32"/>
  <c r="I1243" i="32"/>
  <c r="D1243" i="32" s="1"/>
  <c r="J1243" i="32"/>
  <c r="E1243" i="32" s="1"/>
  <c r="K1243" i="32"/>
  <c r="L1243" i="32"/>
  <c r="C1244" i="32"/>
  <c r="G1244" i="32"/>
  <c r="H1244" i="32"/>
  <c r="I1244" i="32"/>
  <c r="D1244" i="32"/>
  <c r="J1244" i="32"/>
  <c r="E1244" i="32"/>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c r="K1248" i="32"/>
  <c r="L1248" i="32"/>
  <c r="C1249" i="32"/>
  <c r="G1249" i="32"/>
  <c r="H1249" i="32"/>
  <c r="I1249" i="32"/>
  <c r="D1249" i="32" s="1"/>
  <c r="J1249" i="32"/>
  <c r="E1249" i="32" s="1"/>
  <c r="K1249" i="32"/>
  <c r="L1249" i="32"/>
  <c r="C1250" i="32"/>
  <c r="G1250" i="32"/>
  <c r="H1250" i="32"/>
  <c r="I1250" i="32"/>
  <c r="D1250" i="32" s="1"/>
  <c r="J1250" i="32"/>
  <c r="E1250" i="32"/>
  <c r="K1250" i="32"/>
  <c r="L1250" i="32"/>
  <c r="C1251" i="32"/>
  <c r="G1251" i="32"/>
  <c r="H1251" i="32"/>
  <c r="I1251" i="32"/>
  <c r="D1251" i="32" s="1"/>
  <c r="J1251" i="32"/>
  <c r="E1251" i="32" s="1"/>
  <c r="K1251" i="32"/>
  <c r="L1251" i="32"/>
  <c r="C1252" i="32"/>
  <c r="G1252" i="32"/>
  <c r="H1252" i="32"/>
  <c r="I1252" i="32"/>
  <c r="D1252" i="32" s="1"/>
  <c r="J1252" i="32"/>
  <c r="E1252" i="32"/>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I1255" i="32"/>
  <c r="D1255" i="32" s="1"/>
  <c r="J1255" i="32"/>
  <c r="E1255" i="32"/>
  <c r="K1255" i="32"/>
  <c r="L1255" i="32"/>
  <c r="C1256" i="32"/>
  <c r="G1256" i="32"/>
  <c r="H1256" i="32"/>
  <c r="I1256" i="32"/>
  <c r="D1256" i="32" s="1"/>
  <c r="J1256" i="32"/>
  <c r="E1256" i="32"/>
  <c r="K1256" i="32"/>
  <c r="L1256" i="32"/>
  <c r="C1257" i="32"/>
  <c r="G1257" i="32"/>
  <c r="H1257" i="32"/>
  <c r="I1257" i="32"/>
  <c r="D1257" i="32"/>
  <c r="J1257" i="32"/>
  <c r="E1257" i="32" s="1"/>
  <c r="K1257" i="32"/>
  <c r="L1257" i="32"/>
  <c r="C1258" i="32"/>
  <c r="G1258" i="32"/>
  <c r="H1258" i="32"/>
  <c r="I1258" i="32"/>
  <c r="D1258" i="32" s="1"/>
  <c r="J1258" i="32"/>
  <c r="E1258" i="32" s="1"/>
  <c r="K1258" i="32"/>
  <c r="L1258" i="32"/>
  <c r="C1259" i="32"/>
  <c r="G1259" i="32"/>
  <c r="H1259" i="32"/>
  <c r="I1259" i="32"/>
  <c r="D1259" i="32" s="1"/>
  <c r="J1259" i="32"/>
  <c r="E1259" i="32" s="1"/>
  <c r="K1259" i="32"/>
  <c r="L1259" i="32"/>
  <c r="C1260" i="32"/>
  <c r="G1260" i="32"/>
  <c r="F1260" i="32" s="1"/>
  <c r="H1260" i="32"/>
  <c r="I1260" i="32"/>
  <c r="D1260" i="32" s="1"/>
  <c r="J1260" i="32"/>
  <c r="E1260" i="32" s="1"/>
  <c r="K1260" i="32"/>
  <c r="L1260" i="32"/>
  <c r="C1261" i="32"/>
  <c r="G1261" i="32"/>
  <c r="F1261" i="32" s="1"/>
  <c r="H1261" i="32"/>
  <c r="I1261" i="32"/>
  <c r="D1261" i="32" s="1"/>
  <c r="J1261" i="32"/>
  <c r="E1261" i="32" s="1"/>
  <c r="K1261" i="32"/>
  <c r="L1261" i="32"/>
  <c r="C1262" i="32"/>
  <c r="G1262" i="32"/>
  <c r="H1262" i="32"/>
  <c r="I1262" i="32"/>
  <c r="D1262" i="32" s="1"/>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c r="J1266" i="32"/>
  <c r="E1266" i="32" s="1"/>
  <c r="K1266" i="32"/>
  <c r="L1266" i="32"/>
  <c r="C1267" i="32"/>
  <c r="G1267" i="32"/>
  <c r="H1267" i="32"/>
  <c r="I1267" i="32"/>
  <c r="D1267" i="32" s="1"/>
  <c r="J1267" i="32"/>
  <c r="E1267" i="32"/>
  <c r="K1267" i="32"/>
  <c r="L1267" i="32"/>
  <c r="C1268" i="32"/>
  <c r="G1268" i="32"/>
  <c r="H1268" i="32"/>
  <c r="I1268" i="32"/>
  <c r="D1268" i="32" s="1"/>
  <c r="J1268" i="32"/>
  <c r="E1268" i="32" s="1"/>
  <c r="K1268" i="32"/>
  <c r="L1268" i="32"/>
  <c r="C1269" i="32"/>
  <c r="G1269" i="32"/>
  <c r="H1269" i="32"/>
  <c r="I1269" i="32"/>
  <c r="D1269" i="32" s="1"/>
  <c r="J1269" i="32"/>
  <c r="E1269" i="32"/>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H1272" i="32"/>
  <c r="F1272" i="32" s="1"/>
  <c r="I1272" i="32"/>
  <c r="D1272" i="32" s="1"/>
  <c r="J1272" i="32"/>
  <c r="E1272" i="32" s="1"/>
  <c r="K1272" i="32"/>
  <c r="L1272" i="32"/>
  <c r="C1273" i="32"/>
  <c r="G1273" i="32"/>
  <c r="H1273" i="32"/>
  <c r="I1273" i="32"/>
  <c r="D1273" i="32"/>
  <c r="J1273" i="32"/>
  <c r="E1273" i="32" s="1"/>
  <c r="K1273" i="32"/>
  <c r="L1273" i="32"/>
  <c r="C1274" i="32"/>
  <c r="G1274" i="32"/>
  <c r="H1274" i="32"/>
  <c r="I1274" i="32"/>
  <c r="D1274" i="32" s="1"/>
  <c r="J1274" i="32"/>
  <c r="E1274" i="32" s="1"/>
  <c r="K1274" i="32"/>
  <c r="L1274" i="32"/>
  <c r="C1275" i="32"/>
  <c r="G1275" i="32"/>
  <c r="H1275" i="32"/>
  <c r="I1275" i="32"/>
  <c r="D1275" i="32" s="1"/>
  <c r="J1275" i="32"/>
  <c r="E1275" i="32"/>
  <c r="K1275" i="32"/>
  <c r="L1275" i="32"/>
  <c r="C1276" i="32"/>
  <c r="G1276" i="32"/>
  <c r="H1276" i="32"/>
  <c r="I1276" i="32"/>
  <c r="D1276" i="32" s="1"/>
  <c r="J1276" i="32"/>
  <c r="E1276" i="32" s="1"/>
  <c r="K1276" i="32"/>
  <c r="L1276" i="32"/>
  <c r="C1277" i="32"/>
  <c r="G1277" i="32"/>
  <c r="H1277" i="32"/>
  <c r="I1277" i="32"/>
  <c r="D1277" i="32"/>
  <c r="J1277" i="32"/>
  <c r="E1277" i="32"/>
  <c r="K1277" i="32"/>
  <c r="L1277" i="32"/>
  <c r="C1278" i="32"/>
  <c r="G1278" i="32"/>
  <c r="H1278" i="32"/>
  <c r="I1278" i="32"/>
  <c r="D1278" i="32" s="1"/>
  <c r="J1278" i="32"/>
  <c r="E1278" i="32"/>
  <c r="K1278" i="32"/>
  <c r="L1278" i="32"/>
  <c r="C1279" i="32"/>
  <c r="G1279" i="32"/>
  <c r="F1279" i="32" s="1"/>
  <c r="H1279" i="32"/>
  <c r="I1279" i="32"/>
  <c r="D1279" i="32" s="1"/>
  <c r="J1279" i="32"/>
  <c r="E1279" i="32" s="1"/>
  <c r="K1279" i="32"/>
  <c r="L1279" i="32"/>
  <c r="C1280" i="32"/>
  <c r="G1280" i="32"/>
  <c r="H1280" i="32"/>
  <c r="I1280" i="32"/>
  <c r="D1280" i="32"/>
  <c r="J1280" i="32"/>
  <c r="E1280" i="32" s="1"/>
  <c r="K1280" i="32"/>
  <c r="L1280" i="32"/>
  <c r="C1281" i="32"/>
  <c r="G1281" i="32"/>
  <c r="F1281" i="32" s="1"/>
  <c r="H1281" i="32"/>
  <c r="I1281" i="32"/>
  <c r="D1281" i="32" s="1"/>
  <c r="J1281" i="32"/>
  <c r="E1281" i="32"/>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H1284" i="32"/>
  <c r="I1284" i="32"/>
  <c r="D1284" i="32" s="1"/>
  <c r="J1284" i="32"/>
  <c r="E1284" i="32"/>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s="1"/>
  <c r="J1287" i="32"/>
  <c r="E1287" i="32" s="1"/>
  <c r="K1287" i="32"/>
  <c r="L1287" i="32"/>
  <c r="C1288" i="32"/>
  <c r="D1288" i="32"/>
  <c r="G1288" i="32"/>
  <c r="F1288" i="32" s="1"/>
  <c r="H1288" i="32"/>
  <c r="I1288" i="32"/>
  <c r="J1288" i="32"/>
  <c r="E1288" i="32" s="1"/>
  <c r="K1288" i="32"/>
  <c r="L1288" i="32"/>
  <c r="C1289" i="32"/>
  <c r="G1289" i="32"/>
  <c r="H1289" i="32"/>
  <c r="I1289" i="32"/>
  <c r="D1289" i="32" s="1"/>
  <c r="J1289" i="32"/>
  <c r="E1289" i="32"/>
  <c r="K1289" i="32"/>
  <c r="L1289" i="32"/>
  <c r="C1290" i="32"/>
  <c r="G1290" i="32"/>
  <c r="H1290" i="32"/>
  <c r="I1290" i="32"/>
  <c r="D1290" i="32" s="1"/>
  <c r="J1290" i="32"/>
  <c r="E1290" i="32"/>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H1293" i="32"/>
  <c r="I1293" i="32"/>
  <c r="D1293" i="32" s="1"/>
  <c r="J1293" i="32"/>
  <c r="E1293" i="32"/>
  <c r="K1293" i="32"/>
  <c r="L1293" i="32"/>
  <c r="C1294" i="32"/>
  <c r="E1294" i="32"/>
  <c r="G1294" i="32"/>
  <c r="F1294" i="32" s="1"/>
  <c r="H1294" i="32"/>
  <c r="I1294" i="32"/>
  <c r="D1294" i="32" s="1"/>
  <c r="J1294" i="32"/>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G47" i="32"/>
  <c r="H47" i="32"/>
  <c r="I47" i="32"/>
  <c r="D47" i="32" s="1"/>
  <c r="J47" i="32"/>
  <c r="E47" i="32" s="1"/>
  <c r="K47" i="32"/>
  <c r="L47" i="32"/>
  <c r="C48" i="32"/>
  <c r="G48" i="32"/>
  <c r="H48" i="32"/>
  <c r="I48" i="32"/>
  <c r="D48" i="32" s="1"/>
  <c r="J48" i="32"/>
  <c r="E48" i="32" s="1"/>
  <c r="K48" i="32"/>
  <c r="L48" i="32"/>
  <c r="C49" i="32"/>
  <c r="G49" i="32"/>
  <c r="F49" i="32" s="1"/>
  <c r="H49" i="32"/>
  <c r="I49" i="32"/>
  <c r="D49" i="32" s="1"/>
  <c r="J49" i="32"/>
  <c r="E49" i="32" s="1"/>
  <c r="K49" i="32"/>
  <c r="L49" i="32"/>
  <c r="C50" i="32"/>
  <c r="G50" i="32"/>
  <c r="H50" i="32"/>
  <c r="I50" i="32"/>
  <c r="D50" i="32" s="1"/>
  <c r="J50" i="32"/>
  <c r="E50" i="32" s="1"/>
  <c r="K50" i="32"/>
  <c r="L50" i="32"/>
  <c r="C51" i="32"/>
  <c r="G51" i="32"/>
  <c r="F51" i="32" s="1"/>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c r="K54" i="32"/>
  <c r="L54" i="32"/>
  <c r="C55" i="32"/>
  <c r="G55" i="32"/>
  <c r="H55" i="32"/>
  <c r="I55" i="32"/>
  <c r="D55" i="32" s="1"/>
  <c r="J55" i="32"/>
  <c r="E55" i="32" s="1"/>
  <c r="K55" i="32"/>
  <c r="L55" i="32"/>
  <c r="C56" i="32"/>
  <c r="G56" i="32"/>
  <c r="F56" i="32" s="1"/>
  <c r="H56" i="32"/>
  <c r="I56" i="32"/>
  <c r="D56" i="32" s="1"/>
  <c r="J56" i="32"/>
  <c r="E56" i="32" s="1"/>
  <c r="K56" i="32"/>
  <c r="L56" i="32"/>
  <c r="C57" i="32"/>
  <c r="G57" i="32"/>
  <c r="F57" i="32" s="1"/>
  <c r="H57" i="32"/>
  <c r="I57" i="32"/>
  <c r="D57" i="32" s="1"/>
  <c r="J57" i="32"/>
  <c r="E57" i="32" s="1"/>
  <c r="K57" i="32"/>
  <c r="L57" i="32"/>
  <c r="C58" i="32"/>
  <c r="G58" i="32"/>
  <c r="H58" i="32"/>
  <c r="I58" i="32"/>
  <c r="D58" i="32"/>
  <c r="J58" i="32"/>
  <c r="E58" i="32" s="1"/>
  <c r="K58" i="32"/>
  <c r="L58" i="32"/>
  <c r="C59" i="32"/>
  <c r="G59" i="32"/>
  <c r="H59" i="32"/>
  <c r="I59" i="32"/>
  <c r="D59" i="32" s="1"/>
  <c r="J59" i="32"/>
  <c r="E59" i="32" s="1"/>
  <c r="K59" i="32"/>
  <c r="L59" i="32"/>
  <c r="C60" i="32"/>
  <c r="G60" i="32"/>
  <c r="H60" i="32"/>
  <c r="I60" i="32"/>
  <c r="D60" i="32" s="1"/>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D64" i="32"/>
  <c r="G64" i="32"/>
  <c r="H64" i="32"/>
  <c r="I64" i="32"/>
  <c r="J64" i="32"/>
  <c r="E64" i="32" s="1"/>
  <c r="K64" i="32"/>
  <c r="L64" i="32"/>
  <c r="C65" i="32"/>
  <c r="G65" i="32"/>
  <c r="H65" i="32"/>
  <c r="I65" i="32"/>
  <c r="D65" i="32" s="1"/>
  <c r="J65" i="32"/>
  <c r="E65" i="32" s="1"/>
  <c r="K65" i="32"/>
  <c r="L65" i="32"/>
  <c r="C66" i="32"/>
  <c r="G66" i="32"/>
  <c r="H66" i="32"/>
  <c r="I66" i="32"/>
  <c r="D66" i="32" s="1"/>
  <c r="J66" i="32"/>
  <c r="E66" i="32"/>
  <c r="K66" i="32"/>
  <c r="L66" i="32"/>
  <c r="C67" i="32"/>
  <c r="G67" i="32"/>
  <c r="F67" i="32" s="1"/>
  <c r="H67" i="32"/>
  <c r="I67" i="32"/>
  <c r="D67" i="32" s="1"/>
  <c r="J67" i="32"/>
  <c r="E67" i="32" s="1"/>
  <c r="K67" i="32"/>
  <c r="L67" i="32"/>
  <c r="C68" i="32"/>
  <c r="G68" i="32"/>
  <c r="H68" i="32"/>
  <c r="I68" i="32"/>
  <c r="D68" i="32" s="1"/>
  <c r="J68" i="32"/>
  <c r="E68" i="32" s="1"/>
  <c r="K68" i="32"/>
  <c r="L68" i="32"/>
  <c r="C69" i="32"/>
  <c r="D69" i="32"/>
  <c r="G69" i="32"/>
  <c r="H69" i="32"/>
  <c r="I69" i="32"/>
  <c r="J69" i="32"/>
  <c r="E69" i="32" s="1"/>
  <c r="K69" i="32"/>
  <c r="L69" i="32"/>
  <c r="C70" i="32"/>
  <c r="G70" i="32"/>
  <c r="F70" i="32" s="1"/>
  <c r="H70" i="32"/>
  <c r="I70" i="32"/>
  <c r="D70" i="32" s="1"/>
  <c r="J70" i="32"/>
  <c r="E70" i="32" s="1"/>
  <c r="K70" i="32"/>
  <c r="L70" i="32"/>
  <c r="C71" i="32"/>
  <c r="G71" i="32"/>
  <c r="H71" i="32"/>
  <c r="I71" i="32"/>
  <c r="D71" i="32" s="1"/>
  <c r="J71" i="32"/>
  <c r="E71" i="32" s="1"/>
  <c r="K71" i="32"/>
  <c r="L71" i="32"/>
  <c r="C72" i="32"/>
  <c r="G72" i="32"/>
  <c r="F72" i="32" s="1"/>
  <c r="H72" i="32"/>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D76" i="32"/>
  <c r="G76" i="32"/>
  <c r="H76" i="32"/>
  <c r="I76" i="32"/>
  <c r="J76" i="32"/>
  <c r="E76" i="32" s="1"/>
  <c r="K76" i="32"/>
  <c r="L76" i="32"/>
  <c r="C77" i="32"/>
  <c r="G77" i="32"/>
  <c r="H77" i="32"/>
  <c r="I77" i="32"/>
  <c r="D77" i="32" s="1"/>
  <c r="J77" i="32"/>
  <c r="E77" i="32" s="1"/>
  <c r="K77" i="32"/>
  <c r="L77" i="32"/>
  <c r="C78" i="32"/>
  <c r="G78" i="32"/>
  <c r="H78" i="32"/>
  <c r="I78" i="32"/>
  <c r="D78" i="32" s="1"/>
  <c r="J78" i="32"/>
  <c r="E78" i="32"/>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H82" i="32"/>
  <c r="I82" i="32"/>
  <c r="D82" i="32" s="1"/>
  <c r="J82" i="32"/>
  <c r="E82" i="32"/>
  <c r="K82" i="32"/>
  <c r="L82" i="32"/>
  <c r="C83" i="32"/>
  <c r="G83" i="32"/>
  <c r="H83" i="32"/>
  <c r="I83" i="32"/>
  <c r="D83" i="32" s="1"/>
  <c r="J83" i="32"/>
  <c r="E83" i="32" s="1"/>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F88" i="32" s="1"/>
  <c r="H88" i="32"/>
  <c r="I88" i="32"/>
  <c r="D88" i="32"/>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c r="K91" i="32"/>
  <c r="L91" i="32"/>
  <c r="C92" i="32"/>
  <c r="G92" i="32"/>
  <c r="H92" i="32"/>
  <c r="I92" i="32"/>
  <c r="D92" i="32" s="1"/>
  <c r="J92" i="32"/>
  <c r="E92" i="32" s="1"/>
  <c r="K92" i="32"/>
  <c r="L92" i="32"/>
  <c r="C93" i="32"/>
  <c r="G93" i="32"/>
  <c r="H93" i="32"/>
  <c r="I93" i="32"/>
  <c r="D93" i="32" s="1"/>
  <c r="J93" i="32"/>
  <c r="E93" i="32" s="1"/>
  <c r="K93" i="32"/>
  <c r="L93" i="32"/>
  <c r="C94" i="32"/>
  <c r="G94" i="32"/>
  <c r="H94" i="32"/>
  <c r="F94" i="32" s="1"/>
  <c r="I94" i="32"/>
  <c r="D94" i="32" s="1"/>
  <c r="J94" i="32"/>
  <c r="E94" i="32" s="1"/>
  <c r="K94" i="32"/>
  <c r="L94" i="32"/>
  <c r="C95" i="32"/>
  <c r="G95" i="32"/>
  <c r="H95" i="32"/>
  <c r="F95" i="32"/>
  <c r="I95" i="32"/>
  <c r="D95" i="32" s="1"/>
  <c r="J95" i="32"/>
  <c r="E95" i="32" s="1"/>
  <c r="K95" i="32"/>
  <c r="L95" i="32"/>
  <c r="C96" i="32"/>
  <c r="G96" i="32"/>
  <c r="H96" i="32"/>
  <c r="I96" i="32"/>
  <c r="D96" i="32" s="1"/>
  <c r="J96" i="32"/>
  <c r="E96" i="32" s="1"/>
  <c r="K96" i="32"/>
  <c r="L96" i="32"/>
  <c r="C97" i="32"/>
  <c r="G97" i="32"/>
  <c r="H97" i="32"/>
  <c r="I97" i="32"/>
  <c r="D97" i="32" s="1"/>
  <c r="J97" i="32"/>
  <c r="E97" i="32" s="1"/>
  <c r="K97" i="32"/>
  <c r="L97" i="32"/>
  <c r="C98" i="32"/>
  <c r="G98" i="32"/>
  <c r="H98" i="32"/>
  <c r="I98" i="32"/>
  <c r="D98" i="32"/>
  <c r="J98" i="32"/>
  <c r="E98" i="32" s="1"/>
  <c r="K98" i="32"/>
  <c r="L98" i="32"/>
  <c r="C99" i="32"/>
  <c r="G99" i="32"/>
  <c r="H99" i="32"/>
  <c r="I99" i="32"/>
  <c r="D99" i="32" s="1"/>
  <c r="J99" i="32"/>
  <c r="E99" i="32" s="1"/>
  <c r="K99" i="32"/>
  <c r="L99" i="32"/>
  <c r="C100" i="32"/>
  <c r="G100" i="32"/>
  <c r="H100" i="32"/>
  <c r="I100" i="32"/>
  <c r="D100" i="32" s="1"/>
  <c r="J100" i="32"/>
  <c r="E100" i="32" s="1"/>
  <c r="K100" i="32"/>
  <c r="L100" i="32"/>
  <c r="C101" i="32"/>
  <c r="G101" i="32"/>
  <c r="H101" i="32"/>
  <c r="F101" i="32" s="1"/>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c r="K103" i="32"/>
  <c r="L103" i="32"/>
  <c r="C104" i="32"/>
  <c r="G104" i="32"/>
  <c r="H104" i="32"/>
  <c r="I104" i="32"/>
  <c r="D104" i="32" s="1"/>
  <c r="J104" i="32"/>
  <c r="E104" i="32" s="1"/>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s="1"/>
  <c r="K107" i="32"/>
  <c r="L107" i="32"/>
  <c r="C108" i="32"/>
  <c r="G108" i="32"/>
  <c r="H108" i="32"/>
  <c r="I108" i="32"/>
  <c r="D108" i="32"/>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c r="K111" i="32"/>
  <c r="L111" i="32"/>
  <c r="C112" i="32"/>
  <c r="G112" i="32"/>
  <c r="H112" i="32"/>
  <c r="I112" i="32"/>
  <c r="D112" i="32" s="1"/>
  <c r="J112" i="32"/>
  <c r="E112" i="32" s="1"/>
  <c r="K112" i="32"/>
  <c r="L112" i="32"/>
  <c r="C113" i="32"/>
  <c r="E113" i="32"/>
  <c r="G113" i="32"/>
  <c r="H113" i="32"/>
  <c r="I113" i="32"/>
  <c r="D113" i="32"/>
  <c r="J113" i="32"/>
  <c r="K113" i="32"/>
  <c r="L113" i="32"/>
  <c r="C114" i="32"/>
  <c r="G114" i="32"/>
  <c r="F114" i="32" s="1"/>
  <c r="H114" i="32"/>
  <c r="I114" i="32"/>
  <c r="D114" i="32"/>
  <c r="J114" i="32"/>
  <c r="E114" i="32" s="1"/>
  <c r="K114" i="32"/>
  <c r="L114" i="32"/>
  <c r="C115" i="32"/>
  <c r="G115" i="32"/>
  <c r="F115" i="32" s="1"/>
  <c r="H115" i="32"/>
  <c r="I115" i="32"/>
  <c r="D115" i="32"/>
  <c r="J115" i="32"/>
  <c r="E115" i="32"/>
  <c r="K115" i="32"/>
  <c r="L115" i="32"/>
  <c r="C116" i="32"/>
  <c r="G116" i="32"/>
  <c r="H116" i="32"/>
  <c r="I116" i="32"/>
  <c r="D116" i="32" s="1"/>
  <c r="J116" i="32"/>
  <c r="E116" i="32" s="1"/>
  <c r="K116" i="32"/>
  <c r="L116" i="32"/>
  <c r="C117" i="32"/>
  <c r="G117" i="32"/>
  <c r="H117" i="32"/>
  <c r="I117" i="32"/>
  <c r="D117" i="32"/>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c r="J123" i="32"/>
  <c r="E123" i="32" s="1"/>
  <c r="K123" i="32"/>
  <c r="L123" i="32"/>
  <c r="C124" i="32"/>
  <c r="G124" i="32"/>
  <c r="H124" i="32"/>
  <c r="I124" i="32"/>
  <c r="D124" i="32" s="1"/>
  <c r="J124" i="32"/>
  <c r="E124" i="32" s="1"/>
  <c r="K124" i="32"/>
  <c r="L124" i="32"/>
  <c r="C125" i="32"/>
  <c r="G125" i="32"/>
  <c r="H125" i="32"/>
  <c r="I125" i="32"/>
  <c r="D125" i="32" s="1"/>
  <c r="J125" i="32"/>
  <c r="E125" i="32" s="1"/>
  <c r="K125" i="32"/>
  <c r="L125" i="32"/>
  <c r="C126" i="32"/>
  <c r="G126" i="32"/>
  <c r="H126" i="32"/>
  <c r="I126" i="32"/>
  <c r="D126" i="32" s="1"/>
  <c r="J126" i="32"/>
  <c r="E126" i="32" s="1"/>
  <c r="K126" i="32"/>
  <c r="L126" i="32"/>
  <c r="C127" i="32"/>
  <c r="G127" i="32"/>
  <c r="H127" i="32"/>
  <c r="I127" i="32"/>
  <c r="D127" i="32" s="1"/>
  <c r="J127" i="32"/>
  <c r="E127" i="32" s="1"/>
  <c r="K127" i="32"/>
  <c r="L127" i="32"/>
  <c r="C128" i="32"/>
  <c r="G128" i="32"/>
  <c r="H128" i="32"/>
  <c r="I128" i="32"/>
  <c r="D128" i="32" s="1"/>
  <c r="J128" i="32"/>
  <c r="E128" i="32"/>
  <c r="K128" i="32"/>
  <c r="L128" i="32"/>
  <c r="C129" i="32"/>
  <c r="G129" i="32"/>
  <c r="H129" i="32"/>
  <c r="I129" i="32"/>
  <c r="D129" i="32" s="1"/>
  <c r="J129" i="32"/>
  <c r="E129" i="32" s="1"/>
  <c r="K129" i="32"/>
  <c r="L129" i="32"/>
  <c r="C130" i="32"/>
  <c r="G130" i="32"/>
  <c r="H130" i="32"/>
  <c r="I130" i="32"/>
  <c r="D130" i="32" s="1"/>
  <c r="J130" i="32"/>
  <c r="E130" i="32"/>
  <c r="K130" i="32"/>
  <c r="L130" i="32"/>
  <c r="C131" i="32"/>
  <c r="G131" i="32"/>
  <c r="F131" i="32" s="1"/>
  <c r="H131" i="32"/>
  <c r="I131" i="32"/>
  <c r="D131" i="32"/>
  <c r="J131" i="32"/>
  <c r="E131" i="32" s="1"/>
  <c r="K131" i="32"/>
  <c r="L131" i="32"/>
  <c r="C132" i="32"/>
  <c r="G132" i="32"/>
  <c r="H132" i="32"/>
  <c r="I132" i="32"/>
  <c r="D132" i="32" s="1"/>
  <c r="J132" i="32"/>
  <c r="E132" i="32" s="1"/>
  <c r="K132" i="32"/>
  <c r="L132" i="32"/>
  <c r="C133" i="32"/>
  <c r="G133" i="32"/>
  <c r="H133" i="32"/>
  <c r="I133" i="32"/>
  <c r="D133" i="32" s="1"/>
  <c r="J133" i="32"/>
  <c r="E133" i="32"/>
  <c r="K133" i="32"/>
  <c r="L133" i="32"/>
  <c r="C134" i="32"/>
  <c r="G134" i="32"/>
  <c r="H134" i="32"/>
  <c r="I134" i="32"/>
  <c r="D134" i="32" s="1"/>
  <c r="J134" i="32"/>
  <c r="E134" i="32" s="1"/>
  <c r="K134" i="32"/>
  <c r="L134" i="32"/>
  <c r="C135" i="32"/>
  <c r="G135" i="32"/>
  <c r="F135" i="32" s="1"/>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I138" i="32"/>
  <c r="D138" i="32" s="1"/>
  <c r="J138" i="32"/>
  <c r="E138" i="32"/>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F142" i="32" s="1"/>
  <c r="H142" i="32"/>
  <c r="I142" i="32"/>
  <c r="D142" i="32" s="1"/>
  <c r="J142" i="32"/>
  <c r="E142" i="32" s="1"/>
  <c r="K142" i="32"/>
  <c r="L142" i="32"/>
  <c r="C143" i="32"/>
  <c r="D143" i="32"/>
  <c r="G143" i="32"/>
  <c r="H143" i="32"/>
  <c r="I143" i="32"/>
  <c r="J143" i="32"/>
  <c r="E143" i="32"/>
  <c r="K143" i="32"/>
  <c r="L143" i="32"/>
  <c r="C144" i="32"/>
  <c r="G144" i="32"/>
  <c r="H144" i="32"/>
  <c r="I144" i="32"/>
  <c r="D144" i="32" s="1"/>
  <c r="J144" i="32"/>
  <c r="E144" i="32"/>
  <c r="K144" i="32"/>
  <c r="L144" i="32"/>
  <c r="C145" i="32"/>
  <c r="G145" i="32"/>
  <c r="H145" i="32"/>
  <c r="I145" i="32"/>
  <c r="D145" i="32" s="1"/>
  <c r="J145" i="32"/>
  <c r="E145" i="32" s="1"/>
  <c r="K145" i="32"/>
  <c r="L145" i="32"/>
  <c r="C146" i="32"/>
  <c r="G146" i="32"/>
  <c r="H146" i="32"/>
  <c r="I146" i="32"/>
  <c r="D146" i="32" s="1"/>
  <c r="J146" i="32"/>
  <c r="E146" i="32"/>
  <c r="K146" i="32"/>
  <c r="L146" i="32"/>
  <c r="C147" i="32"/>
  <c r="G147" i="32"/>
  <c r="F147" i="32" s="1"/>
  <c r="H147" i="32"/>
  <c r="I147" i="32"/>
  <c r="D147" i="32"/>
  <c r="J147" i="32"/>
  <c r="E147" i="32"/>
  <c r="K147" i="32"/>
  <c r="L147" i="32"/>
  <c r="C148" i="32"/>
  <c r="G148" i="32"/>
  <c r="H148" i="32"/>
  <c r="I148" i="32"/>
  <c r="D148" i="32" s="1"/>
  <c r="J148" i="32"/>
  <c r="E148" i="32" s="1"/>
  <c r="K148" i="32"/>
  <c r="L148" i="32"/>
  <c r="C149" i="32"/>
  <c r="G149" i="32"/>
  <c r="H149" i="32"/>
  <c r="I149" i="32"/>
  <c r="D149" i="32" s="1"/>
  <c r="J149" i="32"/>
  <c r="E149" i="32" s="1"/>
  <c r="K149" i="32"/>
  <c r="L149" i="32"/>
  <c r="C150" i="32"/>
  <c r="G150" i="32"/>
  <c r="H150" i="32"/>
  <c r="I150" i="32"/>
  <c r="D150" i="32" s="1"/>
  <c r="J150" i="32"/>
  <c r="E150" i="32" s="1"/>
  <c r="K150" i="32"/>
  <c r="L150" i="32"/>
  <c r="C151" i="32"/>
  <c r="G151" i="32"/>
  <c r="H151" i="32"/>
  <c r="I151" i="32"/>
  <c r="D151" i="32" s="1"/>
  <c r="J151" i="32"/>
  <c r="E151" i="32" s="1"/>
  <c r="K151" i="32"/>
  <c r="L151" i="32"/>
  <c r="C152" i="32"/>
  <c r="G152" i="32"/>
  <c r="H152" i="32"/>
  <c r="I152" i="32"/>
  <c r="D152" i="32"/>
  <c r="J152" i="32"/>
  <c r="E152" i="32" s="1"/>
  <c r="K152" i="32"/>
  <c r="L152" i="32"/>
  <c r="C153" i="32"/>
  <c r="G153" i="32"/>
  <c r="H153" i="32"/>
  <c r="I153" i="32"/>
  <c r="D153" i="32" s="1"/>
  <c r="J153" i="32"/>
  <c r="E153" i="32" s="1"/>
  <c r="K153" i="32"/>
  <c r="L153" i="32"/>
  <c r="C154" i="32"/>
  <c r="G154" i="32"/>
  <c r="F154" i="32" s="1"/>
  <c r="H154" i="32"/>
  <c r="I154" i="32"/>
  <c r="D154" i="32" s="1"/>
  <c r="J154" i="32"/>
  <c r="E154" i="32" s="1"/>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c r="J159" i="32"/>
  <c r="E159" i="32" s="1"/>
  <c r="K159" i="32"/>
  <c r="L159" i="32"/>
  <c r="C160" i="32"/>
  <c r="G160" i="32"/>
  <c r="F160" i="32" s="1"/>
  <c r="H160" i="32"/>
  <c r="I160" i="32"/>
  <c r="D160" i="32" s="1"/>
  <c r="J160" i="32"/>
  <c r="E160" i="32"/>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c r="K163" i="32"/>
  <c r="L163" i="32"/>
  <c r="C164" i="32"/>
  <c r="G164" i="32"/>
  <c r="H164" i="32"/>
  <c r="I164" i="32"/>
  <c r="D164" i="32" s="1"/>
  <c r="J164" i="32"/>
  <c r="E164" i="32"/>
  <c r="K164" i="32"/>
  <c r="L164" i="32"/>
  <c r="C165" i="32"/>
  <c r="G165" i="32"/>
  <c r="H165" i="32"/>
  <c r="I165" i="32"/>
  <c r="D165" i="32"/>
  <c r="J165" i="32"/>
  <c r="E165" i="32"/>
  <c r="K165" i="32"/>
  <c r="L165" i="32"/>
  <c r="C166" i="32"/>
  <c r="G166" i="32"/>
  <c r="H166" i="32"/>
  <c r="I166" i="32"/>
  <c r="D166" i="32" s="1"/>
  <c r="J166" i="32"/>
  <c r="E166" i="32" s="1"/>
  <c r="K166" i="32"/>
  <c r="L166" i="32"/>
  <c r="C167" i="32"/>
  <c r="G167" i="32"/>
  <c r="F167" i="32" s="1"/>
  <c r="H167" i="32"/>
  <c r="I167" i="32"/>
  <c r="D167" i="32" s="1"/>
  <c r="J167" i="32"/>
  <c r="E167" i="32" s="1"/>
  <c r="K167" i="32"/>
  <c r="L167" i="32"/>
  <c r="C168" i="32"/>
  <c r="G168" i="32"/>
  <c r="H168" i="32"/>
  <c r="I168" i="32"/>
  <c r="D168" i="32" s="1"/>
  <c r="J168" i="32"/>
  <c r="E168" i="32" s="1"/>
  <c r="K168" i="32"/>
  <c r="L168" i="32"/>
  <c r="C169" i="32"/>
  <c r="G169" i="32"/>
  <c r="F169" i="32" s="1"/>
  <c r="H169" i="32"/>
  <c r="I169" i="32"/>
  <c r="D169" i="32"/>
  <c r="J169" i="32"/>
  <c r="E169" i="32" s="1"/>
  <c r="K169" i="32"/>
  <c r="L169" i="32"/>
  <c r="C170" i="32"/>
  <c r="G170" i="32"/>
  <c r="H170" i="32"/>
  <c r="F170" i="32"/>
  <c r="I170" i="32"/>
  <c r="D170" i="32" s="1"/>
  <c r="J170" i="32"/>
  <c r="E170" i="32"/>
  <c r="K170" i="32"/>
  <c r="L170" i="32"/>
  <c r="C171" i="32"/>
  <c r="G171" i="32"/>
  <c r="H171" i="32"/>
  <c r="I171" i="32"/>
  <c r="D171" i="32" s="1"/>
  <c r="J171" i="32"/>
  <c r="E171" i="32" s="1"/>
  <c r="K171" i="32"/>
  <c r="L171" i="32"/>
  <c r="C172" i="32"/>
  <c r="G172" i="32"/>
  <c r="F172" i="32"/>
  <c r="H172" i="32"/>
  <c r="I172" i="32"/>
  <c r="D172" i="32" s="1"/>
  <c r="J172" i="32"/>
  <c r="E172" i="32"/>
  <c r="K172" i="32"/>
  <c r="L172" i="32"/>
  <c r="C173" i="32"/>
  <c r="G173" i="32"/>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c r="J176" i="32"/>
  <c r="E176" i="32" s="1"/>
  <c r="K176" i="32"/>
  <c r="L176" i="32"/>
  <c r="C177" i="32"/>
  <c r="G177" i="32"/>
  <c r="H177" i="32"/>
  <c r="I177" i="32"/>
  <c r="D177" i="32" s="1"/>
  <c r="J177" i="32"/>
  <c r="E177" i="32" s="1"/>
  <c r="K177" i="32"/>
  <c r="L177" i="32"/>
  <c r="C178" i="32"/>
  <c r="G178" i="32"/>
  <c r="H178" i="32"/>
  <c r="F178" i="32" s="1"/>
  <c r="I178" i="32"/>
  <c r="D178" i="32" s="1"/>
  <c r="J178" i="32"/>
  <c r="E178" i="32" s="1"/>
  <c r="K178" i="32"/>
  <c r="L178" i="32"/>
  <c r="C179" i="32"/>
  <c r="G179" i="32"/>
  <c r="H179" i="32"/>
  <c r="F179" i="32" s="1"/>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c r="J186" i="32"/>
  <c r="E186" i="32" s="1"/>
  <c r="K186" i="32"/>
  <c r="L186" i="32"/>
  <c r="C187" i="32"/>
  <c r="G187" i="32"/>
  <c r="H187" i="32"/>
  <c r="F187" i="32" s="1"/>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c r="K190" i="32"/>
  <c r="L190" i="32"/>
  <c r="C191" i="32"/>
  <c r="G191" i="32"/>
  <c r="H191" i="32"/>
  <c r="I191" i="32"/>
  <c r="D191" i="32" s="1"/>
  <c r="J191" i="32"/>
  <c r="E191" i="32" s="1"/>
  <c r="K191" i="32"/>
  <c r="L191" i="32"/>
  <c r="C192" i="32"/>
  <c r="G192" i="32"/>
  <c r="H192" i="32"/>
  <c r="F192" i="32" s="1"/>
  <c r="I192" i="32"/>
  <c r="D192" i="32" s="1"/>
  <c r="J192" i="32"/>
  <c r="E192" i="32" s="1"/>
  <c r="K192" i="32"/>
  <c r="L192" i="32"/>
  <c r="C193" i="32"/>
  <c r="G193" i="32"/>
  <c r="H193" i="32"/>
  <c r="I193" i="32"/>
  <c r="D193" i="32" s="1"/>
  <c r="J193" i="32"/>
  <c r="E193" i="32"/>
  <c r="K193" i="32"/>
  <c r="L193" i="32"/>
  <c r="C194" i="32"/>
  <c r="G194" i="32"/>
  <c r="F194" i="32" s="1"/>
  <c r="H194" i="32"/>
  <c r="I194" i="32"/>
  <c r="D194" i="32"/>
  <c r="J194" i="32"/>
  <c r="E194" i="32" s="1"/>
  <c r="K194" i="32"/>
  <c r="L194" i="32"/>
  <c r="C195" i="32"/>
  <c r="G195" i="32"/>
  <c r="H195" i="32"/>
  <c r="I195" i="32"/>
  <c r="D195" i="32" s="1"/>
  <c r="J195" i="32"/>
  <c r="E195" i="32" s="1"/>
  <c r="K195" i="32"/>
  <c r="L195" i="32"/>
  <c r="C196" i="32"/>
  <c r="D196" i="32"/>
  <c r="E196" i="32"/>
  <c r="G196" i="32"/>
  <c r="H196" i="32"/>
  <c r="I196" i="32"/>
  <c r="J196" i="32"/>
  <c r="K196" i="32"/>
  <c r="L196" i="32"/>
  <c r="C197" i="32"/>
  <c r="G197" i="32"/>
  <c r="F197" i="32" s="1"/>
  <c r="H197" i="32"/>
  <c r="I197" i="32"/>
  <c r="D197" i="32" s="1"/>
  <c r="J197" i="32"/>
  <c r="E197" i="32"/>
  <c r="K197" i="32"/>
  <c r="L197" i="32"/>
  <c r="C198" i="32"/>
  <c r="G198" i="32"/>
  <c r="H198" i="32"/>
  <c r="I198" i="32"/>
  <c r="D198" i="32" s="1"/>
  <c r="J198" i="32"/>
  <c r="E198" i="32"/>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c r="K202" i="32"/>
  <c r="L202" i="32"/>
  <c r="C203" i="32"/>
  <c r="D203" i="32"/>
  <c r="G203" i="32"/>
  <c r="H203" i="32"/>
  <c r="I203" i="32"/>
  <c r="J203" i="32"/>
  <c r="E203" i="32" s="1"/>
  <c r="K203" i="32"/>
  <c r="L203" i="32"/>
  <c r="C204" i="32"/>
  <c r="G204" i="32"/>
  <c r="H204" i="32"/>
  <c r="I204" i="32"/>
  <c r="D204" i="32" s="1"/>
  <c r="J204" i="32"/>
  <c r="E204" i="32"/>
  <c r="K204" i="32"/>
  <c r="L204" i="32"/>
  <c r="C205" i="32"/>
  <c r="G205" i="32"/>
  <c r="F205" i="32" s="1"/>
  <c r="H205" i="32"/>
  <c r="I205" i="32"/>
  <c r="D205" i="32"/>
  <c r="J205" i="32"/>
  <c r="E205" i="32" s="1"/>
  <c r="K205" i="32"/>
  <c r="L205" i="32"/>
  <c r="C206" i="32"/>
  <c r="G206" i="32"/>
  <c r="H206" i="32"/>
  <c r="I206" i="32"/>
  <c r="D206" i="32"/>
  <c r="J206" i="32"/>
  <c r="E206" i="32" s="1"/>
  <c r="K206" i="32"/>
  <c r="L206" i="32"/>
  <c r="C207" i="32"/>
  <c r="G207" i="32"/>
  <c r="H207" i="32"/>
  <c r="I207" i="32"/>
  <c r="D207" i="32"/>
  <c r="J207" i="32"/>
  <c r="E207" i="32" s="1"/>
  <c r="K207" i="32"/>
  <c r="L207" i="32"/>
  <c r="C208" i="32"/>
  <c r="G208" i="32"/>
  <c r="H208" i="32"/>
  <c r="F208" i="32" s="1"/>
  <c r="I208" i="32"/>
  <c r="D208" i="32"/>
  <c r="J208" i="32"/>
  <c r="E208" i="32" s="1"/>
  <c r="K208" i="32"/>
  <c r="L208" i="32"/>
  <c r="C209" i="32"/>
  <c r="G209" i="32"/>
  <c r="H209" i="32"/>
  <c r="I209" i="32"/>
  <c r="D209" i="32" s="1"/>
  <c r="J209" i="32"/>
  <c r="E209" i="32" s="1"/>
  <c r="K209" i="32"/>
  <c r="L209" i="32"/>
  <c r="C210" i="32"/>
  <c r="G210" i="32"/>
  <c r="H210" i="32"/>
  <c r="F210" i="32" s="1"/>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F214" i="32" s="1"/>
  <c r="H214" i="32"/>
  <c r="I214" i="32"/>
  <c r="D214" i="32" s="1"/>
  <c r="J214" i="32"/>
  <c r="E214" i="32" s="1"/>
  <c r="K214" i="32"/>
  <c r="L214" i="32"/>
  <c r="C215" i="32"/>
  <c r="G215" i="32"/>
  <c r="H215" i="32"/>
  <c r="I215" i="32"/>
  <c r="D215" i="32" s="1"/>
  <c r="J215" i="32"/>
  <c r="E215" i="32" s="1"/>
  <c r="K215" i="32"/>
  <c r="L215" i="32"/>
  <c r="C216" i="32"/>
  <c r="G216" i="32"/>
  <c r="H216" i="32"/>
  <c r="I216" i="32"/>
  <c r="D216" i="32" s="1"/>
  <c r="J216" i="32"/>
  <c r="E216" i="32"/>
  <c r="K216" i="32"/>
  <c r="L216" i="32"/>
  <c r="C217" i="32"/>
  <c r="G217" i="32"/>
  <c r="H217" i="32"/>
  <c r="I217" i="32"/>
  <c r="D217" i="32" s="1"/>
  <c r="J217" i="32"/>
  <c r="E217" i="32" s="1"/>
  <c r="K217" i="32"/>
  <c r="L217" i="32"/>
  <c r="C218" i="32"/>
  <c r="G218" i="32"/>
  <c r="H218" i="32"/>
  <c r="I218" i="32"/>
  <c r="D218" i="32" s="1"/>
  <c r="J218" i="32"/>
  <c r="E218" i="32" s="1"/>
  <c r="K218" i="32"/>
  <c r="L218" i="32"/>
  <c r="C219" i="32"/>
  <c r="G219" i="32"/>
  <c r="H219" i="32"/>
  <c r="F219" i="32" s="1"/>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H226" i="32"/>
  <c r="I226" i="32"/>
  <c r="D226" i="32" s="1"/>
  <c r="J226" i="32"/>
  <c r="E226" i="32"/>
  <c r="K226" i="32"/>
  <c r="L226" i="32"/>
  <c r="C227" i="32"/>
  <c r="G227" i="32"/>
  <c r="H227" i="32"/>
  <c r="I227" i="32"/>
  <c r="D227" i="32" s="1"/>
  <c r="J227" i="32"/>
  <c r="E227" i="32" s="1"/>
  <c r="K227" i="32"/>
  <c r="L227" i="32"/>
  <c r="C228" i="32"/>
  <c r="G228" i="32"/>
  <c r="H228" i="32"/>
  <c r="I228" i="32"/>
  <c r="D228" i="32" s="1"/>
  <c r="J228" i="32"/>
  <c r="E228" i="32"/>
  <c r="K228" i="32"/>
  <c r="L228" i="32"/>
  <c r="C229" i="32"/>
  <c r="G229" i="32"/>
  <c r="H229" i="32"/>
  <c r="I229" i="32"/>
  <c r="D229" i="32" s="1"/>
  <c r="J229" i="32"/>
  <c r="E229" i="32" s="1"/>
  <c r="K229" i="32"/>
  <c r="L229" i="32"/>
  <c r="C230" i="32"/>
  <c r="G230" i="32"/>
  <c r="H230" i="32"/>
  <c r="I230" i="32"/>
  <c r="D230" i="32" s="1"/>
  <c r="J230" i="32"/>
  <c r="E230" i="32"/>
  <c r="K230" i="32"/>
  <c r="L230" i="32"/>
  <c r="C231" i="32"/>
  <c r="D231" i="32"/>
  <c r="G231" i="32"/>
  <c r="H231" i="32"/>
  <c r="I231" i="32"/>
  <c r="J231" i="32"/>
  <c r="E231" i="32" s="1"/>
  <c r="K231" i="32"/>
  <c r="L231" i="32"/>
  <c r="C232" i="32"/>
  <c r="G232" i="32"/>
  <c r="F232" i="32"/>
  <c r="H232" i="32"/>
  <c r="I232" i="32"/>
  <c r="D232" i="32" s="1"/>
  <c r="J232" i="32"/>
  <c r="E232" i="32" s="1"/>
  <c r="K232" i="32"/>
  <c r="L232" i="32"/>
  <c r="C233" i="32"/>
  <c r="G233" i="32"/>
  <c r="H233" i="32"/>
  <c r="I233" i="32"/>
  <c r="D233" i="32" s="1"/>
  <c r="J233" i="32"/>
  <c r="E233" i="32"/>
  <c r="K233" i="32"/>
  <c r="L233" i="32"/>
  <c r="C234" i="32"/>
  <c r="G234" i="32"/>
  <c r="H234" i="32"/>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F237" i="32" s="1"/>
  <c r="H237" i="32"/>
  <c r="I237" i="32"/>
  <c r="D237" i="32" s="1"/>
  <c r="J237" i="32"/>
  <c r="E237" i="32" s="1"/>
  <c r="K237" i="32"/>
  <c r="L237" i="32"/>
  <c r="C238" i="32"/>
  <c r="E238" i="32"/>
  <c r="G238" i="32"/>
  <c r="H238" i="32"/>
  <c r="I238" i="32"/>
  <c r="D238" i="32" s="1"/>
  <c r="J238" i="32"/>
  <c r="K238" i="32"/>
  <c r="L238" i="32"/>
  <c r="C239" i="32"/>
  <c r="G239" i="32"/>
  <c r="F239" i="32" s="1"/>
  <c r="H239" i="32"/>
  <c r="I239" i="32"/>
  <c r="D239" i="32" s="1"/>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E245" i="32"/>
  <c r="G245" i="32"/>
  <c r="F245" i="32" s="1"/>
  <c r="H245" i="32"/>
  <c r="I245" i="32"/>
  <c r="D245" i="32" s="1"/>
  <c r="J245" i="32"/>
  <c r="K245" i="32"/>
  <c r="L245" i="32"/>
  <c r="C246" i="32"/>
  <c r="G246" i="32"/>
  <c r="H246" i="32"/>
  <c r="I246" i="32"/>
  <c r="D246" i="32" s="1"/>
  <c r="J246" i="32"/>
  <c r="E246" i="32" s="1"/>
  <c r="K246" i="32"/>
  <c r="L246" i="32"/>
  <c r="C247" i="32"/>
  <c r="G247" i="32"/>
  <c r="H247" i="32"/>
  <c r="I247" i="32"/>
  <c r="D247" i="32"/>
  <c r="J247" i="32"/>
  <c r="E247" i="32" s="1"/>
  <c r="K247" i="32"/>
  <c r="L247" i="32"/>
  <c r="C248" i="32"/>
  <c r="G248" i="32"/>
  <c r="H248" i="32"/>
  <c r="I248" i="32"/>
  <c r="D248" i="32" s="1"/>
  <c r="J248" i="32"/>
  <c r="E248" i="32" s="1"/>
  <c r="K248" i="32"/>
  <c r="L248" i="32"/>
  <c r="C249" i="32"/>
  <c r="G249" i="32"/>
  <c r="H249" i="32"/>
  <c r="I249" i="32"/>
  <c r="D249" i="32" s="1"/>
  <c r="J249" i="32"/>
  <c r="E249" i="32"/>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G252" i="32"/>
  <c r="F252" i="32" s="1"/>
  <c r="H252" i="32"/>
  <c r="I252" i="32"/>
  <c r="J252" i="32"/>
  <c r="E252" i="32" s="1"/>
  <c r="K252" i="32"/>
  <c r="L252" i="32"/>
  <c r="C253" i="32"/>
  <c r="G253" i="32"/>
  <c r="H253" i="32"/>
  <c r="I253" i="32"/>
  <c r="D253" i="32" s="1"/>
  <c r="J253" i="32"/>
  <c r="E253" i="32" s="1"/>
  <c r="K253" i="32"/>
  <c r="L253" i="32"/>
  <c r="C254" i="32"/>
  <c r="G254" i="32"/>
  <c r="F254" i="32" s="1"/>
  <c r="H254" i="32"/>
  <c r="I254" i="32"/>
  <c r="D254" i="32" s="1"/>
  <c r="J254" i="32"/>
  <c r="E254" i="32" s="1"/>
  <c r="K254" i="32"/>
  <c r="L254" i="32"/>
  <c r="C255" i="32"/>
  <c r="G255" i="32"/>
  <c r="H255" i="32"/>
  <c r="I255" i="32"/>
  <c r="D255" i="32"/>
  <c r="J255" i="32"/>
  <c r="E255" i="32" s="1"/>
  <c r="K255" i="32"/>
  <c r="L255" i="32"/>
  <c r="C256" i="32"/>
  <c r="G256" i="32"/>
  <c r="H256" i="32"/>
  <c r="I256" i="32"/>
  <c r="D256" i="32" s="1"/>
  <c r="J256" i="32"/>
  <c r="E256" i="32" s="1"/>
  <c r="K256" i="32"/>
  <c r="L256" i="32"/>
  <c r="C257" i="32"/>
  <c r="G257" i="32"/>
  <c r="H257" i="32"/>
  <c r="I257" i="32"/>
  <c r="D257" i="32"/>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E260" i="32"/>
  <c r="G260" i="32"/>
  <c r="F260" i="32" s="1"/>
  <c r="H260" i="32"/>
  <c r="I260" i="32"/>
  <c r="D260" i="32" s="1"/>
  <c r="J260" i="32"/>
  <c r="K260" i="32"/>
  <c r="L260" i="32"/>
  <c r="C261" i="32"/>
  <c r="G261" i="32"/>
  <c r="F261" i="32" s="1"/>
  <c r="H261" i="32"/>
  <c r="I261" i="32"/>
  <c r="D261" i="32"/>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F266" i="32" s="1"/>
  <c r="H266" i="32"/>
  <c r="I266" i="32"/>
  <c r="D266" i="32" s="1"/>
  <c r="J266" i="32"/>
  <c r="E266" i="32"/>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c r="K269" i="32"/>
  <c r="L269" i="32"/>
  <c r="C270" i="32"/>
  <c r="G270" i="32"/>
  <c r="H270" i="32"/>
  <c r="I270" i="32"/>
  <c r="D270" i="32" s="1"/>
  <c r="J270" i="32"/>
  <c r="E270" i="32" s="1"/>
  <c r="K270" i="32"/>
  <c r="L270" i="32"/>
  <c r="C271" i="32"/>
  <c r="G271" i="32"/>
  <c r="H271" i="32"/>
  <c r="I271" i="32"/>
  <c r="D271" i="32" s="1"/>
  <c r="J271" i="32"/>
  <c r="E271" i="32"/>
  <c r="K271" i="32"/>
  <c r="L271" i="32"/>
  <c r="C272" i="32"/>
  <c r="G272" i="32"/>
  <c r="F272" i="32" s="1"/>
  <c r="H272" i="32"/>
  <c r="I272" i="32"/>
  <c r="D272" i="32"/>
  <c r="J272" i="32"/>
  <c r="E272" i="32" s="1"/>
  <c r="K272" i="32"/>
  <c r="L272" i="32"/>
  <c r="C273" i="32"/>
  <c r="G273" i="32"/>
  <c r="H273" i="32"/>
  <c r="I273" i="32"/>
  <c r="D273" i="32" s="1"/>
  <c r="J273" i="32"/>
  <c r="E273" i="32" s="1"/>
  <c r="K273" i="32"/>
  <c r="L273" i="32"/>
  <c r="C274" i="32"/>
  <c r="G274" i="32"/>
  <c r="H274" i="32"/>
  <c r="I274" i="32"/>
  <c r="D274" i="32"/>
  <c r="J274" i="32"/>
  <c r="E274" i="32" s="1"/>
  <c r="K274" i="32"/>
  <c r="L274" i="32"/>
  <c r="C275" i="32"/>
  <c r="G275" i="32"/>
  <c r="F275" i="32" s="1"/>
  <c r="H275" i="32"/>
  <c r="I275" i="32"/>
  <c r="D275" i="32" s="1"/>
  <c r="J275" i="32"/>
  <c r="E275" i="32" s="1"/>
  <c r="K275" i="32"/>
  <c r="L275" i="32"/>
  <c r="C276" i="32"/>
  <c r="G276" i="32"/>
  <c r="F276" i="32" s="1"/>
  <c r="H276" i="32"/>
  <c r="I276" i="32"/>
  <c r="D276" i="32"/>
  <c r="J276" i="32"/>
  <c r="E276" i="32" s="1"/>
  <c r="K276" i="32"/>
  <c r="L276" i="32"/>
  <c r="C277" i="32"/>
  <c r="G277" i="32"/>
  <c r="H277" i="32"/>
  <c r="I277" i="32"/>
  <c r="D277" i="32" s="1"/>
  <c r="J277" i="32"/>
  <c r="E277" i="32" s="1"/>
  <c r="K277" i="32"/>
  <c r="L277" i="32"/>
  <c r="C278" i="32"/>
  <c r="G278" i="32"/>
  <c r="F278" i="32" s="1"/>
  <c r="H278" i="32"/>
  <c r="I278" i="32"/>
  <c r="D278" i="32" s="1"/>
  <c r="J278" i="32"/>
  <c r="E278" i="32" s="1"/>
  <c r="K278" i="32"/>
  <c r="L278" i="32"/>
  <c r="C279" i="32"/>
  <c r="G279" i="32"/>
  <c r="H279" i="32"/>
  <c r="I279" i="32"/>
  <c r="D279" i="32" s="1"/>
  <c r="J279" i="32"/>
  <c r="E279" i="32" s="1"/>
  <c r="K279" i="32"/>
  <c r="L279" i="32"/>
  <c r="C280" i="32"/>
  <c r="D280" i="32"/>
  <c r="G280" i="32"/>
  <c r="F280" i="32" s="1"/>
  <c r="H280" i="32"/>
  <c r="I280" i="32"/>
  <c r="J280" i="32"/>
  <c r="E280" i="32" s="1"/>
  <c r="K280" i="32"/>
  <c r="L280" i="32"/>
  <c r="C281" i="32"/>
  <c r="G281" i="32"/>
  <c r="H281" i="32"/>
  <c r="I281" i="32"/>
  <c r="D281" i="32" s="1"/>
  <c r="J281" i="32"/>
  <c r="E281" i="32" s="1"/>
  <c r="K281" i="32"/>
  <c r="L281" i="32"/>
  <c r="C282" i="32"/>
  <c r="G282" i="32"/>
  <c r="H282" i="32"/>
  <c r="I282" i="32"/>
  <c r="D282" i="32"/>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c r="K285" i="32"/>
  <c r="L285" i="32"/>
  <c r="C286" i="32"/>
  <c r="G286" i="32"/>
  <c r="H286" i="32"/>
  <c r="I286" i="32"/>
  <c r="D286" i="32" s="1"/>
  <c r="J286" i="32"/>
  <c r="E286" i="32"/>
  <c r="K286" i="32"/>
  <c r="L286" i="32"/>
  <c r="C287" i="32"/>
  <c r="G287" i="32"/>
  <c r="H287" i="32"/>
  <c r="I287" i="32"/>
  <c r="D287" i="32"/>
  <c r="J287" i="32"/>
  <c r="E287" i="32" s="1"/>
  <c r="K287" i="32"/>
  <c r="L287" i="32"/>
  <c r="C288" i="32"/>
  <c r="G288" i="32"/>
  <c r="F288" i="32" s="1"/>
  <c r="H288" i="32"/>
  <c r="I288" i="32"/>
  <c r="D288" i="32" s="1"/>
  <c r="J288" i="32"/>
  <c r="E288" i="32" s="1"/>
  <c r="K288" i="32"/>
  <c r="L288" i="32"/>
  <c r="C289" i="32"/>
  <c r="G289" i="32"/>
  <c r="H289" i="32"/>
  <c r="I289" i="32"/>
  <c r="D289" i="32" s="1"/>
  <c r="J289" i="32"/>
  <c r="E289" i="32"/>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F292" i="32" s="1"/>
  <c r="H292" i="32"/>
  <c r="I292" i="32"/>
  <c r="D292" i="32" s="1"/>
  <c r="J292" i="32"/>
  <c r="E292" i="32"/>
  <c r="K292" i="32"/>
  <c r="L292" i="32"/>
  <c r="C293" i="32"/>
  <c r="G293" i="32"/>
  <c r="H293" i="32"/>
  <c r="I293" i="32"/>
  <c r="D293" i="32"/>
  <c r="J293" i="32"/>
  <c r="E293" i="32" s="1"/>
  <c r="K293" i="32"/>
  <c r="L293" i="32"/>
  <c r="C294" i="32"/>
  <c r="G294" i="32"/>
  <c r="H294" i="32"/>
  <c r="I294" i="32"/>
  <c r="D294" i="32"/>
  <c r="J294" i="32"/>
  <c r="E294" i="32" s="1"/>
  <c r="K294" i="32"/>
  <c r="L294" i="32"/>
  <c r="C295" i="32"/>
  <c r="G295" i="32"/>
  <c r="H295" i="32"/>
  <c r="I295" i="32"/>
  <c r="D295" i="32"/>
  <c r="J295" i="32"/>
  <c r="E295" i="32" s="1"/>
  <c r="K295" i="32"/>
  <c r="L295" i="32"/>
  <c r="C296" i="32"/>
  <c r="G296" i="32"/>
  <c r="H296" i="32"/>
  <c r="I296" i="32"/>
  <c r="D296" i="32" s="1"/>
  <c r="J296" i="32"/>
  <c r="E296" i="32" s="1"/>
  <c r="K296" i="32"/>
  <c r="L296" i="32"/>
  <c r="C297" i="32"/>
  <c r="G297" i="32"/>
  <c r="H297" i="32"/>
  <c r="I297" i="32"/>
  <c r="D297" i="32"/>
  <c r="J297" i="32"/>
  <c r="E297" i="32" s="1"/>
  <c r="K297" i="32"/>
  <c r="L297" i="32"/>
  <c r="C298" i="32"/>
  <c r="G298" i="32"/>
  <c r="H298" i="32"/>
  <c r="I298" i="32"/>
  <c r="D298" i="32" s="1"/>
  <c r="J298" i="32"/>
  <c r="E298" i="32" s="1"/>
  <c r="K298" i="32"/>
  <c r="L298" i="32"/>
  <c r="C299" i="32"/>
  <c r="G299" i="32"/>
  <c r="H299" i="32"/>
  <c r="I299" i="32"/>
  <c r="D299" i="32" s="1"/>
  <c r="J299" i="32"/>
  <c r="E299" i="32" s="1"/>
  <c r="K299" i="32"/>
  <c r="L299" i="32"/>
  <c r="C300" i="32"/>
  <c r="G300" i="32"/>
  <c r="F300" i="32"/>
  <c r="H300" i="32"/>
  <c r="I300" i="32"/>
  <c r="D300" i="32" s="1"/>
  <c r="J300" i="32"/>
  <c r="E300" i="32" s="1"/>
  <c r="K300" i="32"/>
  <c r="L300" i="32"/>
  <c r="C301" i="32"/>
  <c r="G301" i="32"/>
  <c r="H301" i="32"/>
  <c r="I301" i="32"/>
  <c r="D301" i="32" s="1"/>
  <c r="J301" i="32"/>
  <c r="E301" i="32"/>
  <c r="K301" i="32"/>
  <c r="L301" i="32"/>
  <c r="C302" i="32"/>
  <c r="G302" i="32"/>
  <c r="F302" i="32" s="1"/>
  <c r="H302" i="32"/>
  <c r="I302" i="32"/>
  <c r="D302" i="32"/>
  <c r="J302" i="32"/>
  <c r="E302" i="32" s="1"/>
  <c r="K302" i="32"/>
  <c r="L302" i="32"/>
  <c r="C303" i="32"/>
  <c r="G303" i="32"/>
  <c r="F303" i="32" s="1"/>
  <c r="H303" i="32"/>
  <c r="I303" i="32"/>
  <c r="D303" i="32"/>
  <c r="J303" i="32"/>
  <c r="E303" i="32" s="1"/>
  <c r="K303" i="32"/>
  <c r="L303" i="32"/>
  <c r="C304" i="32"/>
  <c r="G304" i="32"/>
  <c r="H304" i="32"/>
  <c r="F304" i="32" s="1"/>
  <c r="I304" i="32"/>
  <c r="D304" i="32" s="1"/>
  <c r="J304" i="32"/>
  <c r="E304" i="32" s="1"/>
  <c r="K304" i="32"/>
  <c r="L304" i="32"/>
  <c r="C305" i="32"/>
  <c r="G305" i="32"/>
  <c r="H305" i="32"/>
  <c r="I305" i="32"/>
  <c r="D305" i="32" s="1"/>
  <c r="J305" i="32"/>
  <c r="E305" i="32" s="1"/>
  <c r="K305" i="32"/>
  <c r="L305" i="32"/>
  <c r="C306" i="32"/>
  <c r="G306" i="32"/>
  <c r="H306" i="32"/>
  <c r="I306" i="32"/>
  <c r="D306" i="32" s="1"/>
  <c r="J306" i="32"/>
  <c r="E306" i="32" s="1"/>
  <c r="K306" i="32"/>
  <c r="L306" i="32"/>
  <c r="C307" i="32"/>
  <c r="G307" i="32"/>
  <c r="H307" i="32"/>
  <c r="I307" i="32"/>
  <c r="D307" i="32"/>
  <c r="J307" i="32"/>
  <c r="E307" i="32" s="1"/>
  <c r="K307" i="32"/>
  <c r="L307" i="32"/>
  <c r="C308" i="32"/>
  <c r="G308" i="32"/>
  <c r="H308" i="32"/>
  <c r="I308" i="32"/>
  <c r="D308" i="32" s="1"/>
  <c r="J308" i="32"/>
  <c r="E308" i="32" s="1"/>
  <c r="K308" i="32"/>
  <c r="L308" i="32"/>
  <c r="C309" i="32"/>
  <c r="G309" i="32"/>
  <c r="H309" i="32"/>
  <c r="I309" i="32"/>
  <c r="D309" i="32" s="1"/>
  <c r="J309" i="32"/>
  <c r="E309" i="32" s="1"/>
  <c r="K309" i="32"/>
  <c r="L309" i="32"/>
  <c r="C310" i="32"/>
  <c r="G310" i="32"/>
  <c r="H310" i="32"/>
  <c r="F310" i="32"/>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G313" i="32"/>
  <c r="H313" i="32"/>
  <c r="I313" i="32"/>
  <c r="D313" i="32" s="1"/>
  <c r="J313" i="32"/>
  <c r="E313" i="32"/>
  <c r="K313" i="32"/>
  <c r="L313" i="32"/>
  <c r="C314" i="32"/>
  <c r="G314" i="32"/>
  <c r="H314" i="32"/>
  <c r="I314" i="32"/>
  <c r="D314" i="32"/>
  <c r="J314" i="32"/>
  <c r="E314" i="32" s="1"/>
  <c r="K314" i="32"/>
  <c r="L314" i="32"/>
  <c r="C315" i="32"/>
  <c r="G315" i="32"/>
  <c r="F315" i="32" s="1"/>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c r="K317" i="32"/>
  <c r="L317" i="32"/>
  <c r="C318" i="32"/>
  <c r="G318" i="32"/>
  <c r="H318" i="32"/>
  <c r="I318" i="32"/>
  <c r="D318" i="32" s="1"/>
  <c r="J318" i="32"/>
  <c r="E318" i="32"/>
  <c r="K318" i="32"/>
  <c r="L318" i="32"/>
  <c r="C319" i="32"/>
  <c r="G319" i="32"/>
  <c r="H319" i="32"/>
  <c r="I319" i="32"/>
  <c r="D319" i="32" s="1"/>
  <c r="J319" i="32"/>
  <c r="E319" i="32"/>
  <c r="K319" i="32"/>
  <c r="L319" i="32"/>
  <c r="C320" i="32"/>
  <c r="G320" i="32"/>
  <c r="H320" i="32"/>
  <c r="I320" i="32"/>
  <c r="D320" i="32" s="1"/>
  <c r="J320" i="32"/>
  <c r="E320" i="32" s="1"/>
  <c r="K320" i="32"/>
  <c r="L320" i="32"/>
  <c r="C321" i="32"/>
  <c r="G321" i="32"/>
  <c r="H321" i="32"/>
  <c r="I321" i="32"/>
  <c r="D321" i="32" s="1"/>
  <c r="J321" i="32"/>
  <c r="E321" i="32"/>
  <c r="K321" i="32"/>
  <c r="L321" i="32"/>
  <c r="C322" i="32"/>
  <c r="G322" i="32"/>
  <c r="H322" i="32"/>
  <c r="I322" i="32"/>
  <c r="D322" i="32" s="1"/>
  <c r="J322" i="32"/>
  <c r="E322" i="32" s="1"/>
  <c r="K322" i="32"/>
  <c r="L322" i="32"/>
  <c r="C323" i="32"/>
  <c r="D323" i="32"/>
  <c r="G323" i="32"/>
  <c r="H323" i="32"/>
  <c r="I323" i="32"/>
  <c r="J323" i="32"/>
  <c r="E323" i="32"/>
  <c r="K323" i="32"/>
  <c r="L323" i="32"/>
  <c r="C324" i="32"/>
  <c r="G324" i="32"/>
  <c r="F324" i="32" s="1"/>
  <c r="H324" i="32"/>
  <c r="I324" i="32"/>
  <c r="D324" i="32"/>
  <c r="J324" i="32"/>
  <c r="E324" i="32"/>
  <c r="K324" i="32"/>
  <c r="L324" i="32"/>
  <c r="C325" i="32"/>
  <c r="G325" i="32"/>
  <c r="H325" i="32"/>
  <c r="I325" i="32"/>
  <c r="D325" i="32" s="1"/>
  <c r="J325" i="32"/>
  <c r="E325" i="32"/>
  <c r="K325" i="32"/>
  <c r="L325" i="32"/>
  <c r="C326" i="32"/>
  <c r="G326" i="32"/>
  <c r="H326" i="32"/>
  <c r="I326" i="32"/>
  <c r="D326" i="32"/>
  <c r="J326" i="32"/>
  <c r="E326" i="32" s="1"/>
  <c r="K326" i="32"/>
  <c r="L326" i="32"/>
  <c r="C327" i="32"/>
  <c r="G327" i="32"/>
  <c r="H327" i="32"/>
  <c r="I327" i="32"/>
  <c r="D327" i="32" s="1"/>
  <c r="J327" i="32"/>
  <c r="E327" i="32" s="1"/>
  <c r="K327" i="32"/>
  <c r="L327" i="32"/>
  <c r="C328" i="32"/>
  <c r="G328" i="32"/>
  <c r="H328" i="32"/>
  <c r="I328" i="32"/>
  <c r="D328" i="32" s="1"/>
  <c r="J328" i="32"/>
  <c r="E328" i="32"/>
  <c r="K328" i="32"/>
  <c r="L328" i="32"/>
  <c r="C329" i="32"/>
  <c r="G329" i="32"/>
  <c r="H329" i="32"/>
  <c r="I329" i="32"/>
  <c r="D329" i="32" s="1"/>
  <c r="J329" i="32"/>
  <c r="E329" i="32" s="1"/>
  <c r="K329" i="32"/>
  <c r="L329" i="32"/>
  <c r="C330" i="32"/>
  <c r="G330" i="32"/>
  <c r="F330" i="32" s="1"/>
  <c r="H330" i="32"/>
  <c r="I330" i="32"/>
  <c r="D330" i="32"/>
  <c r="J330" i="32"/>
  <c r="E330" i="32" s="1"/>
  <c r="K330" i="32"/>
  <c r="L330" i="32"/>
  <c r="C331" i="32"/>
  <c r="G331" i="32"/>
  <c r="F331" i="32" s="1"/>
  <c r="H331" i="32"/>
  <c r="I331" i="32"/>
  <c r="D331" i="32" s="1"/>
  <c r="J331" i="32"/>
  <c r="E331" i="32" s="1"/>
  <c r="K331" i="32"/>
  <c r="L331" i="32"/>
  <c r="C332" i="32"/>
  <c r="G332" i="32"/>
  <c r="H332" i="32"/>
  <c r="I332" i="32"/>
  <c r="D332" i="32"/>
  <c r="J332" i="32"/>
  <c r="E332" i="32" s="1"/>
  <c r="K332" i="32"/>
  <c r="L332" i="32"/>
  <c r="C333" i="32"/>
  <c r="G333" i="32"/>
  <c r="H333" i="32"/>
  <c r="I333" i="32"/>
  <c r="D333" i="32"/>
  <c r="J333" i="32"/>
  <c r="E333" i="32" s="1"/>
  <c r="K333" i="32"/>
  <c r="L333" i="32"/>
  <c r="C334" i="32"/>
  <c r="G334" i="32"/>
  <c r="H334" i="32"/>
  <c r="I334" i="32"/>
  <c r="D334" i="32" s="1"/>
  <c r="J334" i="32"/>
  <c r="E334" i="32" s="1"/>
  <c r="K334" i="32"/>
  <c r="L334" i="32"/>
  <c r="C335" i="32"/>
  <c r="G335" i="32"/>
  <c r="H335" i="32"/>
  <c r="I335" i="32"/>
  <c r="D335" i="32" s="1"/>
  <c r="J335" i="32"/>
  <c r="E335" i="32" s="1"/>
  <c r="K335" i="32"/>
  <c r="L335" i="32"/>
  <c r="C336" i="32"/>
  <c r="G336" i="32"/>
  <c r="H336" i="32"/>
  <c r="I336" i="32"/>
  <c r="D336" i="32" s="1"/>
  <c r="J336" i="32"/>
  <c r="E336" i="32"/>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F345" i="32" s="1"/>
  <c r="H345" i="32"/>
  <c r="I345" i="32"/>
  <c r="D345" i="32" s="1"/>
  <c r="J345" i="32"/>
  <c r="E345" i="32" s="1"/>
  <c r="K345" i="32"/>
  <c r="L345" i="32"/>
  <c r="C346" i="32"/>
  <c r="G346" i="32"/>
  <c r="F346" i="32" s="1"/>
  <c r="H346" i="32"/>
  <c r="I346" i="32"/>
  <c r="D346" i="32"/>
  <c r="J346" i="32"/>
  <c r="E346" i="32" s="1"/>
  <c r="K346" i="32"/>
  <c r="L346" i="32"/>
  <c r="C347" i="32"/>
  <c r="G347" i="32"/>
  <c r="H347" i="32"/>
  <c r="I347" i="32"/>
  <c r="D347" i="32" s="1"/>
  <c r="J347" i="32"/>
  <c r="E347" i="32" s="1"/>
  <c r="K347" i="32"/>
  <c r="L347" i="32"/>
  <c r="C348" i="32"/>
  <c r="G348" i="32"/>
  <c r="F348" i="32" s="1"/>
  <c r="H348" i="32"/>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H352" i="32"/>
  <c r="I352" i="32"/>
  <c r="D352" i="32"/>
  <c r="J352" i="32"/>
  <c r="E352" i="32" s="1"/>
  <c r="K352" i="32"/>
  <c r="L352" i="32"/>
  <c r="C353" i="32"/>
  <c r="G353" i="32"/>
  <c r="F353" i="32" s="1"/>
  <c r="H353" i="32"/>
  <c r="I353" i="32"/>
  <c r="D353" i="32" s="1"/>
  <c r="J353" i="32"/>
  <c r="E353" i="32"/>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F358" i="32" s="1"/>
  <c r="H358" i="32"/>
  <c r="I358" i="32"/>
  <c r="D358" i="32" s="1"/>
  <c r="J358" i="32"/>
  <c r="E358" i="32" s="1"/>
  <c r="K358" i="32"/>
  <c r="L358" i="32"/>
  <c r="C359" i="32"/>
  <c r="G359" i="32"/>
  <c r="F359" i="32" s="1"/>
  <c r="H359" i="32"/>
  <c r="I359" i="32"/>
  <c r="D359" i="32" s="1"/>
  <c r="J359" i="32"/>
  <c r="E359" i="32" s="1"/>
  <c r="K359" i="32"/>
  <c r="L359" i="32"/>
  <c r="C360" i="32"/>
  <c r="G360" i="32"/>
  <c r="H360" i="32"/>
  <c r="I360" i="32"/>
  <c r="D360" i="32" s="1"/>
  <c r="J360" i="32"/>
  <c r="E360" i="32" s="1"/>
  <c r="K360" i="32"/>
  <c r="L360" i="32"/>
  <c r="C361" i="32"/>
  <c r="G361" i="32"/>
  <c r="H361" i="32"/>
  <c r="I361" i="32"/>
  <c r="D361" i="32" s="1"/>
  <c r="J361" i="32"/>
  <c r="E361" i="32"/>
  <c r="K361" i="32"/>
  <c r="L361" i="32"/>
  <c r="C362" i="32"/>
  <c r="G362" i="32"/>
  <c r="H362" i="32"/>
  <c r="I362" i="32"/>
  <c r="D362" i="32" s="1"/>
  <c r="J362" i="32"/>
  <c r="E362" i="32" s="1"/>
  <c r="K362" i="32"/>
  <c r="L362" i="32"/>
  <c r="C363" i="32"/>
  <c r="G363" i="32"/>
  <c r="H363" i="32"/>
  <c r="I363" i="32"/>
  <c r="D363" i="32" s="1"/>
  <c r="J363" i="32"/>
  <c r="E363" i="32"/>
  <c r="K363" i="32"/>
  <c r="L363" i="32"/>
  <c r="C364" i="32"/>
  <c r="G364" i="32"/>
  <c r="H364" i="32"/>
  <c r="I364" i="32"/>
  <c r="D364" i="32" s="1"/>
  <c r="J364" i="32"/>
  <c r="E364" i="32" s="1"/>
  <c r="K364" i="32"/>
  <c r="L364" i="32"/>
  <c r="C365" i="32"/>
  <c r="G365" i="32"/>
  <c r="H365" i="32"/>
  <c r="I365" i="32"/>
  <c r="D365" i="32"/>
  <c r="J365" i="32"/>
  <c r="E365" i="32" s="1"/>
  <c r="K365" i="32"/>
  <c r="L365" i="32"/>
  <c r="C366" i="32"/>
  <c r="G366" i="32"/>
  <c r="H366" i="32"/>
  <c r="I366" i="32"/>
  <c r="D366" i="32"/>
  <c r="J366" i="32"/>
  <c r="E366" i="32" s="1"/>
  <c r="K366" i="32"/>
  <c r="L366" i="32"/>
  <c r="C367" i="32"/>
  <c r="G367" i="32"/>
  <c r="H367" i="32"/>
  <c r="I367" i="32"/>
  <c r="D367" i="32" s="1"/>
  <c r="J367" i="32"/>
  <c r="E367" i="32" s="1"/>
  <c r="K367" i="32"/>
  <c r="L367" i="32"/>
  <c r="C368" i="32"/>
  <c r="G368" i="32"/>
  <c r="H368" i="32"/>
  <c r="F368" i="32" s="1"/>
  <c r="I368" i="32"/>
  <c r="D368" i="32" s="1"/>
  <c r="J368" i="32"/>
  <c r="E368" i="32" s="1"/>
  <c r="K368" i="32"/>
  <c r="L368" i="32"/>
  <c r="C369" i="32"/>
  <c r="G369" i="32"/>
  <c r="F369" i="32" s="1"/>
  <c r="H369" i="32"/>
  <c r="I369" i="32"/>
  <c r="D369" i="32" s="1"/>
  <c r="J369" i="32"/>
  <c r="E369" i="32" s="1"/>
  <c r="K369" i="32"/>
  <c r="L369" i="32"/>
  <c r="C370" i="32"/>
  <c r="G370" i="32"/>
  <c r="H370" i="32"/>
  <c r="I370" i="32"/>
  <c r="D370" i="32" s="1"/>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c r="K377" i="32"/>
  <c r="L377" i="32"/>
  <c r="C378" i="32"/>
  <c r="G378" i="32"/>
  <c r="F378" i="32" s="1"/>
  <c r="H378" i="32"/>
  <c r="I378" i="32"/>
  <c r="D378" i="32" s="1"/>
  <c r="J378" i="32"/>
  <c r="E378" i="32" s="1"/>
  <c r="K378" i="32"/>
  <c r="L378" i="32"/>
  <c r="C379" i="32"/>
  <c r="G379" i="32"/>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F382" i="32" s="1"/>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F385" i="32" s="1"/>
  <c r="H385" i="32"/>
  <c r="I385" i="32"/>
  <c r="D385" i="32" s="1"/>
  <c r="J385" i="32"/>
  <c r="E385" i="32" s="1"/>
  <c r="K385" i="32"/>
  <c r="L385" i="32"/>
  <c r="C386" i="32"/>
  <c r="G386" i="32"/>
  <c r="H386" i="32"/>
  <c r="I386" i="32"/>
  <c r="D386" i="32" s="1"/>
  <c r="J386" i="32"/>
  <c r="E386" i="32" s="1"/>
  <c r="K386" i="32"/>
  <c r="L386" i="32"/>
  <c r="C387" i="32"/>
  <c r="G387" i="32"/>
  <c r="H387" i="32"/>
  <c r="I387" i="32"/>
  <c r="D387" i="32"/>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G394" i="32"/>
  <c r="H394" i="32"/>
  <c r="I394" i="32"/>
  <c r="D394" i="32" s="1"/>
  <c r="J394" i="32"/>
  <c r="E394" i="32" s="1"/>
  <c r="K394" i="32"/>
  <c r="L394" i="32"/>
  <c r="C395" i="32"/>
  <c r="G395" i="32"/>
  <c r="F395" i="32" s="1"/>
  <c r="H395" i="32"/>
  <c r="I395" i="32"/>
  <c r="D395" i="32" s="1"/>
  <c r="J395" i="32"/>
  <c r="E395" i="32" s="1"/>
  <c r="K395" i="32"/>
  <c r="L395" i="32"/>
  <c r="C396" i="32"/>
  <c r="G396" i="32"/>
  <c r="F396" i="32" s="1"/>
  <c r="H396" i="32"/>
  <c r="I396" i="32"/>
  <c r="D396" i="32" s="1"/>
  <c r="J396" i="32"/>
  <c r="E396" i="32"/>
  <c r="K396" i="32"/>
  <c r="L396" i="32"/>
  <c r="C397" i="32"/>
  <c r="G397" i="32"/>
  <c r="H397" i="32"/>
  <c r="I397" i="32"/>
  <c r="D397" i="32" s="1"/>
  <c r="J397" i="32"/>
  <c r="E397" i="32"/>
  <c r="K397" i="32"/>
  <c r="L397" i="32"/>
  <c r="C398" i="32"/>
  <c r="G398" i="32"/>
  <c r="H398" i="32"/>
  <c r="I398" i="32"/>
  <c r="D398" i="32"/>
  <c r="J398" i="32"/>
  <c r="E398" i="32" s="1"/>
  <c r="K398" i="32"/>
  <c r="L398" i="32"/>
  <c r="C399" i="32"/>
  <c r="G399" i="32"/>
  <c r="H399" i="32"/>
  <c r="I399" i="32"/>
  <c r="D399" i="32"/>
  <c r="J399" i="32"/>
  <c r="E399" i="32" s="1"/>
  <c r="K399" i="32"/>
  <c r="L399" i="32"/>
  <c r="C400" i="32"/>
  <c r="G400" i="32"/>
  <c r="H400" i="32"/>
  <c r="I400" i="32"/>
  <c r="D400" i="32" s="1"/>
  <c r="J400" i="32"/>
  <c r="E400" i="32" s="1"/>
  <c r="K400" i="32"/>
  <c r="L400" i="32"/>
  <c r="C401" i="32"/>
  <c r="G401" i="32"/>
  <c r="H401" i="32"/>
  <c r="I401" i="32"/>
  <c r="D401" i="32"/>
  <c r="J401" i="32"/>
  <c r="E401" i="32" s="1"/>
  <c r="K401" i="32"/>
  <c r="L401" i="32"/>
  <c r="C402" i="32"/>
  <c r="G402" i="32"/>
  <c r="H402" i="32"/>
  <c r="I402" i="32"/>
  <c r="D402" i="32" s="1"/>
  <c r="J402" i="32"/>
  <c r="E402" i="32" s="1"/>
  <c r="K402" i="32"/>
  <c r="L402" i="32"/>
  <c r="C403" i="32"/>
  <c r="G403" i="32"/>
  <c r="F403" i="32" s="1"/>
  <c r="H403" i="32"/>
  <c r="I403" i="32"/>
  <c r="D403" i="32" s="1"/>
  <c r="J403" i="32"/>
  <c r="E403" i="32"/>
  <c r="K403" i="32"/>
  <c r="L403" i="32"/>
  <c r="C404" i="32"/>
  <c r="G404" i="32"/>
  <c r="F404" i="32" s="1"/>
  <c r="H404" i="32"/>
  <c r="I404" i="32"/>
  <c r="D404" i="32" s="1"/>
  <c r="J404" i="32"/>
  <c r="E404" i="32" s="1"/>
  <c r="K404" i="32"/>
  <c r="L404" i="32"/>
  <c r="C405" i="32"/>
  <c r="G405" i="32"/>
  <c r="H405" i="32"/>
  <c r="I405" i="32"/>
  <c r="D405" i="32"/>
  <c r="J405" i="32"/>
  <c r="E405" i="32" s="1"/>
  <c r="K405" i="32"/>
  <c r="L405" i="32"/>
  <c r="C406" i="32"/>
  <c r="D406" i="32"/>
  <c r="G406" i="32"/>
  <c r="H406" i="32"/>
  <c r="I406" i="32"/>
  <c r="J406" i="32"/>
  <c r="E406" i="32" s="1"/>
  <c r="K406" i="32"/>
  <c r="L406" i="32"/>
  <c r="C407" i="32"/>
  <c r="G407" i="32"/>
  <c r="F407" i="32" s="1"/>
  <c r="H407" i="32"/>
  <c r="I407" i="32"/>
  <c r="D407" i="32" s="1"/>
  <c r="J407" i="32"/>
  <c r="E407" i="32" s="1"/>
  <c r="K407" i="32"/>
  <c r="L407" i="32"/>
  <c r="C408" i="32"/>
  <c r="G408" i="32"/>
  <c r="H408" i="32"/>
  <c r="I408" i="32"/>
  <c r="D408" i="32" s="1"/>
  <c r="J408" i="32"/>
  <c r="E408" i="32"/>
  <c r="K408" i="32"/>
  <c r="L408" i="32"/>
  <c r="C409" i="32"/>
  <c r="G409" i="32"/>
  <c r="H409" i="32"/>
  <c r="I409" i="32"/>
  <c r="D409" i="32" s="1"/>
  <c r="J409" i="32"/>
  <c r="E409" i="32"/>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c r="J414" i="32"/>
  <c r="E414" i="32" s="1"/>
  <c r="K414" i="32"/>
  <c r="L414" i="32"/>
  <c r="C415" i="32"/>
  <c r="G415" i="32"/>
  <c r="H415" i="32"/>
  <c r="I415" i="32"/>
  <c r="D415" i="32" s="1"/>
  <c r="J415" i="32"/>
  <c r="E415" i="32" s="1"/>
  <c r="K415" i="32"/>
  <c r="L415" i="32"/>
  <c r="C416" i="32"/>
  <c r="G416" i="32"/>
  <c r="H416" i="32"/>
  <c r="I416" i="32"/>
  <c r="D416" i="32"/>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F421" i="32" s="1"/>
  <c r="I421" i="32"/>
  <c r="D421" i="32" s="1"/>
  <c r="J421" i="32"/>
  <c r="E421" i="32" s="1"/>
  <c r="K421" i="32"/>
  <c r="L421" i="32"/>
  <c r="C422" i="32"/>
  <c r="G422" i="32"/>
  <c r="H422" i="32"/>
  <c r="I422" i="32"/>
  <c r="D422" i="32"/>
  <c r="J422" i="32"/>
  <c r="E422" i="32"/>
  <c r="K422" i="32"/>
  <c r="L422" i="32"/>
  <c r="C423" i="32"/>
  <c r="G423" i="32"/>
  <c r="H423" i="32"/>
  <c r="I423" i="32"/>
  <c r="D423" i="32" s="1"/>
  <c r="J423" i="32"/>
  <c r="E423" i="32" s="1"/>
  <c r="K423" i="32"/>
  <c r="L423" i="32"/>
  <c r="C424" i="32"/>
  <c r="G424" i="32"/>
  <c r="H424" i="32"/>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c r="J427" i="32"/>
  <c r="E427" i="32"/>
  <c r="K427" i="32"/>
  <c r="L427" i="32"/>
  <c r="C428" i="32"/>
  <c r="G428" i="32"/>
  <c r="F428" i="32" s="1"/>
  <c r="H428" i="32"/>
  <c r="I428" i="32"/>
  <c r="D428" i="32"/>
  <c r="J428" i="32"/>
  <c r="E428" i="32"/>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F435" i="32" s="1"/>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c r="J443" i="32"/>
  <c r="E443" i="32" s="1"/>
  <c r="K443" i="32"/>
  <c r="L443" i="32"/>
  <c r="C444" i="32"/>
  <c r="G444" i="32"/>
  <c r="H444" i="32"/>
  <c r="I444" i="32"/>
  <c r="D444" i="32" s="1"/>
  <c r="J444" i="32"/>
  <c r="E444" i="32" s="1"/>
  <c r="K444" i="32"/>
  <c r="L444" i="32"/>
  <c r="C445" i="32"/>
  <c r="G445" i="32"/>
  <c r="H445" i="32"/>
  <c r="I445" i="32"/>
  <c r="D445" i="32"/>
  <c r="J445" i="32"/>
  <c r="E445" i="32" s="1"/>
  <c r="K445" i="32"/>
  <c r="L445" i="32"/>
  <c r="C446" i="32"/>
  <c r="G446" i="32"/>
  <c r="H446" i="32"/>
  <c r="F446" i="32" s="1"/>
  <c r="I446" i="32"/>
  <c r="D446" i="32"/>
  <c r="J446" i="32"/>
  <c r="E446" i="32" s="1"/>
  <c r="K446" i="32"/>
  <c r="L446" i="32"/>
  <c r="C447" i="32"/>
  <c r="G447" i="32"/>
  <c r="H447" i="32"/>
  <c r="F447" i="32" s="1"/>
  <c r="I447" i="32"/>
  <c r="D447" i="32" s="1"/>
  <c r="J447" i="32"/>
  <c r="E447" i="32" s="1"/>
  <c r="K447" i="32"/>
  <c r="L447" i="32"/>
  <c r="C448" i="32"/>
  <c r="G448" i="32"/>
  <c r="H448" i="32"/>
  <c r="F448" i="32" s="1"/>
  <c r="I448" i="32"/>
  <c r="D448" i="32" s="1"/>
  <c r="J448" i="32"/>
  <c r="E448" i="32" s="1"/>
  <c r="K448" i="32"/>
  <c r="L448" i="32"/>
  <c r="C449" i="32"/>
  <c r="G449" i="32"/>
  <c r="H449" i="32"/>
  <c r="I449" i="32"/>
  <c r="D449" i="32" s="1"/>
  <c r="J449" i="32"/>
  <c r="E449" i="32" s="1"/>
  <c r="K449" i="32"/>
  <c r="L449" i="32"/>
  <c r="C450" i="32"/>
  <c r="G450" i="32"/>
  <c r="H450" i="32"/>
  <c r="I450" i="32"/>
  <c r="D450" i="32"/>
  <c r="J450" i="32"/>
  <c r="E450" i="32" s="1"/>
  <c r="K450" i="32"/>
  <c r="L450" i="32"/>
  <c r="C451" i="32"/>
  <c r="G451" i="32"/>
  <c r="H451" i="32"/>
  <c r="I451" i="32"/>
  <c r="D451" i="32"/>
  <c r="J451" i="32"/>
  <c r="E451" i="32" s="1"/>
  <c r="K451" i="32"/>
  <c r="L451" i="32"/>
  <c r="C452" i="32"/>
  <c r="G452" i="32"/>
  <c r="H452" i="32"/>
  <c r="I452" i="32"/>
  <c r="D452" i="32" s="1"/>
  <c r="J452" i="32"/>
  <c r="E452" i="32" s="1"/>
  <c r="K452" i="32"/>
  <c r="L452" i="32"/>
  <c r="C453" i="32"/>
  <c r="G453" i="32"/>
  <c r="H453" i="32"/>
  <c r="I453" i="32"/>
  <c r="D453" i="32" s="1"/>
  <c r="J453" i="32"/>
  <c r="E453" i="32"/>
  <c r="K453" i="32"/>
  <c r="L453" i="32"/>
  <c r="C454" i="32"/>
  <c r="G454" i="32"/>
  <c r="H454" i="32"/>
  <c r="I454" i="32"/>
  <c r="D454" i="32" s="1"/>
  <c r="J454" i="32"/>
  <c r="E454" i="32" s="1"/>
  <c r="K454" i="32"/>
  <c r="L454" i="32"/>
  <c r="C455" i="32"/>
  <c r="G455" i="32"/>
  <c r="F455" i="32" s="1"/>
  <c r="H455" i="32"/>
  <c r="I455" i="32"/>
  <c r="D455" i="32"/>
  <c r="J455" i="32"/>
  <c r="E455" i="32" s="1"/>
  <c r="K455" i="32"/>
  <c r="L455" i="32"/>
  <c r="C456" i="32"/>
  <c r="G456" i="32"/>
  <c r="H456" i="32"/>
  <c r="I456" i="32"/>
  <c r="D456" i="32"/>
  <c r="J456" i="32"/>
  <c r="E456" i="32" s="1"/>
  <c r="K456" i="32"/>
  <c r="L456" i="32"/>
  <c r="C457" i="32"/>
  <c r="G457" i="32"/>
  <c r="F457" i="32" s="1"/>
  <c r="H457" i="32"/>
  <c r="I457" i="32"/>
  <c r="D457" i="32" s="1"/>
  <c r="J457" i="32"/>
  <c r="E457" i="32" s="1"/>
  <c r="K457" i="32"/>
  <c r="L457" i="32"/>
  <c r="C458" i="32"/>
  <c r="G458" i="32"/>
  <c r="H458" i="32"/>
  <c r="I458" i="32"/>
  <c r="D458" i="32" s="1"/>
  <c r="J458" i="32"/>
  <c r="E458" i="32" s="1"/>
  <c r="K458" i="32"/>
  <c r="L458" i="32"/>
  <c r="C459" i="32"/>
  <c r="G459" i="32"/>
  <c r="H459" i="32"/>
  <c r="I459" i="32"/>
  <c r="D459" i="32" s="1"/>
  <c r="J459" i="32"/>
  <c r="E459" i="32" s="1"/>
  <c r="K459" i="32"/>
  <c r="L459" i="32"/>
  <c r="C460" i="32"/>
  <c r="G460" i="32"/>
  <c r="F460" i="32" s="1"/>
  <c r="H460" i="32"/>
  <c r="I460" i="32"/>
  <c r="D460" i="32" s="1"/>
  <c r="J460" i="32"/>
  <c r="E460" i="32" s="1"/>
  <c r="K460" i="32"/>
  <c r="L460" i="32"/>
  <c r="C461" i="32"/>
  <c r="G461" i="32"/>
  <c r="F461" i="32"/>
  <c r="H461" i="32"/>
  <c r="I461" i="32"/>
  <c r="D461" i="32" s="1"/>
  <c r="J461" i="32"/>
  <c r="E461" i="32" s="1"/>
  <c r="K461" i="32"/>
  <c r="L461" i="32"/>
  <c r="C462" i="32"/>
  <c r="G462" i="32"/>
  <c r="F462" i="32" s="1"/>
  <c r="H462" i="32"/>
  <c r="I462" i="32"/>
  <c r="D462" i="32" s="1"/>
  <c r="J462" i="32"/>
  <c r="E462" i="32" s="1"/>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c r="K469" i="32"/>
  <c r="L469" i="32"/>
  <c r="C470" i="32"/>
  <c r="G470" i="32"/>
  <c r="H470" i="32"/>
  <c r="I470" i="32"/>
  <c r="D470" i="32" s="1"/>
  <c r="J470" i="32"/>
  <c r="E470" i="32" s="1"/>
  <c r="K470" i="32"/>
  <c r="L470" i="32"/>
  <c r="C471" i="32"/>
  <c r="G471" i="32"/>
  <c r="H471" i="32"/>
  <c r="F471" i="32" s="1"/>
  <c r="I471" i="32"/>
  <c r="D471" i="32" s="1"/>
  <c r="J471" i="32"/>
  <c r="E471" i="32" s="1"/>
  <c r="K471" i="32"/>
  <c r="L471" i="32"/>
  <c r="C472" i="32"/>
  <c r="G472" i="32"/>
  <c r="H472" i="32"/>
  <c r="I472" i="32"/>
  <c r="D472" i="32" s="1"/>
  <c r="J472" i="32"/>
  <c r="E472" i="32"/>
  <c r="K472" i="32"/>
  <c r="L472" i="32"/>
  <c r="C473" i="32"/>
  <c r="G473" i="32"/>
  <c r="H473" i="32"/>
  <c r="F473" i="32" s="1"/>
  <c r="I473" i="32"/>
  <c r="D473" i="32" s="1"/>
  <c r="J473" i="32"/>
  <c r="E473" i="32" s="1"/>
  <c r="K473" i="32"/>
  <c r="L473" i="32"/>
  <c r="C474" i="32"/>
  <c r="G474" i="32"/>
  <c r="H474" i="32"/>
  <c r="I474" i="32"/>
  <c r="D474" i="32" s="1"/>
  <c r="J474" i="32"/>
  <c r="E474" i="32" s="1"/>
  <c r="K474" i="32"/>
  <c r="L474" i="32"/>
  <c r="C475" i="32"/>
  <c r="G475" i="32"/>
  <c r="H475" i="32"/>
  <c r="I475" i="32"/>
  <c r="D475" i="32" s="1"/>
  <c r="J475" i="32"/>
  <c r="E475" i="32" s="1"/>
  <c r="K475" i="32"/>
  <c r="L475" i="32"/>
  <c r="C476" i="32"/>
  <c r="G476" i="32"/>
  <c r="H476" i="32"/>
  <c r="I476" i="32"/>
  <c r="D476" i="32" s="1"/>
  <c r="J476" i="32"/>
  <c r="E476" i="32" s="1"/>
  <c r="K476" i="32"/>
  <c r="L476" i="32"/>
  <c r="C477" i="32"/>
  <c r="G477" i="32"/>
  <c r="H477" i="32"/>
  <c r="I477" i="32"/>
  <c r="D477" i="32"/>
  <c r="J477" i="32"/>
  <c r="E477" i="32" s="1"/>
  <c r="K477" i="32"/>
  <c r="L477" i="32"/>
  <c r="C478" i="32"/>
  <c r="G478" i="32"/>
  <c r="H478" i="32"/>
  <c r="I478" i="32"/>
  <c r="D478" i="32" s="1"/>
  <c r="J478" i="32"/>
  <c r="E478" i="32" s="1"/>
  <c r="K478" i="32"/>
  <c r="L478" i="32"/>
  <c r="C479" i="32"/>
  <c r="G479" i="32"/>
  <c r="H479" i="32"/>
  <c r="I479" i="32"/>
  <c r="D479" i="32" s="1"/>
  <c r="J479" i="32"/>
  <c r="E479" i="32"/>
  <c r="K479" i="32"/>
  <c r="L479" i="32"/>
  <c r="C480" i="32"/>
  <c r="D480" i="32"/>
  <c r="G480" i="32"/>
  <c r="H480" i="32"/>
  <c r="I480" i="32"/>
  <c r="J480" i="32"/>
  <c r="E480" i="32" s="1"/>
  <c r="K480" i="32"/>
  <c r="L480" i="32"/>
  <c r="C481" i="32"/>
  <c r="G481" i="32"/>
  <c r="H481" i="32"/>
  <c r="I481" i="32"/>
  <c r="D481" i="32" s="1"/>
  <c r="J481" i="32"/>
  <c r="E481" i="32"/>
  <c r="K481" i="32"/>
  <c r="L481" i="32"/>
  <c r="C482" i="32"/>
  <c r="G482" i="32"/>
  <c r="H482" i="32"/>
  <c r="I482" i="32"/>
  <c r="D482" i="32" s="1"/>
  <c r="J482" i="32"/>
  <c r="E482" i="32" s="1"/>
  <c r="K482" i="32"/>
  <c r="L482" i="32"/>
  <c r="C483" i="32"/>
  <c r="G483" i="32"/>
  <c r="H483" i="32"/>
  <c r="I483" i="32"/>
  <c r="D483" i="32" s="1"/>
  <c r="J483" i="32"/>
  <c r="E483" i="32" s="1"/>
  <c r="K483" i="32"/>
  <c r="L483" i="32"/>
  <c r="C484" i="32"/>
  <c r="G484" i="32"/>
  <c r="H484" i="32"/>
  <c r="I484" i="32"/>
  <c r="D484" i="32" s="1"/>
  <c r="J484" i="32"/>
  <c r="E484" i="32" s="1"/>
  <c r="K484" i="32"/>
  <c r="L484" i="32"/>
  <c r="C485" i="32"/>
  <c r="G485" i="32"/>
  <c r="H485" i="32"/>
  <c r="I485" i="32"/>
  <c r="D485" i="32" s="1"/>
  <c r="J485" i="32"/>
  <c r="E485" i="32" s="1"/>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H488" i="32"/>
  <c r="F488" i="32" s="1"/>
  <c r="I488" i="32"/>
  <c r="D488" i="32"/>
  <c r="J488" i="32"/>
  <c r="E488" i="32" s="1"/>
  <c r="K488" i="32"/>
  <c r="L488" i="32"/>
  <c r="C489" i="32"/>
  <c r="G489" i="32"/>
  <c r="H489" i="32"/>
  <c r="I489" i="32"/>
  <c r="D489" i="32"/>
  <c r="J489" i="32"/>
  <c r="E489" i="32" s="1"/>
  <c r="K489" i="32"/>
  <c r="L489" i="32"/>
  <c r="C490" i="32"/>
  <c r="G490" i="32"/>
  <c r="H490" i="32"/>
  <c r="F490" i="32" s="1"/>
  <c r="I490" i="32"/>
  <c r="D490" i="32" s="1"/>
  <c r="J490" i="32"/>
  <c r="E490" i="32" s="1"/>
  <c r="K490" i="32"/>
  <c r="L490" i="32"/>
  <c r="C491" i="32"/>
  <c r="G491" i="32"/>
  <c r="H491" i="32"/>
  <c r="I491" i="32"/>
  <c r="D491" i="32" s="1"/>
  <c r="J491" i="32"/>
  <c r="E491" i="32" s="1"/>
  <c r="K491" i="32"/>
  <c r="L491" i="32"/>
  <c r="C492" i="32"/>
  <c r="D492" i="32"/>
  <c r="G492" i="32"/>
  <c r="H492" i="32"/>
  <c r="I492" i="32"/>
  <c r="J492" i="32"/>
  <c r="E492" i="32" s="1"/>
  <c r="K492" i="32"/>
  <c r="L492" i="32"/>
  <c r="C493" i="32"/>
  <c r="G493" i="32"/>
  <c r="F493" i="32" s="1"/>
  <c r="H493" i="32"/>
  <c r="I493" i="32"/>
  <c r="D493" i="32" s="1"/>
  <c r="J493" i="32"/>
  <c r="E493" i="32" s="1"/>
  <c r="K493" i="32"/>
  <c r="L493" i="32"/>
  <c r="C494" i="32"/>
  <c r="G494" i="32"/>
  <c r="H494" i="32"/>
  <c r="I494" i="32"/>
  <c r="D494" i="32"/>
  <c r="J494" i="32"/>
  <c r="E494" i="32"/>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I497" i="32"/>
  <c r="D497" i="32" s="1"/>
  <c r="J497" i="32"/>
  <c r="E497" i="32" s="1"/>
  <c r="K497" i="32"/>
  <c r="L497" i="32"/>
  <c r="C498" i="32"/>
  <c r="G498" i="32"/>
  <c r="H498" i="32"/>
  <c r="I498" i="32"/>
  <c r="D498" i="32"/>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H502" i="32"/>
  <c r="I502" i="32"/>
  <c r="D502" i="32"/>
  <c r="J502" i="32"/>
  <c r="E502" i="32" s="1"/>
  <c r="K502" i="32"/>
  <c r="L502" i="32"/>
  <c r="C503" i="32"/>
  <c r="G503" i="32"/>
  <c r="H503" i="32"/>
  <c r="I503" i="32"/>
  <c r="D503" i="32"/>
  <c r="J503" i="32"/>
  <c r="E503" i="32" s="1"/>
  <c r="K503" i="32"/>
  <c r="L503" i="32"/>
  <c r="C504" i="32"/>
  <c r="G504" i="32"/>
  <c r="H504" i="32"/>
  <c r="I504" i="32"/>
  <c r="D504" i="32"/>
  <c r="J504" i="32"/>
  <c r="E504" i="32" s="1"/>
  <c r="K504" i="32"/>
  <c r="L504" i="32"/>
  <c r="C505" i="32"/>
  <c r="G505" i="32"/>
  <c r="H505" i="32"/>
  <c r="I505" i="32"/>
  <c r="D505" i="32" s="1"/>
  <c r="J505" i="32"/>
  <c r="E505" i="32" s="1"/>
  <c r="K505" i="32"/>
  <c r="L505" i="32"/>
  <c r="C506" i="32"/>
  <c r="G506" i="32"/>
  <c r="F506" i="32" s="1"/>
  <c r="H506" i="32"/>
  <c r="I506" i="32"/>
  <c r="D506" i="32" s="1"/>
  <c r="J506" i="32"/>
  <c r="E506" i="32"/>
  <c r="K506" i="32"/>
  <c r="L506" i="32"/>
  <c r="C507" i="32"/>
  <c r="G507" i="32"/>
  <c r="H507" i="32"/>
  <c r="I507" i="32"/>
  <c r="D507" i="32" s="1"/>
  <c r="J507" i="32"/>
  <c r="E507" i="32" s="1"/>
  <c r="K507" i="32"/>
  <c r="L507" i="32"/>
  <c r="C508" i="32"/>
  <c r="G508" i="32"/>
  <c r="H508" i="32"/>
  <c r="I508" i="32"/>
  <c r="D508" i="32" s="1"/>
  <c r="J508" i="32"/>
  <c r="E508" i="32"/>
  <c r="K508" i="32"/>
  <c r="L508" i="32"/>
  <c r="C509" i="32"/>
  <c r="G509" i="32"/>
  <c r="H509" i="32"/>
  <c r="I509" i="32"/>
  <c r="D509" i="32" s="1"/>
  <c r="J509" i="32"/>
  <c r="E509" i="32"/>
  <c r="K509" i="32"/>
  <c r="L509" i="32"/>
  <c r="C510" i="32"/>
  <c r="G510" i="32"/>
  <c r="H510" i="32"/>
  <c r="I510" i="32"/>
  <c r="D510" i="32" s="1"/>
  <c r="J510" i="32"/>
  <c r="E510" i="32"/>
  <c r="K510" i="32"/>
  <c r="L510" i="32"/>
  <c r="C511" i="32"/>
  <c r="D511" i="32"/>
  <c r="G511" i="32"/>
  <c r="H511" i="32"/>
  <c r="I511" i="32"/>
  <c r="J511" i="32"/>
  <c r="E511" i="32" s="1"/>
  <c r="K511" i="32"/>
  <c r="L511" i="32"/>
  <c r="C512" i="32"/>
  <c r="G512" i="32"/>
  <c r="F512" i="32" s="1"/>
  <c r="H512" i="32"/>
  <c r="I512" i="32"/>
  <c r="D512" i="32" s="1"/>
  <c r="J512" i="32"/>
  <c r="E512" i="32"/>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F515" i="32" s="1"/>
  <c r="H515" i="32"/>
  <c r="I515" i="32"/>
  <c r="D515" i="32" s="1"/>
  <c r="J515" i="32"/>
  <c r="E515" i="32" s="1"/>
  <c r="K515" i="32"/>
  <c r="L515" i="32"/>
  <c r="C516" i="32"/>
  <c r="G516" i="32"/>
  <c r="F516" i="32" s="1"/>
  <c r="H516" i="32"/>
  <c r="I516" i="32"/>
  <c r="D516" i="32" s="1"/>
  <c r="J516" i="32"/>
  <c r="E516" i="32" s="1"/>
  <c r="K516" i="32"/>
  <c r="L516" i="32"/>
  <c r="C517" i="32"/>
  <c r="G517" i="32"/>
  <c r="H517" i="32"/>
  <c r="I517" i="32"/>
  <c r="D517" i="32" s="1"/>
  <c r="J517" i="32"/>
  <c r="E517" i="32" s="1"/>
  <c r="K517" i="32"/>
  <c r="L517" i="32"/>
  <c r="C518" i="32"/>
  <c r="E518" i="32"/>
  <c r="G518" i="32"/>
  <c r="F518" i="32" s="1"/>
  <c r="H518" i="32"/>
  <c r="I518" i="32"/>
  <c r="D518" i="32" s="1"/>
  <c r="J518" i="32"/>
  <c r="K518" i="32"/>
  <c r="L518" i="32"/>
  <c r="C519" i="32"/>
  <c r="G519" i="32"/>
  <c r="H519" i="32"/>
  <c r="I519" i="32"/>
  <c r="D519" i="32" s="1"/>
  <c r="J519" i="32"/>
  <c r="E519" i="32" s="1"/>
  <c r="K519" i="32"/>
  <c r="L519" i="32"/>
  <c r="C520" i="32"/>
  <c r="G520" i="32"/>
  <c r="H520" i="32"/>
  <c r="I520" i="32"/>
  <c r="D520" i="32" s="1"/>
  <c r="J520" i="32"/>
  <c r="E520" i="32" s="1"/>
  <c r="K520" i="32"/>
  <c r="L520" i="32"/>
  <c r="C521" i="32"/>
  <c r="G521" i="32"/>
  <c r="H521" i="32"/>
  <c r="I521" i="32"/>
  <c r="D521" i="32" s="1"/>
  <c r="J521" i="32"/>
  <c r="E521" i="32" s="1"/>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c r="J527" i="32"/>
  <c r="E527" i="32" s="1"/>
  <c r="K527" i="32"/>
  <c r="L527" i="32"/>
  <c r="C528" i="32"/>
  <c r="G528" i="32"/>
  <c r="H528" i="32"/>
  <c r="F528" i="32" s="1"/>
  <c r="I528" i="32"/>
  <c r="D528" i="32"/>
  <c r="J528" i="32"/>
  <c r="E528" i="32" s="1"/>
  <c r="K528" i="32"/>
  <c r="L528" i="32"/>
  <c r="C529" i="32"/>
  <c r="G529" i="32"/>
  <c r="H529" i="32"/>
  <c r="I529" i="32"/>
  <c r="D529" i="32"/>
  <c r="J529" i="32"/>
  <c r="E529" i="32" s="1"/>
  <c r="K529" i="32"/>
  <c r="L529" i="32"/>
  <c r="C530" i="32"/>
  <c r="G530" i="32"/>
  <c r="H530" i="32"/>
  <c r="I530" i="32"/>
  <c r="D530" i="32"/>
  <c r="J530" i="32"/>
  <c r="E530" i="32" s="1"/>
  <c r="K530" i="32"/>
  <c r="L530" i="32"/>
  <c r="C531" i="32"/>
  <c r="G531" i="32"/>
  <c r="H531" i="32"/>
  <c r="I531" i="32"/>
  <c r="D531" i="32" s="1"/>
  <c r="J531" i="32"/>
  <c r="E531" i="32" s="1"/>
  <c r="K531" i="32"/>
  <c r="L531" i="32"/>
  <c r="C532" i="32"/>
  <c r="G532" i="32"/>
  <c r="F532" i="32" s="1"/>
  <c r="H532" i="32"/>
  <c r="I532" i="32"/>
  <c r="D532" i="32" s="1"/>
  <c r="J532" i="32"/>
  <c r="E532" i="32" s="1"/>
  <c r="K532" i="32"/>
  <c r="L532" i="32"/>
  <c r="C533" i="32"/>
  <c r="G533" i="32"/>
  <c r="H533" i="32"/>
  <c r="I533" i="32"/>
  <c r="D533" i="32"/>
  <c r="J533" i="32"/>
  <c r="E533" i="32" s="1"/>
  <c r="K533" i="32"/>
  <c r="L533" i="32"/>
  <c r="C534" i="32"/>
  <c r="G534" i="32"/>
  <c r="H534" i="32"/>
  <c r="I534" i="32"/>
  <c r="D534" i="32" s="1"/>
  <c r="J534" i="32"/>
  <c r="E534" i="32" s="1"/>
  <c r="K534" i="32"/>
  <c r="L534" i="32"/>
  <c r="C535" i="32"/>
  <c r="G535" i="32"/>
  <c r="H535" i="32"/>
  <c r="I535" i="32"/>
  <c r="D535" i="32"/>
  <c r="J535" i="32"/>
  <c r="E535" i="32" s="1"/>
  <c r="K535" i="32"/>
  <c r="L535" i="32"/>
  <c r="C536" i="32"/>
  <c r="G536" i="32"/>
  <c r="H536" i="32"/>
  <c r="I536" i="32"/>
  <c r="D536" i="32" s="1"/>
  <c r="J536" i="32"/>
  <c r="E536" i="32" s="1"/>
  <c r="K536" i="32"/>
  <c r="L536" i="32"/>
  <c r="C537" i="32"/>
  <c r="G537" i="32"/>
  <c r="F537" i="32" s="1"/>
  <c r="H537" i="32"/>
  <c r="I537" i="32"/>
  <c r="D537" i="32" s="1"/>
  <c r="J537" i="32"/>
  <c r="E537" i="32" s="1"/>
  <c r="K537" i="32"/>
  <c r="L537" i="32"/>
  <c r="C538" i="32"/>
  <c r="G538" i="32"/>
  <c r="F538" i="32" s="1"/>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H542" i="32"/>
  <c r="I542" i="32"/>
  <c r="D542" i="32" s="1"/>
  <c r="J542" i="32"/>
  <c r="K542" i="32"/>
  <c r="L542" i="32"/>
  <c r="C543" i="32"/>
  <c r="G543" i="32"/>
  <c r="F543" i="32" s="1"/>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E549" i="32"/>
  <c r="G549" i="32"/>
  <c r="F549" i="32" s="1"/>
  <c r="H549" i="32"/>
  <c r="I549" i="32"/>
  <c r="D549" i="32" s="1"/>
  <c r="J549" i="32"/>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H554" i="32"/>
  <c r="I554" i="32"/>
  <c r="D554" i="32" s="1"/>
  <c r="J554" i="32"/>
  <c r="E554" i="32" s="1"/>
  <c r="K554" i="32"/>
  <c r="L554" i="32"/>
  <c r="C555" i="32"/>
  <c r="G555" i="32"/>
  <c r="H555" i="32"/>
  <c r="I555" i="32"/>
  <c r="D555" i="32"/>
  <c r="J555" i="32"/>
  <c r="E555" i="32" s="1"/>
  <c r="K555" i="32"/>
  <c r="L555" i="32"/>
  <c r="C556" i="32"/>
  <c r="G556" i="32"/>
  <c r="H556" i="32"/>
  <c r="I556" i="32"/>
  <c r="D556" i="32" s="1"/>
  <c r="J556" i="32"/>
  <c r="E556" i="32" s="1"/>
  <c r="K556" i="32"/>
  <c r="L556" i="32"/>
  <c r="C557" i="32"/>
  <c r="G557" i="32"/>
  <c r="F557" i="32" s="1"/>
  <c r="H557" i="32"/>
  <c r="I557" i="32"/>
  <c r="D557" i="32" s="1"/>
  <c r="J557" i="32"/>
  <c r="E557" i="32" s="1"/>
  <c r="K557" i="32"/>
  <c r="L557" i="32"/>
  <c r="C558" i="32"/>
  <c r="G558" i="32"/>
  <c r="H558" i="32"/>
  <c r="I558" i="32"/>
  <c r="D558" i="32" s="1"/>
  <c r="J558" i="32"/>
  <c r="E558" i="32" s="1"/>
  <c r="K558" i="32"/>
  <c r="L558" i="32"/>
  <c r="C559" i="32"/>
  <c r="G559" i="32"/>
  <c r="F559" i="32" s="1"/>
  <c r="H559" i="32"/>
  <c r="I559" i="32"/>
  <c r="D559" i="32" s="1"/>
  <c r="J559" i="32"/>
  <c r="E559" i="32" s="1"/>
  <c r="K559" i="32"/>
  <c r="L559" i="32"/>
  <c r="C560" i="32"/>
  <c r="D560" i="32"/>
  <c r="G560" i="32"/>
  <c r="H560" i="32"/>
  <c r="I560" i="32"/>
  <c r="J560" i="32"/>
  <c r="E560" i="32" s="1"/>
  <c r="K560" i="32"/>
  <c r="L560" i="32"/>
  <c r="C561" i="32"/>
  <c r="G561" i="32"/>
  <c r="H561" i="32"/>
  <c r="I561" i="32"/>
  <c r="D561" i="32" s="1"/>
  <c r="J561" i="32"/>
  <c r="E561" i="32" s="1"/>
  <c r="K561" i="32"/>
  <c r="L561" i="32"/>
  <c r="C562" i="32"/>
  <c r="G562" i="32"/>
  <c r="H562" i="32"/>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G573" i="32"/>
  <c r="H573" i="32"/>
  <c r="I573" i="32"/>
  <c r="D573" i="32" s="1"/>
  <c r="J573" i="32"/>
  <c r="E573" i="32" s="1"/>
  <c r="K573" i="32"/>
  <c r="L573" i="32"/>
  <c r="C574" i="32"/>
  <c r="G574" i="32"/>
  <c r="H574" i="32"/>
  <c r="I574" i="32"/>
  <c r="D574" i="32" s="1"/>
  <c r="J574" i="32"/>
  <c r="E574" i="32" s="1"/>
  <c r="K574" i="32"/>
  <c r="L574" i="32"/>
  <c r="C575" i="32"/>
  <c r="G575" i="32"/>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F585" i="32" s="1"/>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c r="H590" i="32"/>
  <c r="I590" i="32"/>
  <c r="D590" i="32" s="1"/>
  <c r="J590" i="32"/>
  <c r="E590" i="32" s="1"/>
  <c r="K590" i="32"/>
  <c r="L590" i="32"/>
  <c r="C591" i="32"/>
  <c r="G591" i="32"/>
  <c r="H591" i="32"/>
  <c r="I591" i="32"/>
  <c r="D591" i="32" s="1"/>
  <c r="J591" i="32"/>
  <c r="E591" i="32" s="1"/>
  <c r="K591" i="32"/>
  <c r="L591" i="32"/>
  <c r="C592" i="32"/>
  <c r="G592" i="32"/>
  <c r="H592" i="32"/>
  <c r="I592" i="32"/>
  <c r="D592" i="32" s="1"/>
  <c r="J592" i="32"/>
  <c r="E592" i="32" s="1"/>
  <c r="K592" i="32"/>
  <c r="L592" i="32"/>
  <c r="C593" i="32"/>
  <c r="G593" i="32"/>
  <c r="F593" i="32"/>
  <c r="H593" i="32"/>
  <c r="I593" i="32"/>
  <c r="D593" i="32" s="1"/>
  <c r="J593" i="32"/>
  <c r="E593" i="32" s="1"/>
  <c r="K593" i="32"/>
  <c r="L593" i="32"/>
  <c r="C594" i="32"/>
  <c r="G594" i="32"/>
  <c r="H594" i="32"/>
  <c r="I594" i="32"/>
  <c r="D594" i="32"/>
  <c r="J594" i="32"/>
  <c r="E594" i="32" s="1"/>
  <c r="K594" i="32"/>
  <c r="L594" i="32"/>
  <c r="C595" i="32"/>
  <c r="G595" i="32"/>
  <c r="F595" i="32" s="1"/>
  <c r="H595" i="32"/>
  <c r="I595" i="32"/>
  <c r="D595" i="32" s="1"/>
  <c r="J595" i="32"/>
  <c r="E595" i="32" s="1"/>
  <c r="K595" i="32"/>
  <c r="L595" i="32"/>
  <c r="C596" i="32"/>
  <c r="G596" i="32"/>
  <c r="H596" i="32"/>
  <c r="F596" i="32" s="1"/>
  <c r="I596" i="32"/>
  <c r="D596" i="32" s="1"/>
  <c r="J596" i="32"/>
  <c r="E596" i="32" s="1"/>
  <c r="K596" i="32"/>
  <c r="L596" i="32"/>
  <c r="C597" i="32"/>
  <c r="G597" i="32"/>
  <c r="H597" i="32"/>
  <c r="I597" i="32"/>
  <c r="D597" i="32"/>
  <c r="J597" i="32"/>
  <c r="E597" i="32" s="1"/>
  <c r="K597" i="32"/>
  <c r="L597" i="32"/>
  <c r="C598" i="32"/>
  <c r="G598" i="32"/>
  <c r="H598" i="32"/>
  <c r="I598" i="32"/>
  <c r="D598" i="32" s="1"/>
  <c r="J598" i="32"/>
  <c r="E598" i="32" s="1"/>
  <c r="K598" i="32"/>
  <c r="L598" i="32"/>
  <c r="C599" i="32"/>
  <c r="G599" i="32"/>
  <c r="H599" i="32"/>
  <c r="I599" i="32"/>
  <c r="D599" i="32"/>
  <c r="J599" i="32"/>
  <c r="E599" i="32" s="1"/>
  <c r="K599" i="32"/>
  <c r="L599" i="32"/>
  <c r="C600" i="32"/>
  <c r="G600" i="32"/>
  <c r="H600" i="32"/>
  <c r="I600" i="32"/>
  <c r="D600" i="32" s="1"/>
  <c r="J600" i="32"/>
  <c r="E600" i="32" s="1"/>
  <c r="K600" i="32"/>
  <c r="L600" i="32"/>
  <c r="C601" i="32"/>
  <c r="G601" i="32"/>
  <c r="H601" i="32"/>
  <c r="I601" i="32"/>
  <c r="D601" i="32" s="1"/>
  <c r="J601" i="32"/>
  <c r="E601" i="32" s="1"/>
  <c r="K601" i="32"/>
  <c r="L601" i="32"/>
  <c r="C602" i="32"/>
  <c r="G602" i="32"/>
  <c r="H602" i="32"/>
  <c r="I602" i="32"/>
  <c r="D602" i="32"/>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c r="K607" i="32"/>
  <c r="L607" i="32"/>
  <c r="C608" i="32"/>
  <c r="E608" i="32"/>
  <c r="G608" i="32"/>
  <c r="H608" i="32"/>
  <c r="I608" i="32"/>
  <c r="D608" i="32"/>
  <c r="J608" i="32"/>
  <c r="K608" i="32"/>
  <c r="L608" i="32"/>
  <c r="C609" i="32"/>
  <c r="G609" i="32"/>
  <c r="F609" i="32" s="1"/>
  <c r="H609" i="32"/>
  <c r="I609" i="32"/>
  <c r="D609" i="32"/>
  <c r="J609" i="32"/>
  <c r="E609" i="32" s="1"/>
  <c r="K609" i="32"/>
  <c r="L609" i="32"/>
  <c r="C610" i="32"/>
  <c r="G610" i="32"/>
  <c r="H610" i="32"/>
  <c r="I610" i="32"/>
  <c r="D610" i="32" s="1"/>
  <c r="J610" i="32"/>
  <c r="E610" i="32" s="1"/>
  <c r="K610" i="32"/>
  <c r="L610" i="32"/>
  <c r="C611" i="32"/>
  <c r="G611" i="32"/>
  <c r="H611" i="32"/>
  <c r="I611" i="32"/>
  <c r="D611" i="32" s="1"/>
  <c r="J611" i="32"/>
  <c r="E611" i="32"/>
  <c r="K611" i="32"/>
  <c r="L611" i="32"/>
  <c r="C612" i="32"/>
  <c r="G612" i="32"/>
  <c r="H612" i="32"/>
  <c r="I612" i="32"/>
  <c r="D612" i="32" s="1"/>
  <c r="J612" i="32"/>
  <c r="E612" i="32" s="1"/>
  <c r="K612" i="32"/>
  <c r="L612" i="32"/>
  <c r="C613" i="32"/>
  <c r="G613" i="32"/>
  <c r="F613" i="32" s="1"/>
  <c r="H613" i="32"/>
  <c r="I613" i="32"/>
  <c r="D613" i="32" s="1"/>
  <c r="J613" i="32"/>
  <c r="E613" i="32"/>
  <c r="K613" i="32"/>
  <c r="L613" i="32"/>
  <c r="C614" i="32"/>
  <c r="G614" i="32"/>
  <c r="H614" i="32"/>
  <c r="I614" i="32"/>
  <c r="D614" i="32" s="1"/>
  <c r="J614" i="32"/>
  <c r="E614" i="32"/>
  <c r="K614" i="32"/>
  <c r="L614" i="32"/>
  <c r="C615" i="32"/>
  <c r="G615" i="32"/>
  <c r="H615" i="32"/>
  <c r="I615" i="32"/>
  <c r="D615" i="32" s="1"/>
  <c r="J615" i="32"/>
  <c r="E615" i="32" s="1"/>
  <c r="K615" i="32"/>
  <c r="L615" i="32"/>
  <c r="C616" i="32"/>
  <c r="G616" i="32"/>
  <c r="H616" i="32"/>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c r="K621" i="32"/>
  <c r="L621" i="32"/>
  <c r="C622" i="32"/>
  <c r="G622" i="32"/>
  <c r="H622" i="32"/>
  <c r="I622" i="32"/>
  <c r="D622" i="32" s="1"/>
  <c r="J622" i="32"/>
  <c r="E622" i="32" s="1"/>
  <c r="K622" i="32"/>
  <c r="L622" i="32"/>
  <c r="C623" i="32"/>
  <c r="G623" i="32"/>
  <c r="H623" i="32"/>
  <c r="I623" i="32"/>
  <c r="D623" i="32" s="1"/>
  <c r="J623" i="32"/>
  <c r="E623" i="32"/>
  <c r="K623" i="32"/>
  <c r="L623" i="32"/>
  <c r="C624" i="32"/>
  <c r="G624" i="32"/>
  <c r="H624" i="32"/>
  <c r="I624" i="32"/>
  <c r="D624" i="32" s="1"/>
  <c r="J624" i="32"/>
  <c r="E624" i="32" s="1"/>
  <c r="K624" i="32"/>
  <c r="L624" i="32"/>
  <c r="C625" i="32"/>
  <c r="G625" i="32"/>
  <c r="F625" i="32"/>
  <c r="H625" i="32"/>
  <c r="I625" i="32"/>
  <c r="D625" i="32" s="1"/>
  <c r="J625" i="32"/>
  <c r="E625" i="32" s="1"/>
  <c r="K625" i="32"/>
  <c r="L625" i="32"/>
  <c r="C626" i="32"/>
  <c r="G626" i="32"/>
  <c r="H626" i="32"/>
  <c r="I626" i="32"/>
  <c r="D626" i="32" s="1"/>
  <c r="J626" i="32"/>
  <c r="E626" i="32" s="1"/>
  <c r="K626" i="32"/>
  <c r="L626" i="32"/>
  <c r="C627" i="32"/>
  <c r="E627" i="32"/>
  <c r="G627" i="32"/>
  <c r="H627" i="32"/>
  <c r="I627" i="32"/>
  <c r="D627" i="32" s="1"/>
  <c r="J627" i="32"/>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H631" i="32"/>
  <c r="I631" i="32"/>
  <c r="D631" i="32" s="1"/>
  <c r="J631" i="32"/>
  <c r="E631" i="32"/>
  <c r="K631" i="32"/>
  <c r="L631" i="32"/>
  <c r="C632" i="32"/>
  <c r="G632" i="32"/>
  <c r="H632" i="32"/>
  <c r="I632" i="32"/>
  <c r="D632" i="32" s="1"/>
  <c r="J632" i="32"/>
  <c r="E632" i="32" s="1"/>
  <c r="K632" i="32"/>
  <c r="L632" i="32"/>
  <c r="C633" i="32"/>
  <c r="G633" i="32"/>
  <c r="H633" i="32"/>
  <c r="I633" i="32"/>
  <c r="D633" i="32" s="1"/>
  <c r="J633" i="32"/>
  <c r="E633" i="32" s="1"/>
  <c r="K633" i="32"/>
  <c r="L633" i="32"/>
  <c r="C634" i="32"/>
  <c r="G634" i="32"/>
  <c r="F634" i="32" s="1"/>
  <c r="H634" i="32"/>
  <c r="I634" i="32"/>
  <c r="D634" i="32" s="1"/>
  <c r="J634" i="32"/>
  <c r="E634" i="32" s="1"/>
  <c r="K634" i="32"/>
  <c r="L634" i="32"/>
  <c r="C635" i="32"/>
  <c r="G635" i="32"/>
  <c r="H635" i="32"/>
  <c r="I635" i="32"/>
  <c r="D635" i="32" s="1"/>
  <c r="J635" i="32"/>
  <c r="E635" i="32" s="1"/>
  <c r="K635" i="32"/>
  <c r="L635" i="32"/>
  <c r="C636" i="32"/>
  <c r="G636" i="32"/>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c r="J639" i="32"/>
  <c r="E639" i="32" s="1"/>
  <c r="K639" i="32"/>
  <c r="L639" i="32"/>
  <c r="C640" i="32"/>
  <c r="G640" i="32"/>
  <c r="H640" i="32"/>
  <c r="I640" i="32"/>
  <c r="D640" i="32" s="1"/>
  <c r="J640" i="32"/>
  <c r="E640" i="32" s="1"/>
  <c r="K640" i="32"/>
  <c r="L640" i="32"/>
  <c r="C641" i="32"/>
  <c r="G641" i="32"/>
  <c r="H641" i="32"/>
  <c r="I641" i="32"/>
  <c r="D641" i="32" s="1"/>
  <c r="J641" i="32"/>
  <c r="E641" i="32"/>
  <c r="K641" i="32"/>
  <c r="L641" i="32"/>
  <c r="C642" i="32"/>
  <c r="G642" i="32"/>
  <c r="F642" i="32" s="1"/>
  <c r="H642" i="32"/>
  <c r="I642" i="32"/>
  <c r="D642" i="32"/>
  <c r="J642" i="32"/>
  <c r="E642" i="32"/>
  <c r="K642" i="32"/>
  <c r="L642" i="32"/>
  <c r="C643" i="32"/>
  <c r="G643" i="32"/>
  <c r="F643" i="32" s="1"/>
  <c r="H643" i="32"/>
  <c r="I643" i="32"/>
  <c r="D643" i="32" s="1"/>
  <c r="J643" i="32"/>
  <c r="E643" i="32" s="1"/>
  <c r="K643" i="32"/>
  <c r="L643" i="32"/>
  <c r="C644" i="32"/>
  <c r="G644" i="32"/>
  <c r="F644" i="32" s="1"/>
  <c r="H644" i="32"/>
  <c r="I644" i="32"/>
  <c r="D644" i="32"/>
  <c r="J644" i="32"/>
  <c r="E644" i="32" s="1"/>
  <c r="K644" i="32"/>
  <c r="L644" i="32"/>
  <c r="C645" i="32"/>
  <c r="G645" i="32"/>
  <c r="H645" i="32"/>
  <c r="I645" i="32"/>
  <c r="D645" i="32" s="1"/>
  <c r="J645" i="32"/>
  <c r="E645" i="32"/>
  <c r="K645" i="32"/>
  <c r="L645" i="32"/>
  <c r="C646" i="32"/>
  <c r="G646" i="32"/>
  <c r="F646" i="32" s="1"/>
  <c r="H646" i="32"/>
  <c r="I646" i="32"/>
  <c r="D646" i="32"/>
  <c r="J646" i="32"/>
  <c r="E646" i="32" s="1"/>
  <c r="K646" i="32"/>
  <c r="L646" i="32"/>
  <c r="C647" i="32"/>
  <c r="G647" i="32"/>
  <c r="H647" i="32"/>
  <c r="I647" i="32"/>
  <c r="D647" i="32"/>
  <c r="J647" i="32"/>
  <c r="E647" i="32"/>
  <c r="K647" i="32"/>
  <c r="L647" i="32"/>
  <c r="C648" i="32"/>
  <c r="G648" i="32"/>
  <c r="H648" i="32"/>
  <c r="F648" i="32"/>
  <c r="I648" i="32"/>
  <c r="D648" i="32"/>
  <c r="J648" i="32"/>
  <c r="E648" i="32" s="1"/>
  <c r="K648" i="32"/>
  <c r="L648" i="32"/>
  <c r="C649" i="32"/>
  <c r="E649" i="32"/>
  <c r="G649" i="32"/>
  <c r="H649" i="32"/>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H652" i="32"/>
  <c r="I652" i="32"/>
  <c r="D652" i="32" s="1"/>
  <c r="J652" i="32"/>
  <c r="E652" i="32" s="1"/>
  <c r="K652" i="32"/>
  <c r="L652" i="32"/>
  <c r="C653" i="32"/>
  <c r="G653" i="32"/>
  <c r="H653" i="32"/>
  <c r="I653" i="32"/>
  <c r="D653" i="32"/>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D658" i="32"/>
  <c r="G658" i="32"/>
  <c r="H658" i="32"/>
  <c r="I658" i="32"/>
  <c r="J658" i="32"/>
  <c r="E658" i="32" s="1"/>
  <c r="K658" i="32"/>
  <c r="L658" i="32"/>
  <c r="C659" i="32"/>
  <c r="G659" i="32"/>
  <c r="H659" i="32"/>
  <c r="I659" i="32"/>
  <c r="D659" i="32" s="1"/>
  <c r="J659" i="32"/>
  <c r="E659" i="32" s="1"/>
  <c r="K659" i="32"/>
  <c r="L659" i="32"/>
  <c r="C660" i="32"/>
  <c r="G660" i="32"/>
  <c r="H660" i="32"/>
  <c r="I660" i="32"/>
  <c r="D660" i="32"/>
  <c r="J660" i="32"/>
  <c r="E660" i="32"/>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I664" i="32"/>
  <c r="D664" i="32"/>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c r="J667" i="32"/>
  <c r="E667" i="32"/>
  <c r="K667" i="32"/>
  <c r="L667" i="32"/>
  <c r="C668" i="32"/>
  <c r="G668" i="32"/>
  <c r="H668" i="32"/>
  <c r="I668" i="32"/>
  <c r="D668" i="32" s="1"/>
  <c r="J668" i="32"/>
  <c r="E668" i="32" s="1"/>
  <c r="K668" i="32"/>
  <c r="L668" i="32"/>
  <c r="C669" i="32"/>
  <c r="G669" i="32"/>
  <c r="H669" i="32"/>
  <c r="I669" i="32"/>
  <c r="D669" i="32" s="1"/>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c r="J674" i="32"/>
  <c r="E674" i="32" s="1"/>
  <c r="K674" i="32"/>
  <c r="L674" i="32"/>
  <c r="C675" i="32"/>
  <c r="G675" i="32"/>
  <c r="H675" i="32"/>
  <c r="I675" i="32"/>
  <c r="D675" i="32" s="1"/>
  <c r="J675" i="32"/>
  <c r="E675" i="32" s="1"/>
  <c r="K675" i="32"/>
  <c r="L675" i="32"/>
  <c r="C676" i="32"/>
  <c r="G676" i="32"/>
  <c r="H676" i="32"/>
  <c r="I676" i="32"/>
  <c r="D676" i="32" s="1"/>
  <c r="J676" i="32"/>
  <c r="E676" i="32"/>
  <c r="K676" i="32"/>
  <c r="L676" i="32"/>
  <c r="C677" i="32"/>
  <c r="G677" i="32"/>
  <c r="H677" i="32"/>
  <c r="I677" i="32"/>
  <c r="D677" i="32" s="1"/>
  <c r="J677" i="32"/>
  <c r="E677" i="32" s="1"/>
  <c r="K677" i="32"/>
  <c r="L677" i="32"/>
  <c r="C678" i="32"/>
  <c r="G678" i="32"/>
  <c r="H678" i="32"/>
  <c r="I678" i="32"/>
  <c r="D678" i="32"/>
  <c r="J678" i="32"/>
  <c r="E678" i="32"/>
  <c r="K678" i="32"/>
  <c r="L678" i="32"/>
  <c r="C679" i="32"/>
  <c r="G679" i="32"/>
  <c r="H679" i="32"/>
  <c r="I679" i="32"/>
  <c r="D679" i="32" s="1"/>
  <c r="J679" i="32"/>
  <c r="E679" i="32" s="1"/>
  <c r="K679" i="32"/>
  <c r="L679" i="32"/>
  <c r="C680" i="32"/>
  <c r="G680" i="32"/>
  <c r="F680" i="32" s="1"/>
  <c r="H680" i="32"/>
  <c r="I680" i="32"/>
  <c r="D680" i="32"/>
  <c r="J680" i="32"/>
  <c r="E680" i="32" s="1"/>
  <c r="K680" i="32"/>
  <c r="L680" i="32"/>
  <c r="C681" i="32"/>
  <c r="G681" i="32"/>
  <c r="F681" i="32" s="1"/>
  <c r="H681" i="32"/>
  <c r="I681" i="32"/>
  <c r="D681" i="32" s="1"/>
  <c r="J681" i="32"/>
  <c r="E681" i="32" s="1"/>
  <c r="K681" i="32"/>
  <c r="L681" i="32"/>
  <c r="C682" i="32"/>
  <c r="G682" i="32"/>
  <c r="H682" i="32"/>
  <c r="I682" i="32"/>
  <c r="D682" i="32" s="1"/>
  <c r="J682" i="32"/>
  <c r="E682" i="32"/>
  <c r="K682" i="32"/>
  <c r="L682" i="32"/>
  <c r="C683" i="32"/>
  <c r="G683" i="32"/>
  <c r="H683" i="32"/>
  <c r="I683" i="32"/>
  <c r="D683" i="32" s="1"/>
  <c r="J683" i="32"/>
  <c r="E683" i="32" s="1"/>
  <c r="K683" i="32"/>
  <c r="L683" i="32"/>
  <c r="C684" i="32"/>
  <c r="G684" i="32"/>
  <c r="F684" i="32" s="1"/>
  <c r="H684" i="32"/>
  <c r="I684" i="32"/>
  <c r="D684" i="32" s="1"/>
  <c r="J684" i="32"/>
  <c r="E684" i="32" s="1"/>
  <c r="K684" i="32"/>
  <c r="L684" i="32"/>
  <c r="C685" i="32"/>
  <c r="G685" i="32"/>
  <c r="H685" i="32"/>
  <c r="I685" i="32"/>
  <c r="D685" i="32" s="1"/>
  <c r="J685" i="32"/>
  <c r="E685" i="32"/>
  <c r="K685" i="32"/>
  <c r="L685" i="32"/>
  <c r="C686" i="32"/>
  <c r="G686" i="32"/>
  <c r="F686" i="32" s="1"/>
  <c r="H686" i="32"/>
  <c r="I686" i="32"/>
  <c r="D686" i="32" s="1"/>
  <c r="J686" i="32"/>
  <c r="E686" i="32" s="1"/>
  <c r="K686" i="32"/>
  <c r="L686" i="32"/>
  <c r="C687" i="32"/>
  <c r="G687" i="32"/>
  <c r="F687" i="32" s="1"/>
  <c r="H687" i="32"/>
  <c r="I687" i="32"/>
  <c r="D687" i="32"/>
  <c r="J687" i="32"/>
  <c r="E687" i="32"/>
  <c r="K687" i="32"/>
  <c r="L687" i="32"/>
  <c r="C688" i="32"/>
  <c r="G688" i="32"/>
  <c r="H688" i="32"/>
  <c r="I688" i="32"/>
  <c r="D688" i="32" s="1"/>
  <c r="J688" i="32"/>
  <c r="E688" i="32" s="1"/>
  <c r="K688" i="32"/>
  <c r="L688" i="32"/>
  <c r="C689" i="32"/>
  <c r="G689" i="32"/>
  <c r="H689" i="32"/>
  <c r="I689" i="32"/>
  <c r="D689" i="32"/>
  <c r="J689" i="32"/>
  <c r="E689" i="32"/>
  <c r="K689" i="32"/>
  <c r="L689" i="32"/>
  <c r="C690" i="32"/>
  <c r="F690" i="32"/>
  <c r="G690" i="32"/>
  <c r="H690" i="32"/>
  <c r="I690" i="32"/>
  <c r="D690" i="32"/>
  <c r="J690" i="32"/>
  <c r="E690" i="32"/>
  <c r="K690" i="32"/>
  <c r="L690" i="32"/>
  <c r="C691" i="32"/>
  <c r="G691" i="32"/>
  <c r="H691" i="32"/>
  <c r="I691" i="32"/>
  <c r="D691" i="32" s="1"/>
  <c r="J691" i="32"/>
  <c r="E691" i="32" s="1"/>
  <c r="K691" i="32"/>
  <c r="L691" i="32"/>
  <c r="C692" i="32"/>
  <c r="G692" i="32"/>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F703" i="32" s="1"/>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I707" i="32"/>
  <c r="D707" i="32"/>
  <c r="J707" i="32"/>
  <c r="E707" i="32" s="1"/>
  <c r="K707" i="32"/>
  <c r="L707" i="32"/>
  <c r="C708" i="32"/>
  <c r="G708" i="32"/>
  <c r="F708" i="32" s="1"/>
  <c r="H708" i="32"/>
  <c r="I708" i="32"/>
  <c r="D708" i="32" s="1"/>
  <c r="J708" i="32"/>
  <c r="E708" i="32" s="1"/>
  <c r="K708" i="32"/>
  <c r="L708" i="32"/>
  <c r="C709" i="32"/>
  <c r="G709" i="32"/>
  <c r="F709" i="32" s="1"/>
  <c r="H709" i="32"/>
  <c r="I709" i="32"/>
  <c r="D709" i="32" s="1"/>
  <c r="J709" i="32"/>
  <c r="E709" i="32" s="1"/>
  <c r="K709" i="32"/>
  <c r="L709" i="32"/>
  <c r="C710" i="32"/>
  <c r="G710" i="32"/>
  <c r="F710" i="32" s="1"/>
  <c r="H710" i="32"/>
  <c r="I710" i="32"/>
  <c r="D710" i="32" s="1"/>
  <c r="J710" i="32"/>
  <c r="E710" i="32" s="1"/>
  <c r="K710" i="32"/>
  <c r="L710" i="32"/>
  <c r="C711" i="32"/>
  <c r="G711" i="32"/>
  <c r="H711" i="32"/>
  <c r="F711" i="32" s="1"/>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c r="K714" i="32"/>
  <c r="L714" i="32"/>
  <c r="C715" i="32"/>
  <c r="G715" i="32"/>
  <c r="H715" i="32"/>
  <c r="I715" i="32"/>
  <c r="D715" i="32" s="1"/>
  <c r="J715" i="32"/>
  <c r="E715" i="32" s="1"/>
  <c r="K715" i="32"/>
  <c r="L715" i="32"/>
  <c r="C716" i="32"/>
  <c r="G716" i="32"/>
  <c r="H716" i="32"/>
  <c r="I716" i="32"/>
  <c r="D716" i="32"/>
  <c r="J716" i="32"/>
  <c r="E716" i="32" s="1"/>
  <c r="K716" i="32"/>
  <c r="L716" i="32"/>
  <c r="C717" i="32"/>
  <c r="G717" i="32"/>
  <c r="H717" i="32"/>
  <c r="I717" i="32"/>
  <c r="D717" i="32" s="1"/>
  <c r="J717" i="32"/>
  <c r="E717" i="32" s="1"/>
  <c r="K717" i="32"/>
  <c r="L717" i="32"/>
  <c r="C718" i="32"/>
  <c r="G718" i="32"/>
  <c r="H718" i="32"/>
  <c r="I718" i="32"/>
  <c r="D718" i="32" s="1"/>
  <c r="J718" i="32"/>
  <c r="E718" i="32"/>
  <c r="K718" i="32"/>
  <c r="L718" i="32"/>
  <c r="C719" i="32"/>
  <c r="G719" i="32"/>
  <c r="H719" i="32"/>
  <c r="I719" i="32"/>
  <c r="D719" i="32" s="1"/>
  <c r="J719" i="32"/>
  <c r="E719" i="32"/>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I722" i="32"/>
  <c r="D722" i="32" s="1"/>
  <c r="J722" i="32"/>
  <c r="E722" i="32" s="1"/>
  <c r="K722" i="32"/>
  <c r="L722" i="32"/>
  <c r="C723" i="32"/>
  <c r="G723" i="32"/>
  <c r="F723" i="32" s="1"/>
  <c r="H723" i="32"/>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F729" i="32" s="1"/>
  <c r="H729" i="32"/>
  <c r="I729" i="32"/>
  <c r="D729" i="32"/>
  <c r="J729" i="32"/>
  <c r="E729" i="32" s="1"/>
  <c r="K729" i="32"/>
  <c r="L729" i="32"/>
  <c r="C730" i="32"/>
  <c r="G730" i="32"/>
  <c r="H730" i="32"/>
  <c r="I730" i="32"/>
  <c r="D730" i="32" s="1"/>
  <c r="J730" i="32"/>
  <c r="E730" i="32" s="1"/>
  <c r="K730" i="32"/>
  <c r="L730" i="32"/>
  <c r="C731" i="32"/>
  <c r="G731" i="32"/>
  <c r="H731" i="32"/>
  <c r="I731" i="32"/>
  <c r="D731" i="32" s="1"/>
  <c r="J731" i="32"/>
  <c r="E731" i="32" s="1"/>
  <c r="K731" i="32"/>
  <c r="L731" i="32"/>
  <c r="C732" i="32"/>
  <c r="G732" i="32"/>
  <c r="H732" i="32"/>
  <c r="I732" i="32"/>
  <c r="D732" i="32" s="1"/>
  <c r="J732" i="32"/>
  <c r="E732" i="32"/>
  <c r="K732" i="32"/>
  <c r="L732" i="32"/>
  <c r="C733" i="32"/>
  <c r="G733" i="32"/>
  <c r="H733" i="32"/>
  <c r="I733" i="32"/>
  <c r="D733" i="32" s="1"/>
  <c r="J733" i="32"/>
  <c r="E733" i="32" s="1"/>
  <c r="K733" i="32"/>
  <c r="L733" i="32"/>
  <c r="C734" i="32"/>
  <c r="G734" i="32"/>
  <c r="H734" i="32"/>
  <c r="I734" i="32"/>
  <c r="D734" i="32" s="1"/>
  <c r="J734" i="32"/>
  <c r="E734" i="32"/>
  <c r="K734" i="32"/>
  <c r="L734" i="32"/>
  <c r="C735" i="32"/>
  <c r="G735" i="32"/>
  <c r="H735" i="32"/>
  <c r="I735" i="32"/>
  <c r="D735" i="32" s="1"/>
  <c r="J735" i="32"/>
  <c r="E735" i="32" s="1"/>
  <c r="K735" i="32"/>
  <c r="L735" i="32"/>
  <c r="C736" i="32"/>
  <c r="G736" i="32"/>
  <c r="H736" i="32"/>
  <c r="I736" i="32"/>
  <c r="D736" i="32" s="1"/>
  <c r="J736" i="32"/>
  <c r="E736" i="32" s="1"/>
  <c r="K736" i="32"/>
  <c r="L736" i="32"/>
  <c r="C737" i="32"/>
  <c r="G737" i="32"/>
  <c r="H737" i="32"/>
  <c r="I737" i="32"/>
  <c r="D737" i="32" s="1"/>
  <c r="J737" i="32"/>
  <c r="E737" i="32" s="1"/>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F741" i="32" s="1"/>
  <c r="H741" i="32"/>
  <c r="I741" i="32"/>
  <c r="D741" i="32" s="1"/>
  <c r="J741" i="32"/>
  <c r="E741" i="32" s="1"/>
  <c r="K741" i="32"/>
  <c r="L741" i="32"/>
  <c r="C742" i="32"/>
  <c r="G742" i="32"/>
  <c r="H742" i="32"/>
  <c r="F742" i="32" s="1"/>
  <c r="I742" i="32"/>
  <c r="D742" i="32"/>
  <c r="J742" i="32"/>
  <c r="E742" i="32" s="1"/>
  <c r="K742" i="32"/>
  <c r="L742" i="32"/>
  <c r="C743" i="32"/>
  <c r="D743" i="32"/>
  <c r="G743" i="32"/>
  <c r="H743" i="32"/>
  <c r="I743" i="32"/>
  <c r="J743" i="32"/>
  <c r="E743" i="32" s="1"/>
  <c r="K743" i="32"/>
  <c r="L743" i="32"/>
  <c r="C744" i="32"/>
  <c r="G744" i="32"/>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G752" i="32"/>
  <c r="F752" i="32"/>
  <c r="H752" i="32"/>
  <c r="I752" i="32"/>
  <c r="D752" i="32" s="1"/>
  <c r="J752" i="32"/>
  <c r="E752" i="32" s="1"/>
  <c r="K752" i="32"/>
  <c r="L752" i="32"/>
  <c r="C753" i="32"/>
  <c r="G753" i="32"/>
  <c r="H753" i="32"/>
  <c r="F753" i="32" s="1"/>
  <c r="I753" i="32"/>
  <c r="D753" i="32"/>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c r="K757" i="32"/>
  <c r="L757" i="32"/>
  <c r="C758" i="32"/>
  <c r="G758" i="32"/>
  <c r="F758" i="32" s="1"/>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F763" i="32" s="1"/>
  <c r="I763" i="32"/>
  <c r="D763" i="32"/>
  <c r="J763" i="32"/>
  <c r="E763" i="32" s="1"/>
  <c r="K763" i="32"/>
  <c r="L763" i="32"/>
  <c r="C764" i="32"/>
  <c r="G764" i="32"/>
  <c r="F764" i="32" s="1"/>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I773" i="32"/>
  <c r="D773" i="32" s="1"/>
  <c r="J773" i="32"/>
  <c r="E773" i="32" s="1"/>
  <c r="K773" i="32"/>
  <c r="L773" i="32"/>
  <c r="C774" i="32"/>
  <c r="G774" i="32"/>
  <c r="H774" i="32"/>
  <c r="I774" i="32"/>
  <c r="D774" i="32"/>
  <c r="J774" i="32"/>
  <c r="E774" i="32"/>
  <c r="K774" i="32"/>
  <c r="L774" i="32"/>
  <c r="C775" i="32"/>
  <c r="G775" i="32"/>
  <c r="H775" i="32"/>
  <c r="I775" i="32"/>
  <c r="D775" i="32" s="1"/>
  <c r="J775" i="32"/>
  <c r="E775" i="32"/>
  <c r="K775" i="32"/>
  <c r="L775" i="32"/>
  <c r="C776" i="32"/>
  <c r="G776" i="32"/>
  <c r="H776" i="32"/>
  <c r="I776" i="32"/>
  <c r="D776" i="32" s="1"/>
  <c r="J776" i="32"/>
  <c r="E776" i="32" s="1"/>
  <c r="K776" i="32"/>
  <c r="L776" i="32"/>
  <c r="C777" i="32"/>
  <c r="G777" i="32"/>
  <c r="H777" i="32"/>
  <c r="I777" i="32"/>
  <c r="D777" i="32" s="1"/>
  <c r="J777" i="32"/>
  <c r="E777" i="32"/>
  <c r="K777" i="32"/>
  <c r="L777" i="32"/>
  <c r="C778" i="32"/>
  <c r="G778" i="32"/>
  <c r="H778" i="32"/>
  <c r="I778" i="32"/>
  <c r="D778" i="32" s="1"/>
  <c r="J778" i="32"/>
  <c r="E778" i="32" s="1"/>
  <c r="K778" i="32"/>
  <c r="L778" i="32"/>
  <c r="C779" i="32"/>
  <c r="G779" i="32"/>
  <c r="H779" i="32"/>
  <c r="I779" i="32"/>
  <c r="D779" i="32" s="1"/>
  <c r="J779" i="32"/>
  <c r="E779" i="32" s="1"/>
  <c r="K779" i="32"/>
  <c r="L779" i="32"/>
  <c r="C780" i="32"/>
  <c r="G780" i="32"/>
  <c r="F780" i="32" s="1"/>
  <c r="H780" i="32"/>
  <c r="I780" i="32"/>
  <c r="D780" i="32" s="1"/>
  <c r="J780" i="32"/>
  <c r="E780" i="32"/>
  <c r="K780" i="32"/>
  <c r="L780" i="32"/>
  <c r="C781" i="32"/>
  <c r="G781" i="32"/>
  <c r="F781" i="32" s="1"/>
  <c r="H781" i="32"/>
  <c r="I781" i="32"/>
  <c r="D781" i="32" s="1"/>
  <c r="J781" i="32"/>
  <c r="E781" i="32" s="1"/>
  <c r="K781" i="32"/>
  <c r="L781" i="32"/>
  <c r="C782" i="32"/>
  <c r="G782" i="32"/>
  <c r="F782" i="32" s="1"/>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G797" i="32"/>
  <c r="H797" i="32"/>
  <c r="I797" i="32"/>
  <c r="D797" i="32"/>
  <c r="J797" i="32"/>
  <c r="E797" i="32"/>
  <c r="K797" i="32"/>
  <c r="L797" i="32"/>
  <c r="C798" i="32"/>
  <c r="G798" i="32"/>
  <c r="H798" i="32"/>
  <c r="I798" i="32"/>
  <c r="D798" i="32" s="1"/>
  <c r="J798" i="32"/>
  <c r="E798" i="32" s="1"/>
  <c r="K798" i="32"/>
  <c r="L798" i="32"/>
  <c r="C799" i="32"/>
  <c r="G799" i="32"/>
  <c r="F799" i="32" s="1"/>
  <c r="H799" i="32"/>
  <c r="I799" i="32"/>
  <c r="D799" i="32" s="1"/>
  <c r="J799" i="32"/>
  <c r="E799" i="32" s="1"/>
  <c r="K799" i="32"/>
  <c r="L799" i="32"/>
  <c r="C800" i="32"/>
  <c r="G800" i="32"/>
  <c r="F800" i="32" s="1"/>
  <c r="H800" i="32"/>
  <c r="I800" i="32"/>
  <c r="D800" i="32" s="1"/>
  <c r="J800" i="32"/>
  <c r="E800" i="32" s="1"/>
  <c r="K800" i="32"/>
  <c r="L800" i="32"/>
  <c r="C801" i="32"/>
  <c r="G801" i="32"/>
  <c r="F801" i="32" s="1"/>
  <c r="H801" i="32"/>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c r="J804" i="32"/>
  <c r="E804" i="32"/>
  <c r="K804" i="32"/>
  <c r="L804" i="32"/>
  <c r="C805" i="32"/>
  <c r="G805" i="32"/>
  <c r="H805" i="32"/>
  <c r="I805" i="32"/>
  <c r="D805" i="32" s="1"/>
  <c r="J805" i="32"/>
  <c r="E805" i="32" s="1"/>
  <c r="K805" i="32"/>
  <c r="L805" i="32"/>
  <c r="C806" i="32"/>
  <c r="G806" i="32"/>
  <c r="H806" i="32"/>
  <c r="I806" i="32"/>
  <c r="D806" i="32"/>
  <c r="J806" i="32"/>
  <c r="E806" i="32"/>
  <c r="K806" i="32"/>
  <c r="L806" i="32"/>
  <c r="C807" i="32"/>
  <c r="G807" i="32"/>
  <c r="H807" i="32"/>
  <c r="I807" i="32"/>
  <c r="D807" i="32" s="1"/>
  <c r="J807" i="32"/>
  <c r="E807" i="32" s="1"/>
  <c r="K807" i="32"/>
  <c r="L807" i="32"/>
  <c r="C808" i="32"/>
  <c r="G808" i="32"/>
  <c r="F808" i="32" s="1"/>
  <c r="H808" i="32"/>
  <c r="I808" i="32"/>
  <c r="D808" i="32" s="1"/>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F811" i="32" s="1"/>
  <c r="H811" i="32"/>
  <c r="I811" i="32"/>
  <c r="D811" i="32" s="1"/>
  <c r="J811" i="32"/>
  <c r="E811" i="32" s="1"/>
  <c r="K811" i="32"/>
  <c r="L811" i="32"/>
  <c r="C812" i="32"/>
  <c r="G812" i="32"/>
  <c r="H812" i="32"/>
  <c r="I812" i="32"/>
  <c r="D812" i="32" s="1"/>
  <c r="J812" i="32"/>
  <c r="E812" i="32"/>
  <c r="K812" i="32"/>
  <c r="L812" i="32"/>
  <c r="C813" i="32"/>
  <c r="G813" i="32"/>
  <c r="H813" i="32"/>
  <c r="I813" i="32"/>
  <c r="D813" i="32" s="1"/>
  <c r="J813" i="32"/>
  <c r="E813" i="32" s="1"/>
  <c r="K813" i="32"/>
  <c r="L813" i="32"/>
  <c r="C814" i="32"/>
  <c r="G814" i="32"/>
  <c r="H814" i="32"/>
  <c r="I814" i="32"/>
  <c r="D814" i="32" s="1"/>
  <c r="J814" i="32"/>
  <c r="E814" i="32"/>
  <c r="K814" i="32"/>
  <c r="L814" i="32"/>
  <c r="C815" i="32"/>
  <c r="G815" i="32"/>
  <c r="H815" i="32"/>
  <c r="I815" i="32"/>
  <c r="D815" i="32" s="1"/>
  <c r="J815" i="32"/>
  <c r="E815" i="32" s="1"/>
  <c r="K815" i="32"/>
  <c r="L815" i="32"/>
  <c r="C816" i="32"/>
  <c r="G816" i="32"/>
  <c r="H816" i="32"/>
  <c r="I816" i="32"/>
  <c r="D816" i="32" s="1"/>
  <c r="J816" i="32"/>
  <c r="E816" i="32"/>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F828" i="32" s="1"/>
  <c r="H828" i="32"/>
  <c r="I828" i="32"/>
  <c r="D828" i="32"/>
  <c r="J828" i="32"/>
  <c r="E828" i="32"/>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F831" i="32" s="1"/>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G838" i="32"/>
  <c r="H838" i="32"/>
  <c r="I838" i="32"/>
  <c r="D838" i="32"/>
  <c r="J838" i="32"/>
  <c r="E838" i="32" s="1"/>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c r="K841" i="32"/>
  <c r="L841" i="32"/>
  <c r="C842" i="32"/>
  <c r="G842" i="32"/>
  <c r="F842" i="32" s="1"/>
  <c r="H842" i="32"/>
  <c r="I842" i="32"/>
  <c r="D842" i="32" s="1"/>
  <c r="J842" i="32"/>
  <c r="E842" i="32"/>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G849" i="32"/>
  <c r="H849" i="32"/>
  <c r="I849" i="32"/>
  <c r="D849" i="32" s="1"/>
  <c r="J849" i="32"/>
  <c r="E849" i="32" s="1"/>
  <c r="K849" i="32"/>
  <c r="L849" i="32"/>
  <c r="C850" i="32"/>
  <c r="G850" i="32"/>
  <c r="H850" i="32"/>
  <c r="I850" i="32"/>
  <c r="D850" i="32"/>
  <c r="J850" i="32"/>
  <c r="E850" i="32" s="1"/>
  <c r="K850" i="32"/>
  <c r="L850" i="32"/>
  <c r="C851" i="32"/>
  <c r="G851" i="32"/>
  <c r="H851" i="32"/>
  <c r="I851" i="32"/>
  <c r="D851" i="32"/>
  <c r="J851" i="32"/>
  <c r="E851" i="32" s="1"/>
  <c r="K851" i="32"/>
  <c r="L851" i="32"/>
  <c r="C852" i="32"/>
  <c r="G852" i="32"/>
  <c r="H852" i="32"/>
  <c r="F852" i="32" s="1"/>
  <c r="I852" i="32"/>
  <c r="D852" i="32" s="1"/>
  <c r="J852" i="32"/>
  <c r="E852" i="32" s="1"/>
  <c r="K852" i="32"/>
  <c r="L852" i="32"/>
  <c r="C853" i="32"/>
  <c r="G853" i="32"/>
  <c r="H853" i="32"/>
  <c r="I853" i="32"/>
  <c r="D853" i="32"/>
  <c r="J853" i="32"/>
  <c r="E853" i="32" s="1"/>
  <c r="K853" i="32"/>
  <c r="L853" i="32"/>
  <c r="C854" i="32"/>
  <c r="E854" i="32"/>
  <c r="G854" i="32"/>
  <c r="H854" i="32"/>
  <c r="I854" i="32"/>
  <c r="D854" i="32" s="1"/>
  <c r="J854" i="32"/>
  <c r="K854" i="32"/>
  <c r="L854" i="32"/>
  <c r="C855" i="32"/>
  <c r="G855" i="32"/>
  <c r="F855" i="32" s="1"/>
  <c r="H855" i="32"/>
  <c r="I855" i="32"/>
  <c r="D855" i="32" s="1"/>
  <c r="J855" i="32"/>
  <c r="E855" i="32" s="1"/>
  <c r="K855" i="32"/>
  <c r="L855" i="32"/>
  <c r="C856" i="32"/>
  <c r="G856" i="32"/>
  <c r="H856" i="32"/>
  <c r="I856" i="32"/>
  <c r="D856" i="32" s="1"/>
  <c r="J856" i="32"/>
  <c r="E856" i="32" s="1"/>
  <c r="K856" i="32"/>
  <c r="L856" i="32"/>
  <c r="C857" i="32"/>
  <c r="G857" i="32"/>
  <c r="F857" i="32" s="1"/>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I862" i="32"/>
  <c r="D862" i="32" s="1"/>
  <c r="J862" i="32"/>
  <c r="E862" i="32" s="1"/>
  <c r="K862" i="32"/>
  <c r="L862" i="32"/>
  <c r="C863" i="32"/>
  <c r="G863" i="32"/>
  <c r="H863" i="32"/>
  <c r="I863" i="32"/>
  <c r="D863" i="32"/>
  <c r="J863" i="32"/>
  <c r="E863" i="32" s="1"/>
  <c r="K863" i="32"/>
  <c r="L863" i="32"/>
  <c r="C864" i="32"/>
  <c r="G864" i="32"/>
  <c r="H864" i="32"/>
  <c r="I864" i="32"/>
  <c r="D864" i="32"/>
  <c r="J864" i="32"/>
  <c r="E864" i="32"/>
  <c r="K864" i="32"/>
  <c r="L864" i="32"/>
  <c r="C865" i="32"/>
  <c r="G865" i="32"/>
  <c r="F865" i="32" s="1"/>
  <c r="H865" i="32"/>
  <c r="I865" i="32"/>
  <c r="D865" i="32" s="1"/>
  <c r="J865" i="32"/>
  <c r="E865" i="32" s="1"/>
  <c r="K865" i="32"/>
  <c r="L865" i="32"/>
  <c r="C866" i="32"/>
  <c r="G866" i="32"/>
  <c r="F866" i="32" s="1"/>
  <c r="H866" i="32"/>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c r="K872" i="32"/>
  <c r="L872" i="32"/>
  <c r="C873" i="32"/>
  <c r="G873" i="32"/>
  <c r="H873" i="32"/>
  <c r="I873" i="32"/>
  <c r="D873" i="32" s="1"/>
  <c r="J873" i="32"/>
  <c r="E873" i="32" s="1"/>
  <c r="K873" i="32"/>
  <c r="L873" i="32"/>
  <c r="C874" i="32"/>
  <c r="G874" i="32"/>
  <c r="F874" i="32" s="1"/>
  <c r="H874" i="32"/>
  <c r="I874" i="32"/>
  <c r="D874" i="32"/>
  <c r="J874" i="32"/>
  <c r="E874" i="32" s="1"/>
  <c r="K874" i="32"/>
  <c r="L874" i="32"/>
  <c r="C875" i="32"/>
  <c r="G875" i="32"/>
  <c r="H875" i="32"/>
  <c r="I875" i="32"/>
  <c r="D875" i="32" s="1"/>
  <c r="J875" i="32"/>
  <c r="E875" i="32" s="1"/>
  <c r="K875" i="32"/>
  <c r="L875" i="32"/>
  <c r="C876" i="32"/>
  <c r="G876" i="32"/>
  <c r="H876" i="32"/>
  <c r="I876" i="32"/>
  <c r="D876" i="32" s="1"/>
  <c r="J876" i="32"/>
  <c r="E876" i="32"/>
  <c r="K876" i="32"/>
  <c r="L876" i="32"/>
  <c r="C877" i="32"/>
  <c r="G877" i="32"/>
  <c r="F877" i="32" s="1"/>
  <c r="H877" i="32"/>
  <c r="I877" i="32"/>
  <c r="D877" i="32" s="1"/>
  <c r="J877" i="32"/>
  <c r="E877" i="32"/>
  <c r="K877" i="32"/>
  <c r="L877" i="32"/>
  <c r="C878" i="32"/>
  <c r="G878" i="32"/>
  <c r="H878" i="32"/>
  <c r="I878" i="32"/>
  <c r="D878" i="32" s="1"/>
  <c r="J878" i="32"/>
  <c r="E878" i="32" s="1"/>
  <c r="K878" i="32"/>
  <c r="L878" i="32"/>
  <c r="C879" i="32"/>
  <c r="G879" i="32"/>
  <c r="H879" i="32"/>
  <c r="I879" i="32"/>
  <c r="D879" i="32" s="1"/>
  <c r="J879" i="32"/>
  <c r="E879" i="32"/>
  <c r="K879" i="32"/>
  <c r="L879" i="32"/>
  <c r="C880" i="32"/>
  <c r="G880" i="32"/>
  <c r="H880" i="32"/>
  <c r="I880" i="32"/>
  <c r="D880" i="32" s="1"/>
  <c r="J880" i="32"/>
  <c r="E880" i="32"/>
  <c r="K880" i="32"/>
  <c r="L880" i="32"/>
  <c r="C881" i="32"/>
  <c r="G881" i="32"/>
  <c r="F881" i="32" s="1"/>
  <c r="H881" i="32"/>
  <c r="I881" i="32"/>
  <c r="D881" i="32" s="1"/>
  <c r="J881" i="32"/>
  <c r="E881" i="32" s="1"/>
  <c r="K881" i="32"/>
  <c r="L881" i="32"/>
  <c r="C882" i="32"/>
  <c r="G882" i="32"/>
  <c r="H882" i="32"/>
  <c r="F882" i="32" s="1"/>
  <c r="I882" i="32"/>
  <c r="D882" i="32" s="1"/>
  <c r="J882" i="32"/>
  <c r="E882" i="32" s="1"/>
  <c r="K882" i="32"/>
  <c r="L882" i="32"/>
  <c r="C883" i="32"/>
  <c r="G883" i="32"/>
  <c r="F883" i="32" s="1"/>
  <c r="H883" i="32"/>
  <c r="I883" i="32"/>
  <c r="D883" i="32" s="1"/>
  <c r="J883" i="32"/>
  <c r="E883" i="32" s="1"/>
  <c r="K883" i="32"/>
  <c r="L883" i="32"/>
  <c r="C884" i="32"/>
  <c r="G884" i="32"/>
  <c r="H884" i="32"/>
  <c r="I884" i="32"/>
  <c r="D884" i="32"/>
  <c r="J884" i="32"/>
  <c r="E884" i="32" s="1"/>
  <c r="K884" i="32"/>
  <c r="L884" i="32"/>
  <c r="C885" i="32"/>
  <c r="G885" i="32"/>
  <c r="H885" i="32"/>
  <c r="I885" i="32"/>
  <c r="D885" i="32" s="1"/>
  <c r="J885" i="32"/>
  <c r="E885" i="32" s="1"/>
  <c r="K885" i="32"/>
  <c r="L885" i="32"/>
  <c r="C886" i="32"/>
  <c r="G886" i="32"/>
  <c r="H886" i="32"/>
  <c r="I886" i="32"/>
  <c r="D886" i="32"/>
  <c r="J886" i="32"/>
  <c r="E886" i="32" s="1"/>
  <c r="K886" i="32"/>
  <c r="L886" i="32"/>
  <c r="C887" i="32"/>
  <c r="G887" i="32"/>
  <c r="H887" i="32"/>
  <c r="I887" i="32"/>
  <c r="D887" i="32" s="1"/>
  <c r="J887" i="32"/>
  <c r="E887" i="32" s="1"/>
  <c r="K887" i="32"/>
  <c r="L887" i="32"/>
  <c r="C888" i="32"/>
  <c r="G888" i="32"/>
  <c r="H888" i="32"/>
  <c r="F888" i="32" s="1"/>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H892" i="32"/>
  <c r="I892" i="32"/>
  <c r="D892" i="32" s="1"/>
  <c r="J892" i="32"/>
  <c r="E892" i="32" s="1"/>
  <c r="K892" i="32"/>
  <c r="L892" i="32"/>
  <c r="C893" i="32"/>
  <c r="G893" i="32"/>
  <c r="H893" i="32"/>
  <c r="I893" i="32"/>
  <c r="D893" i="32" s="1"/>
  <c r="J893" i="32"/>
  <c r="E893" i="32"/>
  <c r="K893" i="32"/>
  <c r="L893" i="32"/>
  <c r="C894" i="32"/>
  <c r="G894" i="32"/>
  <c r="H894" i="32"/>
  <c r="I894" i="32"/>
  <c r="D894" i="32" s="1"/>
  <c r="J894" i="32"/>
  <c r="E894" i="32" s="1"/>
  <c r="K894" i="32"/>
  <c r="L894" i="32"/>
  <c r="C895" i="32"/>
  <c r="G895" i="32"/>
  <c r="H895" i="32"/>
  <c r="I895" i="32"/>
  <c r="D895" i="32"/>
  <c r="J895" i="32"/>
  <c r="E895" i="32"/>
  <c r="K895" i="32"/>
  <c r="L895" i="32"/>
  <c r="C896" i="32"/>
  <c r="G896" i="32"/>
  <c r="H896" i="32"/>
  <c r="I896" i="32"/>
  <c r="D896" i="32" s="1"/>
  <c r="J896" i="32"/>
  <c r="E896" i="32" s="1"/>
  <c r="K896" i="32"/>
  <c r="L896" i="32"/>
  <c r="C897" i="32"/>
  <c r="G897" i="32"/>
  <c r="H897" i="32"/>
  <c r="I897" i="32"/>
  <c r="D897" i="32" s="1"/>
  <c r="J897" i="32"/>
  <c r="E897" i="32"/>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c r="J904" i="32"/>
  <c r="E904" i="32" s="1"/>
  <c r="K904" i="32"/>
  <c r="L904" i="32"/>
  <c r="C905" i="32"/>
  <c r="G905" i="32"/>
  <c r="H905" i="32"/>
  <c r="I905" i="32"/>
  <c r="D905" i="32" s="1"/>
  <c r="J905" i="32"/>
  <c r="E905" i="32" s="1"/>
  <c r="K905" i="32"/>
  <c r="L905" i="32"/>
  <c r="C906" i="32"/>
  <c r="D906" i="32"/>
  <c r="G906" i="32"/>
  <c r="H906" i="32"/>
  <c r="I906" i="32"/>
  <c r="J906" i="32"/>
  <c r="E906" i="32" s="1"/>
  <c r="K906" i="32"/>
  <c r="L906" i="32"/>
  <c r="C907" i="32"/>
  <c r="G907" i="32"/>
  <c r="H907" i="32"/>
  <c r="I907" i="32"/>
  <c r="D907" i="32" s="1"/>
  <c r="J907" i="32"/>
  <c r="E907" i="32" s="1"/>
  <c r="K907" i="32"/>
  <c r="L907" i="32"/>
  <c r="C908" i="32"/>
  <c r="G908" i="32"/>
  <c r="F908" i="32" s="1"/>
  <c r="H908" i="32"/>
  <c r="I908" i="32"/>
  <c r="D908" i="32" s="1"/>
  <c r="J908" i="32"/>
  <c r="E908" i="32" s="1"/>
  <c r="K908" i="32"/>
  <c r="L908" i="32"/>
  <c r="C909" i="32"/>
  <c r="G909" i="32"/>
  <c r="H909" i="32"/>
  <c r="I909" i="32"/>
  <c r="D909" i="32" s="1"/>
  <c r="J909" i="32"/>
  <c r="E909" i="32" s="1"/>
  <c r="K909" i="32"/>
  <c r="L909" i="32"/>
  <c r="C910" i="32"/>
  <c r="G910" i="32"/>
  <c r="F910" i="32" s="1"/>
  <c r="H910" i="32"/>
  <c r="I910" i="32"/>
  <c r="D910" i="32"/>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c r="K913" i="32"/>
  <c r="L913" i="32"/>
  <c r="C914" i="32"/>
  <c r="G914" i="32"/>
  <c r="H914" i="32"/>
  <c r="I914" i="32"/>
  <c r="D914" i="32" s="1"/>
  <c r="J914" i="32"/>
  <c r="E914" i="32" s="1"/>
  <c r="K914" i="32"/>
  <c r="L914" i="32"/>
  <c r="C915" i="32"/>
  <c r="D915" i="32"/>
  <c r="G915" i="32"/>
  <c r="H915" i="32"/>
  <c r="I915" i="32"/>
  <c r="J915" i="32"/>
  <c r="E915" i="32" s="1"/>
  <c r="K915" i="32"/>
  <c r="L915" i="32"/>
  <c r="C916" i="32"/>
  <c r="G916" i="32"/>
  <c r="H916" i="32"/>
  <c r="I916" i="32"/>
  <c r="D916" i="32" s="1"/>
  <c r="J916" i="32"/>
  <c r="E916" i="32" s="1"/>
  <c r="K916" i="32"/>
  <c r="L916" i="32"/>
  <c r="C917" i="32"/>
  <c r="G917" i="32"/>
  <c r="F917" i="32" s="1"/>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G924" i="32"/>
  <c r="H924" i="32"/>
  <c r="I924" i="32"/>
  <c r="D924" i="32" s="1"/>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H929" i="32"/>
  <c r="I929" i="32"/>
  <c r="D929" i="32" s="1"/>
  <c r="J929" i="32"/>
  <c r="E929" i="32"/>
  <c r="K929" i="32"/>
  <c r="L929" i="32"/>
  <c r="C930" i="32"/>
  <c r="G930" i="32"/>
  <c r="H930" i="32"/>
  <c r="I930" i="32"/>
  <c r="D930" i="32" s="1"/>
  <c r="J930" i="32"/>
  <c r="E930" i="32" s="1"/>
  <c r="K930" i="32"/>
  <c r="L930" i="32"/>
  <c r="C931" i="32"/>
  <c r="G931" i="32"/>
  <c r="H931" i="32"/>
  <c r="I931" i="32"/>
  <c r="D931" i="32" s="1"/>
  <c r="J931" i="32"/>
  <c r="E931" i="32" s="1"/>
  <c r="K931" i="32"/>
  <c r="L931" i="32"/>
  <c r="C932" i="32"/>
  <c r="G932" i="32"/>
  <c r="H932" i="32"/>
  <c r="I932" i="32"/>
  <c r="D932" i="32" s="1"/>
  <c r="J932" i="32"/>
  <c r="E932" i="32"/>
  <c r="K932" i="32"/>
  <c r="L932" i="32"/>
  <c r="C933" i="32"/>
  <c r="G933" i="32"/>
  <c r="H933" i="32"/>
  <c r="I933" i="32"/>
  <c r="D933" i="32" s="1"/>
  <c r="J933" i="32"/>
  <c r="E933" i="32" s="1"/>
  <c r="K933" i="32"/>
  <c r="L933" i="32"/>
  <c r="C934" i="32"/>
  <c r="G934" i="32"/>
  <c r="H934" i="32"/>
  <c r="I934" i="32"/>
  <c r="D934" i="32" s="1"/>
  <c r="J934" i="32"/>
  <c r="E934" i="32"/>
  <c r="K934" i="32"/>
  <c r="L934" i="32"/>
  <c r="C935" i="32"/>
  <c r="G935" i="32"/>
  <c r="H935" i="32"/>
  <c r="I935" i="32"/>
  <c r="D935" i="32"/>
  <c r="J935" i="32"/>
  <c r="E935" i="32" s="1"/>
  <c r="K935" i="32"/>
  <c r="L935" i="32"/>
  <c r="C936" i="32"/>
  <c r="G936" i="32"/>
  <c r="H936" i="32"/>
  <c r="I936" i="32"/>
  <c r="D936" i="32" s="1"/>
  <c r="J936" i="32"/>
  <c r="E936" i="32"/>
  <c r="K936" i="32"/>
  <c r="L936" i="32"/>
  <c r="C937" i="32"/>
  <c r="G937" i="32"/>
  <c r="H937" i="32"/>
  <c r="I937" i="32"/>
  <c r="D937" i="32" s="1"/>
  <c r="J937" i="32"/>
  <c r="E937" i="32" s="1"/>
  <c r="K937" i="32"/>
  <c r="L937" i="32"/>
  <c r="C938" i="32"/>
  <c r="G938" i="32"/>
  <c r="F938" i="32" s="1"/>
  <c r="H938" i="32"/>
  <c r="I938" i="32"/>
  <c r="D938" i="32" s="1"/>
  <c r="J938" i="32"/>
  <c r="E938" i="32" s="1"/>
  <c r="K938" i="32"/>
  <c r="L938" i="32"/>
  <c r="C939" i="32"/>
  <c r="G939" i="32"/>
  <c r="H939" i="32"/>
  <c r="I939" i="32"/>
  <c r="D939" i="32"/>
  <c r="J939" i="32"/>
  <c r="E939" i="32"/>
  <c r="K939" i="32"/>
  <c r="L939" i="32"/>
  <c r="C940" i="32"/>
  <c r="G940" i="32"/>
  <c r="H940" i="32"/>
  <c r="I940" i="32"/>
  <c r="D940" i="32" s="1"/>
  <c r="J940" i="32"/>
  <c r="E940" i="32"/>
  <c r="K940" i="32"/>
  <c r="L940" i="32"/>
  <c r="C941" i="32"/>
  <c r="G941" i="32"/>
  <c r="F941" i="32" s="1"/>
  <c r="H941" i="32"/>
  <c r="I941" i="32"/>
  <c r="D941" i="32" s="1"/>
  <c r="J941" i="32"/>
  <c r="E941" i="32" s="1"/>
  <c r="K941" i="32"/>
  <c r="L941" i="32"/>
  <c r="C942" i="32"/>
  <c r="G942" i="32"/>
  <c r="H942" i="32"/>
  <c r="I942" i="32"/>
  <c r="D942" i="32" s="1"/>
  <c r="J942" i="32"/>
  <c r="E942" i="32"/>
  <c r="K942" i="32"/>
  <c r="L942" i="32"/>
  <c r="C943" i="32"/>
  <c r="G943" i="32"/>
  <c r="F943" i="32" s="1"/>
  <c r="H943" i="32"/>
  <c r="I943" i="32"/>
  <c r="D943" i="32" s="1"/>
  <c r="J943" i="32"/>
  <c r="E943" i="32" s="1"/>
  <c r="K943" i="32"/>
  <c r="L943" i="32"/>
  <c r="C944" i="32"/>
  <c r="G944" i="32"/>
  <c r="H944" i="32"/>
  <c r="I944" i="32"/>
  <c r="D944" i="32" s="1"/>
  <c r="J944" i="32"/>
  <c r="E944" i="32" s="1"/>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F950" i="32" s="1"/>
  <c r="H950" i="32"/>
  <c r="I950" i="32"/>
  <c r="D950" i="32"/>
  <c r="J950" i="32"/>
  <c r="E950" i="32" s="1"/>
  <c r="K950" i="32"/>
  <c r="L950" i="32"/>
  <c r="C951" i="32"/>
  <c r="G951" i="32"/>
  <c r="F951" i="32" s="1"/>
  <c r="H951" i="32"/>
  <c r="I951" i="32"/>
  <c r="D951" i="32" s="1"/>
  <c r="J951" i="32"/>
  <c r="E951" i="32" s="1"/>
  <c r="K951" i="32"/>
  <c r="L951" i="32"/>
  <c r="C952" i="32"/>
  <c r="G952" i="32"/>
  <c r="H952" i="32"/>
  <c r="F952" i="32" s="1"/>
  <c r="I952" i="32"/>
  <c r="D952" i="32" s="1"/>
  <c r="J952" i="32"/>
  <c r="E952" i="32" s="1"/>
  <c r="K952" i="32"/>
  <c r="L952" i="32"/>
  <c r="C953" i="32"/>
  <c r="G953" i="32"/>
  <c r="H953" i="32"/>
  <c r="F953" i="32" s="1"/>
  <c r="I953" i="32"/>
  <c r="D953" i="32" s="1"/>
  <c r="J953" i="32"/>
  <c r="E953" i="32" s="1"/>
  <c r="K953" i="32"/>
  <c r="L953" i="32"/>
  <c r="C954" i="32"/>
  <c r="G954" i="32"/>
  <c r="H954" i="32"/>
  <c r="I954" i="32"/>
  <c r="D954" i="32" s="1"/>
  <c r="J954" i="32"/>
  <c r="E954" i="32" s="1"/>
  <c r="K954" i="32"/>
  <c r="L954" i="32"/>
  <c r="C955" i="32"/>
  <c r="G955" i="32"/>
  <c r="H955" i="32"/>
  <c r="I955" i="32"/>
  <c r="D955" i="32" s="1"/>
  <c r="J955" i="32"/>
  <c r="E955" i="32" s="1"/>
  <c r="K955" i="32"/>
  <c r="L955" i="32"/>
  <c r="C956" i="32"/>
  <c r="G956" i="32"/>
  <c r="H956" i="32"/>
  <c r="I956" i="32"/>
  <c r="D956" i="32" s="1"/>
  <c r="J956" i="32"/>
  <c r="E956" i="32" s="1"/>
  <c r="K956" i="32"/>
  <c r="L956" i="32"/>
  <c r="C957" i="32"/>
  <c r="G957" i="32"/>
  <c r="H957" i="32"/>
  <c r="I957" i="32"/>
  <c r="D957" i="32"/>
  <c r="J957" i="32"/>
  <c r="E957" i="32" s="1"/>
  <c r="K957" i="32"/>
  <c r="L957" i="32"/>
  <c r="C958" i="32"/>
  <c r="G958" i="32"/>
  <c r="H958" i="32"/>
  <c r="I958" i="32"/>
  <c r="D958" i="32" s="1"/>
  <c r="J958" i="32"/>
  <c r="E958" i="32" s="1"/>
  <c r="K958" i="32"/>
  <c r="L958" i="32"/>
  <c r="C959" i="32"/>
  <c r="G959" i="32"/>
  <c r="F959" i="32" s="1"/>
  <c r="H959" i="32"/>
  <c r="I959" i="32"/>
  <c r="D959" i="32"/>
  <c r="J959" i="32"/>
  <c r="E959" i="32" s="1"/>
  <c r="K959" i="32"/>
  <c r="L959" i="32"/>
  <c r="C960" i="32"/>
  <c r="G960" i="32"/>
  <c r="H960" i="32"/>
  <c r="I960" i="32"/>
  <c r="D960" i="32"/>
  <c r="J960" i="32"/>
  <c r="E960" i="32" s="1"/>
  <c r="K960" i="32"/>
  <c r="L960" i="32"/>
  <c r="C961" i="32"/>
  <c r="G961" i="32"/>
  <c r="H961" i="32"/>
  <c r="I961" i="32"/>
  <c r="D961" i="32" s="1"/>
  <c r="J961" i="32"/>
  <c r="E961" i="32" s="1"/>
  <c r="K961" i="32"/>
  <c r="L961" i="32"/>
  <c r="C962" i="32"/>
  <c r="D962" i="32"/>
  <c r="G962" i="32"/>
  <c r="F962" i="32" s="1"/>
  <c r="H962" i="32"/>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F965" i="32" s="1"/>
  <c r="I965" i="32"/>
  <c r="D965" i="32"/>
  <c r="J965" i="32"/>
  <c r="E965" i="32" s="1"/>
  <c r="K965" i="32"/>
  <c r="L965" i="32"/>
  <c r="C966" i="32"/>
  <c r="G966" i="32"/>
  <c r="F966" i="32" s="1"/>
  <c r="H966" i="32"/>
  <c r="I966" i="32"/>
  <c r="D966" i="32" s="1"/>
  <c r="J966" i="32"/>
  <c r="E966" i="32" s="1"/>
  <c r="K966" i="32"/>
  <c r="L966" i="32"/>
  <c r="C967" i="32"/>
  <c r="G967" i="32"/>
  <c r="H967" i="32"/>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G977" i="32"/>
  <c r="H977" i="32"/>
  <c r="I977" i="32"/>
  <c r="D977" i="32"/>
  <c r="J977" i="32"/>
  <c r="E977" i="32" s="1"/>
  <c r="K977" i="32"/>
  <c r="L977" i="32"/>
  <c r="C978" i="32"/>
  <c r="G978" i="32"/>
  <c r="H978" i="32"/>
  <c r="I978" i="32"/>
  <c r="D978" i="32"/>
  <c r="J978" i="32"/>
  <c r="E978" i="32" s="1"/>
  <c r="K978" i="32"/>
  <c r="L978" i="32"/>
  <c r="C979" i="32"/>
  <c r="G979" i="32"/>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G982" i="32"/>
  <c r="H982" i="32"/>
  <c r="I982" i="32"/>
  <c r="D982" i="32" s="1"/>
  <c r="J982" i="32"/>
  <c r="E982" i="32" s="1"/>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F987" i="32" s="1"/>
  <c r="H987" i="32"/>
  <c r="I987" i="32"/>
  <c r="D987" i="32" s="1"/>
  <c r="J987" i="32"/>
  <c r="E987" i="32" s="1"/>
  <c r="K987" i="32"/>
  <c r="L987" i="32"/>
  <c r="C988" i="32"/>
  <c r="G988" i="32"/>
  <c r="H988" i="32"/>
  <c r="F988" i="32" s="1"/>
  <c r="I988" i="32"/>
  <c r="D988" i="32"/>
  <c r="J988" i="32"/>
  <c r="E988" i="32" s="1"/>
  <c r="K988" i="32"/>
  <c r="L988" i="32"/>
  <c r="C989" i="32"/>
  <c r="G989" i="32"/>
  <c r="H989" i="32"/>
  <c r="I989" i="32"/>
  <c r="D989" i="32" s="1"/>
  <c r="J989" i="32"/>
  <c r="E989" i="32" s="1"/>
  <c r="K989" i="32"/>
  <c r="L989" i="32"/>
  <c r="C990" i="32"/>
  <c r="G990" i="32"/>
  <c r="H990" i="32"/>
  <c r="I990" i="32"/>
  <c r="D990" i="32" s="1"/>
  <c r="J990" i="32"/>
  <c r="E990" i="32"/>
  <c r="K990" i="32"/>
  <c r="L990" i="32"/>
  <c r="C991" i="32"/>
  <c r="G991" i="32"/>
  <c r="F991" i="32" s="1"/>
  <c r="H991" i="32"/>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F997" i="32" s="1"/>
  <c r="H997" i="32"/>
  <c r="I997" i="32"/>
  <c r="D997" i="32" s="1"/>
  <c r="J997" i="32"/>
  <c r="E997" i="32"/>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H1000" i="32"/>
  <c r="F1000" i="32" s="1"/>
  <c r="I1000" i="32"/>
  <c r="D1000" i="32" s="1"/>
  <c r="J1000" i="32"/>
  <c r="E1000" i="32" s="1"/>
  <c r="K1000" i="32"/>
  <c r="L1000" i="32"/>
  <c r="C1001" i="32"/>
  <c r="E1001" i="32"/>
  <c r="G1001" i="32"/>
  <c r="H1001" i="32"/>
  <c r="F1001" i="32" s="1"/>
  <c r="I1001" i="32"/>
  <c r="D1001" i="32" s="1"/>
  <c r="J1001" i="32"/>
  <c r="K1001" i="32"/>
  <c r="L1001" i="32"/>
  <c r="C1002" i="32"/>
  <c r="G1002" i="32"/>
  <c r="H1002" i="32"/>
  <c r="F1002" i="32" s="1"/>
  <c r="I1002" i="32"/>
  <c r="D1002" i="32" s="1"/>
  <c r="J1002" i="32"/>
  <c r="E1002" i="32" s="1"/>
  <c r="K1002" i="32"/>
  <c r="L1002" i="32"/>
  <c r="C1003" i="32"/>
  <c r="G1003" i="32"/>
  <c r="H1003" i="32"/>
  <c r="F1003" i="32" s="1"/>
  <c r="I1003" i="32"/>
  <c r="D1003" i="32" s="1"/>
  <c r="J1003" i="32"/>
  <c r="E1003" i="32" s="1"/>
  <c r="K1003" i="32"/>
  <c r="L1003" i="32"/>
  <c r="C1004" i="32"/>
  <c r="G1004" i="32"/>
  <c r="H1004" i="32"/>
  <c r="I1004" i="32"/>
  <c r="D1004" i="32" s="1"/>
  <c r="J1004" i="32"/>
  <c r="E1004" i="32" s="1"/>
  <c r="K1004" i="32"/>
  <c r="L1004" i="32"/>
  <c r="C1005" i="32"/>
  <c r="G1005" i="32"/>
  <c r="H1005" i="32"/>
  <c r="I1005" i="32"/>
  <c r="D1005" i="32" s="1"/>
  <c r="J1005" i="32"/>
  <c r="E1005" i="32" s="1"/>
  <c r="K1005" i="32"/>
  <c r="L1005" i="32"/>
  <c r="C1006" i="32"/>
  <c r="G1006" i="32"/>
  <c r="H1006" i="32"/>
  <c r="F1006" i="32" s="1"/>
  <c r="I1006" i="32"/>
  <c r="D1006" i="32" s="1"/>
  <c r="J1006" i="32"/>
  <c r="E1006" i="32" s="1"/>
  <c r="K1006" i="32"/>
  <c r="L1006" i="32"/>
  <c r="C1007" i="32"/>
  <c r="G1007" i="32"/>
  <c r="H1007" i="32"/>
  <c r="I1007" i="32"/>
  <c r="D1007" i="32" s="1"/>
  <c r="J1007" i="32"/>
  <c r="E1007" i="32" s="1"/>
  <c r="K1007" i="32"/>
  <c r="L1007" i="32"/>
  <c r="C1008" i="32"/>
  <c r="G1008" i="32"/>
  <c r="H1008" i="32"/>
  <c r="I1008" i="32"/>
  <c r="D1008" i="32" s="1"/>
  <c r="J1008" i="32"/>
  <c r="E1008" i="32"/>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c r="J1016" i="32"/>
  <c r="E1016" i="32" s="1"/>
  <c r="K1016" i="32"/>
  <c r="L1016" i="32"/>
  <c r="C1017" i="32"/>
  <c r="D1017" i="32"/>
  <c r="G1017" i="32"/>
  <c r="H1017" i="32"/>
  <c r="I1017" i="32"/>
  <c r="J1017" i="32"/>
  <c r="E1017" i="32" s="1"/>
  <c r="K1017" i="32"/>
  <c r="L1017" i="32"/>
  <c r="C1018" i="32"/>
  <c r="G1018" i="32"/>
  <c r="F1018" i="32" s="1"/>
  <c r="H1018" i="32"/>
  <c r="I1018" i="32"/>
  <c r="D1018" i="32" s="1"/>
  <c r="J1018" i="32"/>
  <c r="E1018" i="32" s="1"/>
  <c r="K1018" i="32"/>
  <c r="L1018" i="32"/>
  <c r="C1019" i="32"/>
  <c r="G1019" i="32"/>
  <c r="H1019" i="32"/>
  <c r="I1019" i="32"/>
  <c r="D1019" i="32" s="1"/>
  <c r="J1019" i="32"/>
  <c r="E1019" i="32" s="1"/>
  <c r="K1019" i="32"/>
  <c r="L1019" i="32"/>
  <c r="C1020" i="32"/>
  <c r="G1020" i="32"/>
  <c r="F1020" i="32" s="1"/>
  <c r="H1020" i="32"/>
  <c r="I1020" i="32"/>
  <c r="D1020" i="32" s="1"/>
  <c r="J1020" i="32"/>
  <c r="E1020" i="32" s="1"/>
  <c r="K1020" i="32"/>
  <c r="L1020" i="32"/>
  <c r="C1021" i="32"/>
  <c r="G1021" i="32"/>
  <c r="H1021" i="32"/>
  <c r="F1021" i="32" s="1"/>
  <c r="I1021" i="32"/>
  <c r="D1021" i="32" s="1"/>
  <c r="J1021" i="32"/>
  <c r="E1021" i="32" s="1"/>
  <c r="K1021" i="32"/>
  <c r="L1021" i="32"/>
  <c r="C1022" i="32"/>
  <c r="G1022" i="32"/>
  <c r="H1022" i="32"/>
  <c r="I1022" i="32"/>
  <c r="D1022" i="32"/>
  <c r="J1022" i="32"/>
  <c r="E1022" i="32" s="1"/>
  <c r="K1022" i="32"/>
  <c r="L1022" i="32"/>
  <c r="C1023" i="32"/>
  <c r="G1023" i="32"/>
  <c r="F1023" i="32" s="1"/>
  <c r="H1023" i="32"/>
  <c r="I1023" i="32"/>
  <c r="D1023" i="32" s="1"/>
  <c r="J1023" i="32"/>
  <c r="E1023" i="32" s="1"/>
  <c r="K1023" i="32"/>
  <c r="L1023" i="32"/>
  <c r="C1024" i="32"/>
  <c r="G1024" i="32"/>
  <c r="F1024" i="32" s="1"/>
  <c r="H1024" i="32"/>
  <c r="I1024" i="32"/>
  <c r="D1024" i="32" s="1"/>
  <c r="J1024" i="32"/>
  <c r="E1024" i="32" s="1"/>
  <c r="K1024" i="32"/>
  <c r="L1024" i="32"/>
  <c r="C1025" i="32"/>
  <c r="G1025" i="32"/>
  <c r="H1025" i="32"/>
  <c r="F1025" i="32" s="1"/>
  <c r="I1025" i="32"/>
  <c r="D1025" i="32" s="1"/>
  <c r="J1025" i="32"/>
  <c r="E1025" i="32" s="1"/>
  <c r="K1025" i="32"/>
  <c r="L1025" i="32"/>
  <c r="C1026" i="32"/>
  <c r="G1026" i="32"/>
  <c r="H1026" i="32"/>
  <c r="I1026" i="32"/>
  <c r="D1026" i="32" s="1"/>
  <c r="J1026" i="32"/>
  <c r="E1026" i="32" s="1"/>
  <c r="K1026" i="32"/>
  <c r="L1026" i="32"/>
  <c r="C1027" i="32"/>
  <c r="G1027" i="32"/>
  <c r="H1027" i="32"/>
  <c r="I1027" i="32"/>
  <c r="D1027" i="32" s="1"/>
  <c r="J1027" i="32"/>
  <c r="E1027" i="32" s="1"/>
  <c r="K1027" i="32"/>
  <c r="L1027" i="32"/>
  <c r="C1028" i="32"/>
  <c r="G1028" i="32"/>
  <c r="H1028" i="32"/>
  <c r="I1028" i="32"/>
  <c r="D1028" i="32"/>
  <c r="J1028" i="32"/>
  <c r="E1028" i="32" s="1"/>
  <c r="K1028" i="32"/>
  <c r="L1028" i="32"/>
  <c r="C1029" i="32"/>
  <c r="G1029" i="32"/>
  <c r="H1029" i="32"/>
  <c r="I1029" i="32"/>
  <c r="D1029" i="32"/>
  <c r="J1029" i="32"/>
  <c r="E1029" i="32"/>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I1033" i="32"/>
  <c r="D1033" i="32" s="1"/>
  <c r="J1033" i="32"/>
  <c r="E1033" i="32"/>
  <c r="K1033" i="32"/>
  <c r="L1033" i="32"/>
  <c r="C1034" i="32"/>
  <c r="G1034" i="32"/>
  <c r="H1034" i="32"/>
  <c r="I1034" i="32"/>
  <c r="D1034" i="32" s="1"/>
  <c r="J1034" i="32"/>
  <c r="E1034" i="32" s="1"/>
  <c r="K1034" i="32"/>
  <c r="L1034" i="32"/>
  <c r="C1035" i="32"/>
  <c r="G1035" i="32"/>
  <c r="H1035" i="32"/>
  <c r="I1035" i="32"/>
  <c r="D1035" i="32" s="1"/>
  <c r="J1035" i="32"/>
  <c r="E1035" i="32"/>
  <c r="K1035" i="32"/>
  <c r="L1035" i="32"/>
  <c r="C1036" i="32"/>
  <c r="G1036" i="32"/>
  <c r="H1036" i="32"/>
  <c r="I1036" i="32"/>
  <c r="D1036" i="32" s="1"/>
  <c r="J1036" i="32"/>
  <c r="E1036" i="32" s="1"/>
  <c r="K1036" i="32"/>
  <c r="L1036" i="32"/>
  <c r="C1037" i="32"/>
  <c r="G1037" i="32"/>
  <c r="H1037" i="32"/>
  <c r="I1037" i="32"/>
  <c r="D1037" i="32" s="1"/>
  <c r="J1037" i="32"/>
  <c r="E1037" i="32"/>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F1041" i="32" s="1"/>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D1045" i="32"/>
  <c r="G1045" i="32"/>
  <c r="H1045" i="32"/>
  <c r="I1045" i="32"/>
  <c r="J1045" i="32"/>
  <c r="E1045" i="32" s="1"/>
  <c r="K1045" i="32"/>
  <c r="L1045" i="32"/>
  <c r="C1046" i="32"/>
  <c r="G1046" i="32"/>
  <c r="F1046" i="32" s="1"/>
  <c r="H1046" i="32"/>
  <c r="I1046" i="32"/>
  <c r="D1046" i="32" s="1"/>
  <c r="J1046" i="32"/>
  <c r="E1046" i="32" s="1"/>
  <c r="K1046" i="32"/>
  <c r="L1046" i="32"/>
  <c r="C1047" i="32"/>
  <c r="G1047" i="32"/>
  <c r="H1047" i="32"/>
  <c r="I1047" i="32"/>
  <c r="D1047" i="32" s="1"/>
  <c r="J1047" i="32"/>
  <c r="E1047" i="32" s="1"/>
  <c r="K1047" i="32"/>
  <c r="L1047" i="32"/>
  <c r="C1048" i="32"/>
  <c r="G1048" i="32"/>
  <c r="F1048" i="32" s="1"/>
  <c r="H1048" i="32"/>
  <c r="I1048" i="32"/>
  <c r="D1048" i="32"/>
  <c r="J1048" i="32"/>
  <c r="E1048" i="32" s="1"/>
  <c r="K1048" i="32"/>
  <c r="L1048" i="32"/>
  <c r="C1049" i="32"/>
  <c r="G1049" i="32"/>
  <c r="F1049" i="32" s="1"/>
  <c r="H1049" i="32"/>
  <c r="I1049" i="32"/>
  <c r="D1049" i="32" s="1"/>
  <c r="J1049" i="32"/>
  <c r="E1049" i="32"/>
  <c r="K1049" i="32"/>
  <c r="L1049" i="32"/>
  <c r="C1050" i="32"/>
  <c r="G1050" i="32"/>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G1053" i="32"/>
  <c r="H1053" i="32"/>
  <c r="I1053" i="32"/>
  <c r="D1053" i="32" s="1"/>
  <c r="J1053" i="32"/>
  <c r="E1053" i="32" s="1"/>
  <c r="K1053" i="32"/>
  <c r="L1053" i="32"/>
  <c r="C1054" i="32"/>
  <c r="G1054" i="32"/>
  <c r="F1054" i="32" s="1"/>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F1057" i="32" s="1"/>
  <c r="H1057" i="32"/>
  <c r="I1057" i="32"/>
  <c r="D1057" i="32" s="1"/>
  <c r="J1057" i="32"/>
  <c r="E1057" i="32" s="1"/>
  <c r="K1057" i="32"/>
  <c r="L1057" i="32"/>
  <c r="C1058" i="32"/>
  <c r="E1058" i="32"/>
  <c r="G1058" i="32"/>
  <c r="H1058" i="32"/>
  <c r="I1058" i="32"/>
  <c r="D1058" i="32" s="1"/>
  <c r="J1058" i="32"/>
  <c r="K1058" i="32"/>
  <c r="L1058" i="32"/>
  <c r="C1059" i="32"/>
  <c r="G1059" i="32"/>
  <c r="H1059" i="32"/>
  <c r="I1059" i="32"/>
  <c r="D1059" i="32" s="1"/>
  <c r="J1059" i="32"/>
  <c r="E1059" i="32"/>
  <c r="K1059" i="32"/>
  <c r="L1059" i="32"/>
  <c r="C1060" i="32"/>
  <c r="G1060" i="32"/>
  <c r="H1060" i="32"/>
  <c r="F1060" i="32" s="1"/>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c r="J1062" i="32"/>
  <c r="E1062" i="32" s="1"/>
  <c r="K1062" i="32"/>
  <c r="L1062" i="32"/>
  <c r="C1063" i="32"/>
  <c r="G1063" i="32"/>
  <c r="F1063" i="32" s="1"/>
  <c r="H1063" i="32"/>
  <c r="I1063" i="32"/>
  <c r="D1063" i="32" s="1"/>
  <c r="J1063" i="32"/>
  <c r="E1063" i="32" s="1"/>
  <c r="K1063" i="32"/>
  <c r="L1063" i="32"/>
  <c r="C1064" i="32"/>
  <c r="G1064" i="32"/>
  <c r="H1064" i="32"/>
  <c r="I1064" i="32"/>
  <c r="D1064" i="32" s="1"/>
  <c r="J1064" i="32"/>
  <c r="E1064" i="32" s="1"/>
  <c r="K1064" i="32"/>
  <c r="L1064" i="32"/>
  <c r="C1065" i="32"/>
  <c r="G1065" i="32"/>
  <c r="H1065" i="32"/>
  <c r="I1065" i="32"/>
  <c r="D1065" i="32" s="1"/>
  <c r="J1065" i="32"/>
  <c r="E1065" i="32" s="1"/>
  <c r="K1065" i="32"/>
  <c r="L1065" i="32"/>
  <c r="C1066" i="32"/>
  <c r="G1066" i="32"/>
  <c r="F1066" i="32" s="1"/>
  <c r="H1066" i="32"/>
  <c r="I1066" i="32"/>
  <c r="D1066" i="32" s="1"/>
  <c r="J1066" i="32"/>
  <c r="E1066" i="32" s="1"/>
  <c r="K1066" i="32"/>
  <c r="L1066" i="32"/>
  <c r="C1067" i="32"/>
  <c r="G1067" i="32"/>
  <c r="F1067" i="32" s="1"/>
  <c r="H1067" i="32"/>
  <c r="I1067" i="32"/>
  <c r="D1067" i="32" s="1"/>
  <c r="J1067" i="32"/>
  <c r="E1067" i="32" s="1"/>
  <c r="K1067" i="32"/>
  <c r="L1067" i="32"/>
  <c r="C1068" i="32"/>
  <c r="D1068" i="32"/>
  <c r="G1068" i="32"/>
  <c r="H1068" i="32"/>
  <c r="F1068" i="32" s="1"/>
  <c r="I1068" i="32"/>
  <c r="J1068" i="32"/>
  <c r="E1068" i="32" s="1"/>
  <c r="K1068" i="32"/>
  <c r="L1068" i="32"/>
  <c r="C1069" i="32"/>
  <c r="G1069" i="32"/>
  <c r="F1069" i="32" s="1"/>
  <c r="H1069" i="32"/>
  <c r="I1069" i="32"/>
  <c r="D1069" i="32" s="1"/>
  <c r="J1069" i="32"/>
  <c r="E1069" i="32" s="1"/>
  <c r="K1069" i="32"/>
  <c r="L1069" i="32"/>
  <c r="C1070" i="32"/>
  <c r="G1070" i="32"/>
  <c r="F1070" i="32" s="1"/>
  <c r="H1070" i="32"/>
  <c r="I1070" i="32"/>
  <c r="D1070" i="32" s="1"/>
  <c r="J1070" i="32"/>
  <c r="E1070" i="32" s="1"/>
  <c r="K1070" i="32"/>
  <c r="L1070" i="32"/>
  <c r="C1071" i="32"/>
  <c r="G1071" i="32"/>
  <c r="F1071" i="32" s="1"/>
  <c r="H1071" i="32"/>
  <c r="I1071" i="32"/>
  <c r="D1071" i="32" s="1"/>
  <c r="J1071" i="32"/>
  <c r="E1071" i="32" s="1"/>
  <c r="K1071" i="32"/>
  <c r="L1071" i="32"/>
  <c r="C1072" i="32"/>
  <c r="G1072" i="32"/>
  <c r="F1072" i="32" s="1"/>
  <c r="H1072" i="32"/>
  <c r="I1072" i="32"/>
  <c r="D1072" i="32" s="1"/>
  <c r="J1072" i="32"/>
  <c r="E1072" i="32" s="1"/>
  <c r="K1072" i="32"/>
  <c r="L1072" i="32"/>
  <c r="C1073" i="32"/>
  <c r="G1073" i="32"/>
  <c r="H1073" i="32"/>
  <c r="F1073" i="32" s="1"/>
  <c r="I1073" i="32"/>
  <c r="D1073" i="32"/>
  <c r="J1073" i="32"/>
  <c r="E1073" i="32" s="1"/>
  <c r="K1073" i="32"/>
  <c r="L1073" i="32"/>
  <c r="C1074" i="32"/>
  <c r="G1074" i="32"/>
  <c r="F1074" i="32" s="1"/>
  <c r="H1074" i="32"/>
  <c r="I1074" i="32"/>
  <c r="D1074" i="32" s="1"/>
  <c r="J1074" i="32"/>
  <c r="E1074" i="32" s="1"/>
  <c r="K1074" i="32"/>
  <c r="L1074" i="32"/>
  <c r="C1075" i="32"/>
  <c r="G1075" i="32"/>
  <c r="H1075" i="32"/>
  <c r="F1075" i="32" s="1"/>
  <c r="I1075" i="32"/>
  <c r="D1075" i="32" s="1"/>
  <c r="J1075" i="32"/>
  <c r="E1075" i="32" s="1"/>
  <c r="K1075" i="32"/>
  <c r="L1075" i="32"/>
  <c r="C1076" i="32"/>
  <c r="G1076" i="32"/>
  <c r="H1076" i="32"/>
  <c r="I1076" i="32"/>
  <c r="D1076" i="32" s="1"/>
  <c r="J1076" i="32"/>
  <c r="E1076" i="32" s="1"/>
  <c r="K1076" i="32"/>
  <c r="L1076" i="32"/>
  <c r="C1077" i="32"/>
  <c r="G1077" i="32"/>
  <c r="H1077" i="32"/>
  <c r="I1077" i="32"/>
  <c r="D1077" i="32" s="1"/>
  <c r="J1077" i="32"/>
  <c r="E1077" i="32" s="1"/>
  <c r="K1077" i="32"/>
  <c r="L1077" i="32"/>
  <c r="C1078" i="32"/>
  <c r="G1078" i="32"/>
  <c r="H1078" i="32"/>
  <c r="F1078" i="32" s="1"/>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c r="J1081" i="32"/>
  <c r="E1081" i="32"/>
  <c r="K1081" i="32"/>
  <c r="L1081" i="32"/>
  <c r="C1082" i="32"/>
  <c r="G1082" i="32"/>
  <c r="H1082" i="32"/>
  <c r="I1082" i="32"/>
  <c r="D1082" i="32" s="1"/>
  <c r="J1082" i="32"/>
  <c r="E1082" i="32" s="1"/>
  <c r="K1082" i="32"/>
  <c r="L1082" i="32"/>
  <c r="C1083" i="32"/>
  <c r="G1083" i="32"/>
  <c r="H1083" i="32"/>
  <c r="I1083" i="32"/>
  <c r="D1083" i="32" s="1"/>
  <c r="J1083" i="32"/>
  <c r="E1083" i="32" s="1"/>
  <c r="K1083" i="32"/>
  <c r="L1083" i="32"/>
  <c r="C1084" i="32"/>
  <c r="G1084" i="32"/>
  <c r="F1084" i="32" s="1"/>
  <c r="H1084" i="32"/>
  <c r="I1084" i="32"/>
  <c r="D1084" i="32" s="1"/>
  <c r="J1084" i="32"/>
  <c r="E1084" i="32" s="1"/>
  <c r="K1084" i="32"/>
  <c r="L1084" i="32"/>
  <c r="C1085" i="32"/>
  <c r="G1085" i="32"/>
  <c r="H1085" i="32"/>
  <c r="I1085" i="32"/>
  <c r="D1085" i="32"/>
  <c r="J1085" i="32"/>
  <c r="E1085" i="32" s="1"/>
  <c r="K1085" i="32"/>
  <c r="L1085" i="32"/>
  <c r="C1086" i="32"/>
  <c r="G1086" i="32"/>
  <c r="H1086" i="32"/>
  <c r="I1086" i="32"/>
  <c r="D1086" i="32" s="1"/>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F1090" i="32" s="1"/>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c r="K1092" i="32"/>
  <c r="L1092" i="32"/>
  <c r="C1093" i="32"/>
  <c r="G1093" i="32"/>
  <c r="H1093" i="32"/>
  <c r="F1093" i="32" s="1"/>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F1098" i="32" s="1"/>
  <c r="H1098" i="32"/>
  <c r="I1098" i="32"/>
  <c r="D1098" i="32" s="1"/>
  <c r="J1098" i="32"/>
  <c r="E1098" i="32" s="1"/>
  <c r="K1098" i="32"/>
  <c r="L1098" i="32"/>
  <c r="C1099" i="32"/>
  <c r="G1099" i="32"/>
  <c r="H1099" i="32"/>
  <c r="I1099" i="32"/>
  <c r="D1099" i="32" s="1"/>
  <c r="J1099" i="32"/>
  <c r="E1099" i="32" s="1"/>
  <c r="K1099" i="32"/>
  <c r="L1099" i="32"/>
  <c r="C1100" i="32"/>
  <c r="G1100" i="32"/>
  <c r="F1100" i="32" s="1"/>
  <c r="H1100" i="32"/>
  <c r="I1100" i="32"/>
  <c r="D1100" i="32"/>
  <c r="J1100" i="32"/>
  <c r="E1100" i="32" s="1"/>
  <c r="K1100" i="32"/>
  <c r="L1100" i="32"/>
  <c r="C1101" i="32"/>
  <c r="G1101" i="32"/>
  <c r="H1101" i="32"/>
  <c r="I1101" i="32"/>
  <c r="D1101" i="32"/>
  <c r="J1101" i="32"/>
  <c r="E1101" i="32" s="1"/>
  <c r="K1101" i="32"/>
  <c r="L1101" i="32"/>
  <c r="C1102" i="32"/>
  <c r="G1102" i="32"/>
  <c r="H1102" i="32"/>
  <c r="I1102" i="32"/>
  <c r="D1102" i="32" s="1"/>
  <c r="J1102" i="32"/>
  <c r="E1102" i="32" s="1"/>
  <c r="K1102" i="32"/>
  <c r="L1102" i="32"/>
  <c r="C1103" i="32"/>
  <c r="G1103" i="32"/>
  <c r="H1103" i="32"/>
  <c r="F1103" i="32" s="1"/>
  <c r="I1103" i="32"/>
  <c r="D1103" i="32" s="1"/>
  <c r="J1103" i="32"/>
  <c r="E1103" i="32"/>
  <c r="K1103" i="32"/>
  <c r="L1103" i="32"/>
  <c r="C1104" i="32"/>
  <c r="G1104" i="32"/>
  <c r="H1104" i="32"/>
  <c r="I1104" i="32"/>
  <c r="D1104" i="32" s="1"/>
  <c r="J1104" i="32"/>
  <c r="E1104" i="32" s="1"/>
  <c r="K1104" i="32"/>
  <c r="L1104" i="32"/>
  <c r="C1105" i="32"/>
  <c r="G1105" i="32"/>
  <c r="F1105" i="32" s="1"/>
  <c r="H1105" i="32"/>
  <c r="I1105" i="32"/>
  <c r="D1105" i="32"/>
  <c r="J1105" i="32"/>
  <c r="E1105" i="32" s="1"/>
  <c r="K1105" i="32"/>
  <c r="L1105" i="32"/>
  <c r="C1106" i="32"/>
  <c r="G1106" i="32"/>
  <c r="H1106" i="32"/>
  <c r="I1106" i="32"/>
  <c r="D1106" i="32" s="1"/>
  <c r="J1106" i="32"/>
  <c r="E1106" i="32" s="1"/>
  <c r="K1106" i="32"/>
  <c r="L1106" i="32"/>
  <c r="C1107" i="32"/>
  <c r="G1107" i="32"/>
  <c r="H1107" i="32"/>
  <c r="F1107" i="32" s="1"/>
  <c r="I1107" i="32"/>
  <c r="D1107" i="32" s="1"/>
  <c r="J1107" i="32"/>
  <c r="E1107" i="32" s="1"/>
  <c r="K1107" i="32"/>
  <c r="L1107" i="32"/>
  <c r="C1108" i="32"/>
  <c r="G1108" i="32"/>
  <c r="H1108" i="32"/>
  <c r="I1108" i="32"/>
  <c r="D1108" i="32" s="1"/>
  <c r="J1108" i="32"/>
  <c r="E1108" i="32"/>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G1111" i="32"/>
  <c r="H1111" i="32"/>
  <c r="F1111" i="32" s="1"/>
  <c r="I1111" i="32"/>
  <c r="D1111" i="32" s="1"/>
  <c r="J1111" i="32"/>
  <c r="E1111" i="32" s="1"/>
  <c r="K1111" i="32"/>
  <c r="L1111" i="32"/>
  <c r="C1112" i="32"/>
  <c r="G1112" i="32"/>
  <c r="F1112" i="32" s="1"/>
  <c r="H1112" i="32"/>
  <c r="I1112" i="32"/>
  <c r="D1112" i="32" s="1"/>
  <c r="J1112" i="32"/>
  <c r="E1112" i="32" s="1"/>
  <c r="K1112" i="32"/>
  <c r="L1112" i="32"/>
  <c r="C1113" i="32"/>
  <c r="G1113" i="32"/>
  <c r="H1113" i="32"/>
  <c r="F1113" i="32" s="1"/>
  <c r="I1113" i="32"/>
  <c r="D1113" i="32" s="1"/>
  <c r="J1113" i="32"/>
  <c r="E1113" i="32" s="1"/>
  <c r="K1113" i="32"/>
  <c r="L1113" i="32"/>
  <c r="C1114" i="32"/>
  <c r="G1114" i="32"/>
  <c r="H1114" i="32"/>
  <c r="F1114" i="32" s="1"/>
  <c r="I1114" i="32"/>
  <c r="D1114" i="32" s="1"/>
  <c r="J1114" i="32"/>
  <c r="E1114" i="32" s="1"/>
  <c r="K1114" i="32"/>
  <c r="L1114" i="32"/>
  <c r="C1115" i="32"/>
  <c r="G1115" i="32"/>
  <c r="H1115" i="32"/>
  <c r="F1115" i="32" s="1"/>
  <c r="I1115" i="32"/>
  <c r="D1115" i="32" s="1"/>
  <c r="J1115" i="32"/>
  <c r="E1115" i="32" s="1"/>
  <c r="K1115" i="32"/>
  <c r="L1115" i="32"/>
  <c r="C1116" i="32"/>
  <c r="G1116" i="32"/>
  <c r="F1116" i="32" s="1"/>
  <c r="H1116" i="32"/>
  <c r="I1116" i="32"/>
  <c r="D1116" i="32" s="1"/>
  <c r="J1116" i="32"/>
  <c r="E1116" i="32" s="1"/>
  <c r="K1116" i="32"/>
  <c r="L1116" i="32"/>
  <c r="C1117" i="32"/>
  <c r="G1117" i="32"/>
  <c r="F1117" i="32" s="1"/>
  <c r="H1117" i="32"/>
  <c r="I1117" i="32"/>
  <c r="D1117" i="32" s="1"/>
  <c r="J1117" i="32"/>
  <c r="E1117" i="32" s="1"/>
  <c r="K1117" i="32"/>
  <c r="L1117" i="32"/>
  <c r="C1118" i="32"/>
  <c r="G1118" i="32"/>
  <c r="F1118" i="32" s="1"/>
  <c r="H1118" i="32"/>
  <c r="I1118" i="32"/>
  <c r="D1118" i="32" s="1"/>
  <c r="J1118" i="32"/>
  <c r="E1118" i="32" s="1"/>
  <c r="K1118" i="32"/>
  <c r="L1118" i="32"/>
  <c r="C1119" i="32"/>
  <c r="G1119" i="32"/>
  <c r="H1119" i="32"/>
  <c r="I1119" i="32"/>
  <c r="D1119" i="32"/>
  <c r="J1119" i="32"/>
  <c r="E1119" i="32" s="1"/>
  <c r="K1119" i="32"/>
  <c r="L1119" i="32"/>
  <c r="C1120" i="32"/>
  <c r="G1120" i="32"/>
  <c r="F1120" i="32" s="1"/>
  <c r="H1120" i="32"/>
  <c r="I1120" i="32"/>
  <c r="D1120" i="32" s="1"/>
  <c r="J1120" i="32"/>
  <c r="E1120" i="32" s="1"/>
  <c r="K1120" i="32"/>
  <c r="L1120" i="32"/>
  <c r="C1121" i="32"/>
  <c r="G1121" i="32"/>
  <c r="H1121" i="32"/>
  <c r="I1121" i="32"/>
  <c r="D1121" i="32" s="1"/>
  <c r="J1121" i="32"/>
  <c r="E1121" i="32" s="1"/>
  <c r="K1121" i="32"/>
  <c r="L1121" i="32"/>
  <c r="C1122" i="32"/>
  <c r="G1122" i="32"/>
  <c r="F1122" i="32" s="1"/>
  <c r="H1122" i="32"/>
  <c r="I1122" i="32"/>
  <c r="D1122" i="32" s="1"/>
  <c r="J1122" i="32"/>
  <c r="E1122" i="32" s="1"/>
  <c r="K1122" i="32"/>
  <c r="L1122" i="32"/>
  <c r="C1123" i="32"/>
  <c r="G1123" i="32"/>
  <c r="H1123" i="32"/>
  <c r="F1123" i="32" s="1"/>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F1126" i="32" s="1"/>
  <c r="H1126" i="32"/>
  <c r="I1126" i="32"/>
  <c r="D1126" i="32" s="1"/>
  <c r="J1126" i="32"/>
  <c r="E1126" i="32" s="1"/>
  <c r="K1126" i="32"/>
  <c r="L1126" i="32"/>
  <c r="C1127" i="32"/>
  <c r="D1127" i="32"/>
  <c r="G1127" i="32"/>
  <c r="F1127" i="32" s="1"/>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c r="K1129" i="32"/>
  <c r="L1129" i="32"/>
  <c r="C1130" i="32"/>
  <c r="G1130" i="32"/>
  <c r="H1130" i="32"/>
  <c r="I1130" i="32"/>
  <c r="D1130" i="32" s="1"/>
  <c r="J1130" i="32"/>
  <c r="E1130" i="32" s="1"/>
  <c r="K1130" i="32"/>
  <c r="L1130" i="32"/>
  <c r="C1131" i="32"/>
  <c r="G1131" i="32"/>
  <c r="H1131" i="32"/>
  <c r="F1131" i="32" s="1"/>
  <c r="I1131" i="32"/>
  <c r="D1131" i="32" s="1"/>
  <c r="J1131" i="32"/>
  <c r="E1131" i="32" s="1"/>
  <c r="K1131" i="32"/>
  <c r="L1131" i="32"/>
  <c r="C1132" i="32"/>
  <c r="G1132" i="32"/>
  <c r="H1132" i="32"/>
  <c r="I1132" i="32"/>
  <c r="D1132" i="32" s="1"/>
  <c r="J1132" i="32"/>
  <c r="E1132" i="32"/>
  <c r="K1132" i="32"/>
  <c r="L1132" i="32"/>
  <c r="C1133" i="32"/>
  <c r="G1133" i="32"/>
  <c r="H1133" i="32"/>
  <c r="I1133" i="32"/>
  <c r="D1133" i="32" s="1"/>
  <c r="J1133" i="32"/>
  <c r="E1133" i="32" s="1"/>
  <c r="K1133" i="32"/>
  <c r="L1133" i="32"/>
  <c r="C1134" i="32"/>
  <c r="G1134" i="32"/>
  <c r="F1134" i="32" s="1"/>
  <c r="H1134" i="32"/>
  <c r="I1134" i="32"/>
  <c r="D1134" i="32"/>
  <c r="J1134" i="32"/>
  <c r="E1134" i="32" s="1"/>
  <c r="K1134" i="32"/>
  <c r="L1134" i="32"/>
  <c r="C1135" i="32"/>
  <c r="G1135" i="32"/>
  <c r="H1135" i="32"/>
  <c r="I1135" i="32"/>
  <c r="D1135" i="32" s="1"/>
  <c r="J1135" i="32"/>
  <c r="E1135" i="32" s="1"/>
  <c r="K1135" i="32"/>
  <c r="L1135" i="32"/>
  <c r="C1136" i="32"/>
  <c r="G1136" i="32"/>
  <c r="F1136" i="32"/>
  <c r="H1136" i="32"/>
  <c r="I1136" i="32"/>
  <c r="D1136" i="32" s="1"/>
  <c r="J1136" i="32"/>
  <c r="E1136" i="32" s="1"/>
  <c r="K1136" i="32"/>
  <c r="L1136" i="32"/>
  <c r="C1137" i="32"/>
  <c r="G1137" i="32"/>
  <c r="F1137" i="32"/>
  <c r="H1137" i="32"/>
  <c r="I1137" i="32"/>
  <c r="D1137" i="32" s="1"/>
  <c r="J1137" i="32"/>
  <c r="E1137" i="32" s="1"/>
  <c r="K1137" i="32"/>
  <c r="L1137" i="32"/>
  <c r="C1138" i="32"/>
  <c r="G1138" i="32"/>
  <c r="H1138" i="32"/>
  <c r="I1138" i="32"/>
  <c r="D1138" i="32" s="1"/>
  <c r="J1138" i="32"/>
  <c r="E1138" i="32" s="1"/>
  <c r="K1138" i="32"/>
  <c r="L1138" i="32"/>
  <c r="C1139" i="32"/>
  <c r="G1139" i="32"/>
  <c r="F1139" i="32" s="1"/>
  <c r="H1139" i="32"/>
  <c r="I1139" i="32"/>
  <c r="D1139" i="32" s="1"/>
  <c r="J1139" i="32"/>
  <c r="E1139" i="32" s="1"/>
  <c r="K1139" i="32"/>
  <c r="L1139" i="32"/>
  <c r="C1140" i="32"/>
  <c r="G1140" i="32"/>
  <c r="H1140" i="32"/>
  <c r="I1140" i="32"/>
  <c r="D1140" i="32"/>
  <c r="J1140" i="32"/>
  <c r="E1140" i="32" s="1"/>
  <c r="K1140" i="32"/>
  <c r="L1140" i="32"/>
  <c r="C1141" i="32"/>
  <c r="G1141" i="32"/>
  <c r="H1141" i="32"/>
  <c r="I1141" i="32"/>
  <c r="D1141" i="32" s="1"/>
  <c r="J1141" i="32"/>
  <c r="E1141" i="32" s="1"/>
  <c r="K1141" i="32"/>
  <c r="L1141" i="32"/>
  <c r="C1142" i="32"/>
  <c r="G1142" i="32"/>
  <c r="F1142" i="32" s="1"/>
  <c r="H1142" i="32"/>
  <c r="I1142" i="32"/>
  <c r="D1142" i="32"/>
  <c r="J1142" i="32"/>
  <c r="E1142" i="32" s="1"/>
  <c r="K1142" i="32"/>
  <c r="L1142" i="32"/>
  <c r="C1143" i="32"/>
  <c r="G1143" i="32"/>
  <c r="H1143" i="32"/>
  <c r="I1143" i="32"/>
  <c r="D1143" i="32" s="1"/>
  <c r="J1143" i="32"/>
  <c r="E1143" i="32" s="1"/>
  <c r="K1143" i="32"/>
  <c r="L1143" i="32"/>
  <c r="C1144" i="32"/>
  <c r="G1144" i="32"/>
  <c r="F1144" i="32" s="1"/>
  <c r="H1144" i="32"/>
  <c r="I1144" i="32"/>
  <c r="D1144" i="32"/>
  <c r="J1144" i="32"/>
  <c r="E1144" i="32" s="1"/>
  <c r="K1144" i="32"/>
  <c r="L1144" i="32"/>
  <c r="C1145" i="32"/>
  <c r="G1145" i="32"/>
  <c r="F1145" i="32" s="1"/>
  <c r="H1145" i="32"/>
  <c r="I1145" i="32"/>
  <c r="D1145" i="32" s="1"/>
  <c r="J1145" i="32"/>
  <c r="E1145" i="32" s="1"/>
  <c r="K1145" i="32"/>
  <c r="L1145" i="32"/>
  <c r="C1146" i="32"/>
  <c r="G1146" i="32"/>
  <c r="H1146" i="32"/>
  <c r="I1146" i="32"/>
  <c r="D1146" i="32" s="1"/>
  <c r="J1146" i="32"/>
  <c r="E1146" i="32" s="1"/>
  <c r="K1146" i="32"/>
  <c r="L1146" i="32"/>
  <c r="C1147" i="32"/>
  <c r="G1147" i="32"/>
  <c r="F1147" i="32" s="1"/>
  <c r="H1147" i="32"/>
  <c r="I1147" i="32"/>
  <c r="D1147" i="32" s="1"/>
  <c r="J1147" i="32"/>
  <c r="E1147" i="32" s="1"/>
  <c r="K1147" i="32"/>
  <c r="L1147" i="32"/>
  <c r="C1148" i="32"/>
  <c r="G1148" i="32"/>
  <c r="H1148" i="32"/>
  <c r="I1148" i="32"/>
  <c r="D1148" i="32" s="1"/>
  <c r="J1148" i="32"/>
  <c r="E1148" i="32"/>
  <c r="K1148" i="32"/>
  <c r="L1148" i="32"/>
  <c r="C1149" i="32"/>
  <c r="G1149" i="32"/>
  <c r="F1149" i="32" s="1"/>
  <c r="H1149" i="32"/>
  <c r="I1149" i="32"/>
  <c r="D1149" i="32" s="1"/>
  <c r="J1149" i="32"/>
  <c r="E1149" i="32" s="1"/>
  <c r="K1149" i="32"/>
  <c r="L1149" i="32"/>
  <c r="C1150" i="32"/>
  <c r="G1150" i="32"/>
  <c r="H1150" i="32"/>
  <c r="I1150" i="32"/>
  <c r="D1150" i="32" s="1"/>
  <c r="J1150" i="32"/>
  <c r="E1150" i="32" s="1"/>
  <c r="K1150" i="32"/>
  <c r="L1150" i="32"/>
  <c r="C1151" i="32"/>
  <c r="G1151" i="32"/>
  <c r="F1151" i="32" s="1"/>
  <c r="H1151" i="32"/>
  <c r="I1151" i="32"/>
  <c r="D1151" i="32"/>
  <c r="J1151" i="32"/>
  <c r="E1151" i="32" s="1"/>
  <c r="K1151" i="32"/>
  <c r="L1151" i="32"/>
  <c r="C1152" i="32"/>
  <c r="G1152" i="32"/>
  <c r="F1152" i="32" s="1"/>
  <c r="H1152" i="32"/>
  <c r="I1152" i="32"/>
  <c r="D1152" i="32" s="1"/>
  <c r="J1152" i="32"/>
  <c r="E1152" i="32" s="1"/>
  <c r="K1152" i="32"/>
  <c r="L1152" i="32"/>
  <c r="C1153" i="32"/>
  <c r="G1153" i="32"/>
  <c r="H1153" i="32"/>
  <c r="I1153" i="32"/>
  <c r="D1153" i="32" s="1"/>
  <c r="J1153" i="32"/>
  <c r="E1153" i="32" s="1"/>
  <c r="K1153" i="32"/>
  <c r="L1153" i="32"/>
  <c r="C1154" i="32"/>
  <c r="G1154" i="32"/>
  <c r="H1154" i="32"/>
  <c r="I1154" i="32"/>
  <c r="D1154" i="32" s="1"/>
  <c r="J1154" i="32"/>
  <c r="E1154" i="32"/>
  <c r="K1154" i="32"/>
  <c r="L1154" i="32"/>
  <c r="C1155" i="32"/>
  <c r="G1155" i="32"/>
  <c r="F1155" i="32"/>
  <c r="H1155" i="32"/>
  <c r="I1155" i="32"/>
  <c r="D1155" i="32" s="1"/>
  <c r="J1155" i="32"/>
  <c r="E1155" i="32" s="1"/>
  <c r="K1155" i="32"/>
  <c r="L1155" i="32"/>
  <c r="C1156" i="32"/>
  <c r="G1156" i="32"/>
  <c r="H1156" i="32"/>
  <c r="F1156" i="32" s="1"/>
  <c r="I1156" i="32"/>
  <c r="D1156" i="32" s="1"/>
  <c r="J1156" i="32"/>
  <c r="E1156" i="32" s="1"/>
  <c r="K1156" i="32"/>
  <c r="L1156" i="32"/>
  <c r="C1157" i="32"/>
  <c r="G1157" i="32"/>
  <c r="F1157" i="32" s="1"/>
  <c r="H1157" i="32"/>
  <c r="I1157" i="32"/>
  <c r="D1157" i="32" s="1"/>
  <c r="J1157" i="32"/>
  <c r="E1157" i="32" s="1"/>
  <c r="K1157" i="32"/>
  <c r="L1157" i="32"/>
  <c r="C1158" i="32"/>
  <c r="G1158" i="32"/>
  <c r="H1158" i="32"/>
  <c r="I1158" i="32"/>
  <c r="D1158" i="32" s="1"/>
  <c r="J1158" i="32"/>
  <c r="E1158" i="32" s="1"/>
  <c r="K1158" i="32"/>
  <c r="L1158" i="32"/>
  <c r="C1159" i="32"/>
  <c r="G1159" i="32"/>
  <c r="F1159" i="32" s="1"/>
  <c r="H1159" i="32"/>
  <c r="I1159" i="32"/>
  <c r="D1159" i="32" s="1"/>
  <c r="J1159" i="32"/>
  <c r="E1159" i="32" s="1"/>
  <c r="K1159" i="32"/>
  <c r="L1159" i="32"/>
  <c r="C1160" i="32"/>
  <c r="G1160" i="32"/>
  <c r="H1160" i="32"/>
  <c r="I1160" i="32"/>
  <c r="D1160" i="32" s="1"/>
  <c r="J1160" i="32"/>
  <c r="E1160" i="32"/>
  <c r="K1160" i="32"/>
  <c r="L1160" i="32"/>
  <c r="C1161" i="32"/>
  <c r="G1161" i="32"/>
  <c r="H1161" i="32"/>
  <c r="F1161" i="32" s="1"/>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G1164" i="32"/>
  <c r="H1164" i="32"/>
  <c r="I1164" i="32"/>
  <c r="D1164" i="32" s="1"/>
  <c r="J1164" i="32"/>
  <c r="E1164" i="32" s="1"/>
  <c r="K1164" i="32"/>
  <c r="L1164" i="32"/>
  <c r="C1165" i="32"/>
  <c r="G1165" i="32"/>
  <c r="H1165" i="32"/>
  <c r="F1165" i="32" s="1"/>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c r="K1167" i="32"/>
  <c r="L1167" i="32"/>
  <c r="C1168" i="32"/>
  <c r="G1168" i="32"/>
  <c r="H1168" i="32"/>
  <c r="F1168" i="32" s="1"/>
  <c r="I1168" i="32"/>
  <c r="D1168" i="32" s="1"/>
  <c r="J1168" i="32"/>
  <c r="E1168" i="32" s="1"/>
  <c r="K1168" i="32"/>
  <c r="L1168" i="32"/>
  <c r="C1169" i="32"/>
  <c r="G1169" i="32"/>
  <c r="H1169" i="32"/>
  <c r="I1169" i="32"/>
  <c r="D1169" i="32" s="1"/>
  <c r="J1169" i="32"/>
  <c r="E1169" i="32" s="1"/>
  <c r="K1169" i="32"/>
  <c r="L1169" i="32"/>
  <c r="C1170" i="32"/>
  <c r="G1170" i="32"/>
  <c r="F1170" i="32" s="1"/>
  <c r="H1170" i="32"/>
  <c r="I1170" i="32"/>
  <c r="D1170" i="32" s="1"/>
  <c r="J1170" i="32"/>
  <c r="E1170" i="32" s="1"/>
  <c r="K1170" i="32"/>
  <c r="L1170" i="32"/>
  <c r="C1171" i="32"/>
  <c r="G1171" i="32"/>
  <c r="H1171" i="32"/>
  <c r="F1171" i="32" s="1"/>
  <c r="I1171" i="32"/>
  <c r="D1171" i="32" s="1"/>
  <c r="J1171" i="32"/>
  <c r="E1171" i="32" s="1"/>
  <c r="K1171" i="32"/>
  <c r="L1171" i="32"/>
  <c r="C1172" i="32"/>
  <c r="G1172" i="32"/>
  <c r="H1172" i="32"/>
  <c r="F1172" i="32" s="1"/>
  <c r="I1172" i="32"/>
  <c r="D1172" i="32" s="1"/>
  <c r="J1172" i="32"/>
  <c r="E1172" i="32" s="1"/>
  <c r="K1172" i="32"/>
  <c r="L1172" i="32"/>
  <c r="C1173" i="32"/>
  <c r="G1173" i="32"/>
  <c r="H1173" i="32"/>
  <c r="I1173" i="32"/>
  <c r="D1173" i="32" s="1"/>
  <c r="J1173" i="32"/>
  <c r="E1173" i="32" s="1"/>
  <c r="K1173" i="32"/>
  <c r="L1173" i="32"/>
  <c r="C1174" i="32"/>
  <c r="G1174" i="32"/>
  <c r="F1174" i="32" s="1"/>
  <c r="H1174" i="32"/>
  <c r="I1174" i="32"/>
  <c r="D1174" i="32"/>
  <c r="J1174" i="32"/>
  <c r="E1174" i="32" s="1"/>
  <c r="K1174" i="32"/>
  <c r="L1174" i="32"/>
  <c r="C1175" i="32"/>
  <c r="G1175" i="32"/>
  <c r="F1175" i="32" s="1"/>
  <c r="H1175" i="32"/>
  <c r="I1175" i="32"/>
  <c r="D1175" i="32" s="1"/>
  <c r="J1175" i="32"/>
  <c r="E1175" i="32" s="1"/>
  <c r="K1175" i="32"/>
  <c r="L1175" i="32"/>
  <c r="C1176" i="32"/>
  <c r="G1176" i="32"/>
  <c r="F1176" i="32" s="1"/>
  <c r="H1176" i="32"/>
  <c r="I1176" i="32"/>
  <c r="D1176" i="32" s="1"/>
  <c r="J1176" i="32"/>
  <c r="E1176" i="32"/>
  <c r="K1176" i="32"/>
  <c r="L1176" i="32"/>
  <c r="C1177" i="32"/>
  <c r="D1177" i="32"/>
  <c r="G1177" i="32"/>
  <c r="H1177" i="32"/>
  <c r="I1177" i="32"/>
  <c r="J1177" i="32"/>
  <c r="E1177" i="32" s="1"/>
  <c r="K1177" i="32"/>
  <c r="L1177" i="32"/>
  <c r="C1178" i="32"/>
  <c r="G1178" i="32"/>
  <c r="F1178" i="32" s="1"/>
  <c r="H1178" i="32"/>
  <c r="I1178" i="32"/>
  <c r="D1178" i="32"/>
  <c r="J1178" i="32"/>
  <c r="E1178" i="32" s="1"/>
  <c r="K1178" i="32"/>
  <c r="L1178" i="32"/>
  <c r="C1179" i="32"/>
  <c r="G1179" i="32"/>
  <c r="F1179" i="32" s="1"/>
  <c r="H1179" i="32"/>
  <c r="I1179" i="32"/>
  <c r="D1179" i="32" s="1"/>
  <c r="J1179" i="32"/>
  <c r="E1179" i="32" s="1"/>
  <c r="K1179" i="32"/>
  <c r="L1179" i="32"/>
  <c r="C1180" i="32"/>
  <c r="G1180" i="32"/>
  <c r="F1180" i="32" s="1"/>
  <c r="H1180" i="32"/>
  <c r="I1180" i="32"/>
  <c r="D1180" i="32" s="1"/>
  <c r="J1180" i="32"/>
  <c r="E1180" i="32" s="1"/>
  <c r="K1180" i="32"/>
  <c r="L1180" i="32"/>
  <c r="C1181" i="32"/>
  <c r="G1181" i="32"/>
  <c r="F1181" i="32" s="1"/>
  <c r="H1181" i="32"/>
  <c r="I1181" i="32"/>
  <c r="D1181" i="32" s="1"/>
  <c r="J1181" i="32"/>
  <c r="E1181" i="32" s="1"/>
  <c r="K1181" i="32"/>
  <c r="L1181" i="32"/>
  <c r="C1182" i="32"/>
  <c r="D1182" i="32"/>
  <c r="G1182" i="32"/>
  <c r="F1182" i="32" s="1"/>
  <c r="H1182" i="32"/>
  <c r="I1182" i="32"/>
  <c r="J1182" i="32"/>
  <c r="E1182" i="32" s="1"/>
  <c r="K1182" i="32"/>
  <c r="L1182" i="32"/>
  <c r="C1183" i="32"/>
  <c r="G1183" i="32"/>
  <c r="F1183" i="32" s="1"/>
  <c r="H1183" i="32"/>
  <c r="I1183" i="32"/>
  <c r="D1183" i="32" s="1"/>
  <c r="J1183" i="32"/>
  <c r="E1183" i="32" s="1"/>
  <c r="K1183" i="32"/>
  <c r="L1183" i="32"/>
  <c r="C1184" i="32"/>
  <c r="G1184" i="32"/>
  <c r="H1184" i="32"/>
  <c r="F1184" i="32" s="1"/>
  <c r="I1184" i="32"/>
  <c r="D1184" i="32" s="1"/>
  <c r="J1184" i="32"/>
  <c r="E1184" i="32" s="1"/>
  <c r="K1184" i="32"/>
  <c r="L1184" i="32"/>
  <c r="C1185" i="32"/>
  <c r="G1185" i="32"/>
  <c r="H1185" i="32"/>
  <c r="F1185" i="32" s="1"/>
  <c r="I1185" i="32"/>
  <c r="D1185" i="32" s="1"/>
  <c r="J1185" i="32"/>
  <c r="E1185" i="32" s="1"/>
  <c r="K1185" i="32"/>
  <c r="L1185" i="32"/>
  <c r="C1186" i="32"/>
  <c r="G1186" i="32"/>
  <c r="F1186" i="32" s="1"/>
  <c r="H1186" i="32"/>
  <c r="I1186" i="32"/>
  <c r="D1186" i="32" s="1"/>
  <c r="J1186" i="32"/>
  <c r="E1186" i="32" s="1"/>
  <c r="K1186" i="32"/>
  <c r="L1186" i="32"/>
  <c r="C1187" i="32"/>
  <c r="G1187" i="32"/>
  <c r="F1187" i="32" s="1"/>
  <c r="H1187" i="32"/>
  <c r="I1187" i="32"/>
  <c r="D1187" i="32"/>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F1192" i="32" s="1"/>
  <c r="H1192" i="32"/>
  <c r="I1192" i="32"/>
  <c r="D1192" i="32" s="1"/>
  <c r="J1192" i="32"/>
  <c r="E1192" i="32" s="1"/>
  <c r="K1192" i="32"/>
  <c r="L1192" i="32"/>
  <c r="C1193" i="32"/>
  <c r="G1193" i="32"/>
  <c r="H1193" i="32"/>
  <c r="I1193" i="32"/>
  <c r="D1193" i="32" s="1"/>
  <c r="J1193" i="32"/>
  <c r="E1193" i="32" s="1"/>
  <c r="K1193" i="32"/>
  <c r="L1193" i="32"/>
  <c r="C1194" i="32"/>
  <c r="G1194" i="32"/>
  <c r="F1194" i="32" s="1"/>
  <c r="H1194" i="32"/>
  <c r="I1194" i="32"/>
  <c r="D1194" i="32"/>
  <c r="J1194" i="32"/>
  <c r="E1194" i="32" s="1"/>
  <c r="K1194" i="32"/>
  <c r="L1194" i="32"/>
  <c r="C1195" i="32"/>
  <c r="G1195" i="32"/>
  <c r="H1195" i="32"/>
  <c r="I1195" i="32"/>
  <c r="D1195" i="32" s="1"/>
  <c r="J1195" i="32"/>
  <c r="E1195" i="32" s="1"/>
  <c r="K1195" i="32"/>
  <c r="L1195" i="32"/>
  <c r="C1196" i="32"/>
  <c r="G1196" i="32"/>
  <c r="F1196" i="32" s="1"/>
  <c r="H1196" i="32"/>
  <c r="I1196" i="32"/>
  <c r="D1196" i="32" s="1"/>
  <c r="J1196" i="32"/>
  <c r="E1196" i="32"/>
  <c r="K1196" i="32"/>
  <c r="L1196" i="32"/>
  <c r="C1197" i="32"/>
  <c r="G1197" i="32"/>
  <c r="F1197" i="32" s="1"/>
  <c r="H1197" i="32"/>
  <c r="I1197" i="32"/>
  <c r="D1197" i="32" s="1"/>
  <c r="J1197" i="32"/>
  <c r="E1197" i="32" s="1"/>
  <c r="K1197" i="32"/>
  <c r="L1197" i="32"/>
  <c r="C1198" i="32"/>
  <c r="G1198" i="32"/>
  <c r="F1198" i="32" s="1"/>
  <c r="H1198" i="32"/>
  <c r="I1198" i="32"/>
  <c r="D1198" i="32" s="1"/>
  <c r="J1198" i="32"/>
  <c r="E1198" i="32" s="1"/>
  <c r="K1198" i="32"/>
  <c r="L1198" i="32"/>
  <c r="C1199" i="32"/>
  <c r="G1199" i="32"/>
  <c r="F1199" i="32" s="1"/>
  <c r="H1199" i="32"/>
  <c r="I1199" i="32"/>
  <c r="D1199" i="32" s="1"/>
  <c r="J1199" i="32"/>
  <c r="E1199" i="32"/>
  <c r="K1199" i="32"/>
  <c r="L1199" i="32"/>
  <c r="C1200" i="32"/>
  <c r="G1200" i="32"/>
  <c r="F1200" i="32" s="1"/>
  <c r="H1200" i="32"/>
  <c r="I1200" i="32"/>
  <c r="D1200" i="32" s="1"/>
  <c r="J1200" i="32"/>
  <c r="E1200" i="32"/>
  <c r="K1200" i="32"/>
  <c r="L1200" i="32"/>
  <c r="H79" i="50"/>
  <c r="B1" i="62"/>
  <c r="L63" i="59"/>
  <c r="J79" i="50"/>
  <c r="J63" i="59"/>
  <c r="F1035" i="32"/>
  <c r="F804" i="32"/>
  <c r="F713" i="32"/>
  <c r="F1125" i="32"/>
  <c r="F854" i="32"/>
  <c r="F841" i="32"/>
  <c r="F688" i="32"/>
  <c r="F1158" i="32"/>
  <c r="F1044" i="32"/>
  <c r="F999" i="32"/>
  <c r="F958" i="32"/>
  <c r="F736" i="32"/>
  <c r="F580" i="32"/>
  <c r="F925" i="32"/>
  <c r="F1214" i="32"/>
  <c r="F1167" i="32"/>
  <c r="F1141" i="32"/>
  <c r="F880" i="32"/>
  <c r="F196" i="32"/>
  <c r="F975" i="32"/>
  <c r="F851" i="32"/>
  <c r="F915" i="32"/>
  <c r="F838" i="32"/>
  <c r="F935" i="32"/>
  <c r="F924" i="32"/>
  <c r="F916" i="32"/>
  <c r="F815" i="32"/>
  <c r="F389" i="32"/>
  <c r="F289" i="32"/>
  <c r="F1102" i="32"/>
  <c r="F241" i="32"/>
  <c r="F1169" i="32"/>
  <c r="F1081" i="32"/>
  <c r="F1013" i="32"/>
  <c r="F982" i="32"/>
  <c r="F964" i="32"/>
  <c r="F948" i="32"/>
  <c r="F845" i="32"/>
  <c r="F578" i="32"/>
  <c r="F326" i="32"/>
  <c r="F190" i="32"/>
  <c r="F130" i="32"/>
  <c r="F1242" i="32"/>
  <c r="F347" i="32"/>
  <c r="F843" i="32"/>
  <c r="F610" i="32"/>
  <c r="F524" i="32"/>
  <c r="F718" i="32"/>
  <c r="F914" i="32"/>
  <c r="F640" i="32"/>
  <c r="F837" i="32"/>
  <c r="F618" i="32"/>
  <c r="F451" i="32"/>
  <c r="F277" i="32"/>
  <c r="F259" i="32"/>
  <c r="F238" i="32"/>
  <c r="F166" i="32"/>
  <c r="F1273" i="32"/>
  <c r="F1219" i="32"/>
  <c r="F1146" i="32"/>
  <c r="F1121" i="32"/>
  <c r="F1097" i="32"/>
  <c r="F1089" i="32"/>
  <c r="F973" i="32"/>
  <c r="F963"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087" i="32"/>
  <c r="F1051" i="32"/>
  <c r="F1014" i="32"/>
  <c r="F976" i="32"/>
  <c r="F844" i="32"/>
  <c r="F819" i="32"/>
  <c r="F816" i="32"/>
  <c r="F720" i="32"/>
  <c r="F682" i="32"/>
  <c r="F679" i="32"/>
  <c r="F627" i="32"/>
  <c r="F614" i="32"/>
  <c r="F550" i="32"/>
  <c r="F416" i="32"/>
  <c r="F398" i="32"/>
  <c r="F375" i="32"/>
  <c r="F296" i="32"/>
  <c r="F273" i="32"/>
  <c r="F144" i="32"/>
  <c r="F87" i="32"/>
  <c r="F63" i="32"/>
  <c r="F1254" i="32"/>
  <c r="F1213" i="32"/>
  <c r="F1166" i="32"/>
  <c r="F1153" i="32"/>
  <c r="F1128" i="32"/>
  <c r="F1026" i="32"/>
  <c r="F905" i="32"/>
  <c r="F886" i="32"/>
  <c r="F853" i="32"/>
  <c r="F797" i="32"/>
  <c r="F747" i="32"/>
  <c r="F466" i="32"/>
  <c r="F1293" i="32"/>
  <c r="F1191" i="32"/>
  <c r="F1177" i="32"/>
  <c r="F1099" i="32"/>
  <c r="F1091" i="32"/>
  <c r="F1040" i="32"/>
  <c r="F1037" i="32"/>
  <c r="F1029" i="32"/>
  <c r="F983" i="32"/>
  <c r="F980" i="32"/>
  <c r="F927" i="32"/>
  <c r="F889" i="32"/>
  <c r="F867" i="32"/>
  <c r="F864" i="32"/>
  <c r="F859" i="32"/>
  <c r="F856" i="32"/>
  <c r="F795" i="32"/>
  <c r="F620" i="32"/>
  <c r="F599" i="32"/>
  <c r="F504" i="32"/>
  <c r="F479"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011" i="32"/>
  <c r="F740" i="32"/>
  <c r="F1188" i="32"/>
  <c r="F725" i="32"/>
  <c r="F769" i="32"/>
  <c r="F788" i="32"/>
  <c r="F615" i="32"/>
  <c r="F637" i="32"/>
  <c r="F476" i="32"/>
  <c r="F1119" i="32"/>
  <c r="F1065" i="32"/>
  <c r="F1062"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996" i="32"/>
  <c r="F972" i="32"/>
  <c r="F900" i="32"/>
  <c r="F894" i="32"/>
  <c r="F891" i="32"/>
  <c r="F868" i="32"/>
  <c r="F825" i="32"/>
  <c r="F791" i="32"/>
  <c r="F766" i="32"/>
  <c r="F760" i="32"/>
  <c r="F744" i="32"/>
  <c r="F675" i="32"/>
  <c r="F630" i="32"/>
  <c r="F604" i="32"/>
  <c r="F588" i="32"/>
  <c r="F499" i="32"/>
  <c r="F1059" i="32"/>
  <c r="F993" i="32"/>
  <c r="F984" i="32"/>
  <c r="F978" i="32"/>
  <c r="F969" i="32"/>
  <c r="F954" i="32"/>
  <c r="F897" i="32"/>
  <c r="F700" i="32"/>
  <c r="F668" i="32"/>
  <c r="F1101" i="32"/>
  <c r="F1031" i="32"/>
  <c r="F1095" i="32"/>
  <c r="F1019" i="32"/>
  <c r="F1012" i="32"/>
  <c r="F981" i="32"/>
  <c r="F957" i="32"/>
  <c r="F945" i="32"/>
  <c r="F913" i="32"/>
  <c r="F903" i="32"/>
  <c r="F884" i="32"/>
  <c r="F835" i="32"/>
  <c r="F832" i="32"/>
  <c r="F750" i="32"/>
  <c r="F719" i="32"/>
  <c r="F694" i="32"/>
  <c r="F650" i="32"/>
  <c r="F624" i="32"/>
  <c r="F574" i="32"/>
  <c r="F350" i="32"/>
  <c r="F1237" i="32"/>
  <c r="F1195" i="32"/>
  <c r="F1189" i="32"/>
  <c r="F1129" i="32"/>
  <c r="F1092" i="32"/>
  <c r="F1086" i="32"/>
  <c r="F1082" i="32"/>
  <c r="F1009" i="32"/>
  <c r="F985" i="32"/>
  <c r="F961" i="32"/>
  <c r="F926" i="32"/>
  <c r="F923" i="32"/>
  <c r="F898" i="32"/>
  <c r="F878" i="32"/>
  <c r="F869" i="32"/>
  <c r="F820" i="32"/>
  <c r="F807" i="32"/>
  <c r="F798" i="32"/>
  <c r="F786" i="32"/>
  <c r="F701" i="32"/>
  <c r="F685" i="32"/>
  <c r="F676" i="32"/>
  <c r="F660" i="32"/>
  <c r="F647" i="32"/>
  <c r="F628" i="32"/>
  <c r="F619" i="32"/>
  <c r="F577" i="32"/>
  <c r="F564" i="32"/>
  <c r="F503" i="32"/>
  <c r="F960" i="32"/>
  <c r="F1016" i="32"/>
  <c r="F1124" i="32"/>
  <c r="F1079" i="32"/>
  <c r="F1076" i="32"/>
  <c r="F1042" i="32"/>
  <c r="F1036" i="32"/>
  <c r="F940" i="32"/>
  <c r="F933" i="32"/>
  <c r="F901" i="32"/>
  <c r="F872" i="32"/>
  <c r="F847" i="32"/>
  <c r="F814" i="32"/>
  <c r="F755" i="32"/>
  <c r="F670" i="32"/>
  <c r="F509" i="32"/>
  <c r="F1058" i="32"/>
  <c r="F1055" i="32"/>
  <c r="F1045" i="32"/>
  <c r="F885" i="32"/>
  <c r="F833" i="32"/>
  <c r="F805" i="32"/>
  <c r="F784" i="32"/>
  <c r="F774" i="32"/>
  <c r="F739" i="32"/>
  <c r="F714" i="32"/>
  <c r="F705" i="32"/>
  <c r="F683" i="32"/>
  <c r="F667" i="32"/>
  <c r="F639" i="32"/>
  <c r="F426" i="32"/>
  <c r="F1162" i="32"/>
  <c r="F1150" i="32"/>
  <c r="F1140" i="32"/>
  <c r="F1030" i="32"/>
  <c r="F1010" i="32"/>
  <c r="F995" i="32"/>
  <c r="F992" i="32"/>
  <c r="F989" i="32"/>
  <c r="F977" i="32"/>
  <c r="F971" i="32"/>
  <c r="F968"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846" i="32"/>
  <c r="F824" i="32"/>
  <c r="F693" i="32"/>
  <c r="F654" i="32"/>
  <c r="F1110" i="32"/>
  <c r="F810" i="32"/>
  <c r="F623" i="32"/>
  <c r="F351" i="32"/>
  <c r="F994" i="32"/>
  <c r="F970" i="32"/>
  <c r="F942" i="32"/>
  <c r="F717" i="32"/>
  <c r="F704" i="32"/>
  <c r="F665" i="32"/>
  <c r="F568" i="32"/>
  <c r="F103" i="32"/>
  <c r="F1193" i="32"/>
  <c r="F946" i="32"/>
  <c r="F621" i="32"/>
  <c r="F562"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38" i="32"/>
  <c r="F778" i="32"/>
  <c r="F677" i="32"/>
  <c r="F656" i="32"/>
  <c r="F765" i="32"/>
  <c r="F726" i="32"/>
  <c r="F591" i="32"/>
  <c r="F507" i="32"/>
  <c r="F425" i="32"/>
  <c r="F486" i="32"/>
  <c r="F77" i="32"/>
  <c r="F861" i="32"/>
  <c r="F839" i="32"/>
  <c r="F822" i="32"/>
  <c r="F802" i="32"/>
  <c r="F558" i="32"/>
  <c r="F544" i="32"/>
  <c r="F342" i="32"/>
  <c r="F84" i="32"/>
  <c r="F530" i="32"/>
  <c r="F371" i="32"/>
  <c r="F340" i="32"/>
  <c r="F434" i="32"/>
  <c r="F322" i="32"/>
  <c r="F156" i="32"/>
  <c r="F180" i="32"/>
  <c r="F119" i="32"/>
  <c r="F501" i="32"/>
  <c r="F327" i="32"/>
  <c r="F191" i="32"/>
  <c r="F143" i="32"/>
  <c r="F525" i="32"/>
  <c r="F489" i="32"/>
  <c r="F453" i="32"/>
  <c r="F47" i="32"/>
  <c r="F279" i="32"/>
  <c r="F429" i="32"/>
  <c r="F247" i="32"/>
  <c r="F157" i="32"/>
  <c r="F291" i="32"/>
  <c r="C117" i="46"/>
  <c r="C124" i="56" s="1"/>
  <c r="C116" i="46"/>
  <c r="C123" i="56" s="1"/>
  <c r="C114" i="46"/>
  <c r="C121" i="56" s="1"/>
  <c r="C100" i="46"/>
  <c r="C107" i="56" s="1"/>
  <c r="C99" i="46"/>
  <c r="C106" i="56" s="1"/>
  <c r="C97" i="46"/>
  <c r="C104" i="56" s="1"/>
  <c r="C83" i="46"/>
  <c r="C90" i="56" s="1"/>
  <c r="C82" i="46"/>
  <c r="C89" i="56" s="1"/>
  <c r="C80" i="46"/>
  <c r="C87" i="56" s="1"/>
  <c r="C26" i="50"/>
  <c r="K42" i="56"/>
  <c r="K33" i="56"/>
  <c r="K157" i="56"/>
  <c r="C65" i="46"/>
  <c r="C72" i="56" s="1"/>
  <c r="C64" i="46"/>
  <c r="C71" i="56" s="1"/>
  <c r="C11" i="46"/>
  <c r="E19" i="50"/>
  <c r="C26" i="56"/>
  <c r="B26" i="56"/>
  <c r="B67" i="47"/>
  <c r="C24" i="56"/>
  <c r="B24" i="56"/>
  <c r="B65" i="47"/>
  <c r="C22" i="56"/>
  <c r="B22" i="56"/>
  <c r="B63" i="47"/>
  <c r="C20" i="56"/>
  <c r="B20" i="56"/>
  <c r="B18" i="56"/>
  <c r="B18" i="46"/>
  <c r="B55" i="47" s="1"/>
  <c r="B17" i="56"/>
  <c r="B17" i="46"/>
  <c r="B52" i="47" s="1"/>
  <c r="B16" i="56"/>
  <c r="B16" i="46"/>
  <c r="B51" i="47" s="1"/>
  <c r="B15" i="56"/>
  <c r="B15" i="46"/>
  <c r="B50" i="47" s="1"/>
  <c r="C45" i="46"/>
  <c r="C13" i="56"/>
  <c r="B13" i="56"/>
  <c r="C13" i="46"/>
  <c r="B13" i="46"/>
  <c r="B46" i="47" s="1"/>
  <c r="B12" i="46"/>
  <c r="B45" i="47" s="1"/>
  <c r="C11" i="56"/>
  <c r="B11" i="56"/>
  <c r="B10" i="56"/>
  <c r="B11" i="46"/>
  <c r="B44" i="47" s="1"/>
  <c r="B10" i="46"/>
  <c r="B43" i="47" s="1"/>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F48" i="57"/>
  <c r="E46" i="57"/>
  <c r="D45" i="57"/>
  <c r="D44" i="57"/>
  <c r="V36" i="57"/>
  <c r="E34" i="57"/>
  <c r="F30" i="57"/>
  <c r="V28" i="57"/>
  <c r="F26" i="57"/>
  <c r="V20" i="57"/>
  <c r="E47" i="57"/>
  <c r="F47" i="57"/>
  <c r="D47" i="57"/>
  <c r="E24" i="57"/>
  <c r="E25" i="57"/>
  <c r="E29" i="57"/>
  <c r="D28" i="57"/>
  <c r="D38" i="57"/>
  <c r="F42" i="57"/>
  <c r="D43" i="57"/>
  <c r="F43" i="57"/>
  <c r="D46" i="57"/>
  <c r="F24" i="57"/>
  <c r="E21" i="57"/>
  <c r="F21" i="57"/>
  <c r="D21" i="57"/>
  <c r="D42" i="57"/>
  <c r="F24" i="50"/>
  <c r="G24" i="50" s="1"/>
  <c r="H24" i="50" s="1"/>
  <c r="I24" i="50" s="1"/>
  <c r="J24" i="50"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c r="F1723" i="32"/>
  <c r="B1" i="56"/>
  <c r="B1" i="46"/>
  <c r="B1" i="42"/>
  <c r="B1" i="47"/>
  <c r="C6" i="47"/>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c r="B14" i="46"/>
  <c r="B47" i="47" s="1"/>
  <c r="B25" i="56"/>
  <c r="B23" i="56"/>
  <c r="B19" i="56"/>
  <c r="B66" i="47"/>
  <c r="B64" i="47"/>
  <c r="B62" i="47"/>
  <c r="E6" i="47"/>
  <c r="F6" i="47"/>
  <c r="G6" i="47"/>
  <c r="H6" i="47"/>
  <c r="D6" i="47"/>
  <c r="F25" i="50"/>
  <c r="G25" i="50" s="1"/>
  <c r="H25" i="50" s="1"/>
  <c r="I25" i="50" s="1"/>
  <c r="J25" i="50" s="1"/>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c r="I1381" i="32"/>
  <c r="D1381" i="32"/>
  <c r="H1381" i="32"/>
  <c r="G1381" i="32"/>
  <c r="G1377" i="32"/>
  <c r="H1377" i="32"/>
  <c r="I1377" i="32"/>
  <c r="J1377" i="32"/>
  <c r="K1377" i="32"/>
  <c r="L1377" i="32"/>
  <c r="G1378" i="32"/>
  <c r="H1378" i="32"/>
  <c r="I1378" i="32"/>
  <c r="J1378" i="32"/>
  <c r="K1378" i="32"/>
  <c r="L1378" i="32"/>
  <c r="L1693" i="32"/>
  <c r="K1693" i="32"/>
  <c r="J1693" i="32"/>
  <c r="E1693" i="32"/>
  <c r="I1693" i="32"/>
  <c r="D1693" i="32"/>
  <c r="H1693" i="32"/>
  <c r="G1693" i="32"/>
  <c r="C1693" i="32"/>
  <c r="C1377" i="32"/>
  <c r="C1378" i="32"/>
  <c r="G1710" i="32"/>
  <c r="H1710" i="32"/>
  <c r="I1710" i="32"/>
  <c r="D1710" i="32"/>
  <c r="J1710" i="32"/>
  <c r="E1710" i="32"/>
  <c r="K1710" i="32"/>
  <c r="L1710" i="32"/>
  <c r="G1700" i="32"/>
  <c r="H1700" i="32"/>
  <c r="I1700" i="32"/>
  <c r="J1700" i="32"/>
  <c r="K1700" i="32"/>
  <c r="L1700" i="32"/>
  <c r="G1701" i="32"/>
  <c r="H1701" i="32"/>
  <c r="I1701" i="32"/>
  <c r="D1701" i="32"/>
  <c r="J1701" i="32"/>
  <c r="E1701" i="32"/>
  <c r="K1701" i="32"/>
  <c r="L1701" i="32"/>
  <c r="G1702" i="32"/>
  <c r="H1702" i="32"/>
  <c r="I1702" i="32"/>
  <c r="D1702" i="32"/>
  <c r="J1702" i="32"/>
  <c r="E1702" i="32"/>
  <c r="K1702" i="32"/>
  <c r="L1702" i="32"/>
  <c r="G1703" i="32"/>
  <c r="H1703" i="32"/>
  <c r="I1703" i="32"/>
  <c r="D1703" i="32"/>
  <c r="J1703" i="32"/>
  <c r="E1703" i="32"/>
  <c r="K1703" i="32"/>
  <c r="L1703" i="32"/>
  <c r="G1704" i="32"/>
  <c r="H1704" i="32"/>
  <c r="I1704" i="32"/>
  <c r="D1704" i="32"/>
  <c r="J1704" i="32"/>
  <c r="E1704" i="32"/>
  <c r="K1704" i="32"/>
  <c r="L1704" i="32"/>
  <c r="G1705" i="32"/>
  <c r="H1705" i="32"/>
  <c r="I1705" i="32"/>
  <c r="D1705" i="32"/>
  <c r="J1705" i="32"/>
  <c r="E1705" i="32"/>
  <c r="K1705" i="32"/>
  <c r="L1705" i="32"/>
  <c r="G1706" i="32"/>
  <c r="H1706" i="32"/>
  <c r="I1706" i="32"/>
  <c r="D1706" i="32"/>
  <c r="J1706" i="32"/>
  <c r="E1706" i="32"/>
  <c r="K1706" i="32"/>
  <c r="L1706" i="32"/>
  <c r="G1707" i="32"/>
  <c r="H1707" i="32"/>
  <c r="I1707" i="32"/>
  <c r="D1707" i="32"/>
  <c r="J1707" i="32"/>
  <c r="E1707" i="32"/>
  <c r="K1707" i="32"/>
  <c r="L1707" i="32"/>
  <c r="G1708" i="32"/>
  <c r="H1708" i="32"/>
  <c r="I1708" i="32"/>
  <c r="D1708" i="32"/>
  <c r="J1708" i="32"/>
  <c r="E1708" i="32"/>
  <c r="K1708" i="32"/>
  <c r="L1708" i="32"/>
  <c r="G1709" i="32"/>
  <c r="H1709" i="32"/>
  <c r="I1709" i="32"/>
  <c r="D1709" i="32"/>
  <c r="J1709" i="32"/>
  <c r="E1709" i="32"/>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c r="J1681" i="32"/>
  <c r="E1681" i="32"/>
  <c r="K1681" i="32"/>
  <c r="L1681" i="32"/>
  <c r="G1682" i="32"/>
  <c r="H1682" i="32"/>
  <c r="I1682" i="32"/>
  <c r="D1682" i="32"/>
  <c r="J1682" i="32"/>
  <c r="E1682" i="32"/>
  <c r="K1682" i="32"/>
  <c r="L1682" i="32"/>
  <c r="G1683" i="32"/>
  <c r="H1683" i="32"/>
  <c r="I1683" i="32"/>
  <c r="D1683" i="32"/>
  <c r="J1683" i="32"/>
  <c r="E1683" i="32"/>
  <c r="K1683" i="32"/>
  <c r="L1683" i="32"/>
  <c r="G1684" i="32"/>
  <c r="H1684" i="32"/>
  <c r="I1684" i="32"/>
  <c r="D1684" i="32"/>
  <c r="J1684" i="32"/>
  <c r="E1684" i="32"/>
  <c r="K1684" i="32"/>
  <c r="L1684" i="32"/>
  <c r="G1685" i="32"/>
  <c r="H1685" i="32"/>
  <c r="I1685" i="32"/>
  <c r="D1685" i="32"/>
  <c r="J1685" i="32"/>
  <c r="E1685" i="32"/>
  <c r="K1685" i="32"/>
  <c r="L1685" i="32"/>
  <c r="G1686" i="32"/>
  <c r="H1686" i="32"/>
  <c r="I1686" i="32"/>
  <c r="D1686" i="32"/>
  <c r="J1686" i="32"/>
  <c r="E1686" i="32"/>
  <c r="K1686" i="32"/>
  <c r="L1686" i="32"/>
  <c r="G1687" i="32"/>
  <c r="H1687" i="32"/>
  <c r="I1687" i="32"/>
  <c r="D1687" i="32"/>
  <c r="J1687" i="32"/>
  <c r="E1687" i="32"/>
  <c r="K1687" i="32"/>
  <c r="L1687" i="32"/>
  <c r="G1688" i="32"/>
  <c r="H1688" i="32"/>
  <c r="I1688" i="32"/>
  <c r="D1688" i="32"/>
  <c r="J1688" i="32"/>
  <c r="E1688" i="32"/>
  <c r="K1688" i="32"/>
  <c r="L1688" i="32"/>
  <c r="G1689" i="32"/>
  <c r="H1689" i="32"/>
  <c r="I1689" i="32"/>
  <c r="D1689" i="32"/>
  <c r="J1689" i="32"/>
  <c r="E1689" i="32"/>
  <c r="K1689" i="32"/>
  <c r="L1689" i="32"/>
  <c r="G1690" i="32"/>
  <c r="H1690" i="32"/>
  <c r="I1690" i="32"/>
  <c r="D1690" i="32"/>
  <c r="J1690" i="32"/>
  <c r="E1690" i="32"/>
  <c r="K1690" i="32"/>
  <c r="L1690" i="32"/>
  <c r="G1691" i="32"/>
  <c r="H1691" i="32"/>
  <c r="I1691" i="32"/>
  <c r="D1691" i="32"/>
  <c r="J1691" i="32"/>
  <c r="E1691" i="32"/>
  <c r="K1691" i="32"/>
  <c r="L1691" i="32"/>
  <c r="G1692" i="32"/>
  <c r="H1692" i="32"/>
  <c r="I1692" i="32"/>
  <c r="D1692" i="32"/>
  <c r="J1692" i="32"/>
  <c r="E1692" i="32"/>
  <c r="K1692" i="32"/>
  <c r="L1692" i="32"/>
  <c r="G1694" i="32"/>
  <c r="H1694" i="32"/>
  <c r="I1694" i="32"/>
  <c r="D1694" i="32"/>
  <c r="J1694" i="32"/>
  <c r="E1694" i="32"/>
  <c r="K1694" i="32"/>
  <c r="L1694" i="32"/>
  <c r="G1695" i="32"/>
  <c r="H1695" i="32"/>
  <c r="I1695" i="32"/>
  <c r="D1695" i="32"/>
  <c r="J1695" i="32"/>
  <c r="E1695" i="32"/>
  <c r="K1695" i="32"/>
  <c r="L1695" i="32"/>
  <c r="G1696" i="32"/>
  <c r="H1696" i="32"/>
  <c r="I1696" i="32"/>
  <c r="D1696" i="32"/>
  <c r="J1696" i="32"/>
  <c r="E1696" i="32"/>
  <c r="K1696" i="32"/>
  <c r="L1696" i="32"/>
  <c r="G1697" i="32"/>
  <c r="H1697" i="32"/>
  <c r="I1697" i="32"/>
  <c r="D1697" i="32"/>
  <c r="J1697" i="32"/>
  <c r="E1697" i="32"/>
  <c r="K1697" i="32"/>
  <c r="L1697" i="32"/>
  <c r="G1698" i="32"/>
  <c r="H1698" i="32"/>
  <c r="I1698" i="32"/>
  <c r="D1698" i="32"/>
  <c r="J1698" i="32"/>
  <c r="E1698" i="32"/>
  <c r="K1698" i="32"/>
  <c r="L1698" i="32"/>
  <c r="L1313" i="32"/>
  <c r="K1313" i="32"/>
  <c r="J1313" i="32"/>
  <c r="E1313" i="32" s="1"/>
  <c r="I1313" i="32"/>
  <c r="D1313" i="32" s="1"/>
  <c r="H1313" i="32"/>
  <c r="F1313" i="32" s="1"/>
  <c r="G1313" i="32"/>
  <c r="C1313" i="32"/>
  <c r="L1312" i="32"/>
  <c r="K1312" i="32"/>
  <c r="J1312" i="32"/>
  <c r="E1312" i="32" s="1"/>
  <c r="I1312" i="32"/>
  <c r="D1312" i="32" s="1"/>
  <c r="H1312" i="32"/>
  <c r="G1312" i="32"/>
  <c r="F1312" i="32" s="1"/>
  <c r="C1312" i="32"/>
  <c r="L1311" i="32"/>
  <c r="K1311" i="32"/>
  <c r="J1311" i="32"/>
  <c r="E1311" i="32" s="1"/>
  <c r="I1311" i="32"/>
  <c r="D1311" i="32" s="1"/>
  <c r="H1311" i="32"/>
  <c r="G1311" i="32"/>
  <c r="F1311" i="32" s="1"/>
  <c r="C1311" i="32"/>
  <c r="L1310" i="32"/>
  <c r="K1310" i="32"/>
  <c r="J1310" i="32"/>
  <c r="E1310" i="32" s="1"/>
  <c r="I1310" i="32"/>
  <c r="D1310" i="32" s="1"/>
  <c r="H1310" i="32"/>
  <c r="G1310" i="32"/>
  <c r="F1310" i="32" s="1"/>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F1302" i="32" s="1"/>
  <c r="G1302" i="32"/>
  <c r="C1302" i="32"/>
  <c r="L1301" i="32"/>
  <c r="K1301" i="32"/>
  <c r="J1301" i="32"/>
  <c r="E1301" i="32"/>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F1297" i="32" s="1"/>
  <c r="C1297" i="32"/>
  <c r="L1296" i="32"/>
  <c r="K1296" i="32"/>
  <c r="J1296" i="32"/>
  <c r="E1296" i="32" s="1"/>
  <c r="I1296" i="32"/>
  <c r="D1296" i="32" s="1"/>
  <c r="H1296" i="32"/>
  <c r="G1296" i="32"/>
  <c r="C1296" i="32"/>
  <c r="L43" i="32"/>
  <c r="K43" i="32"/>
  <c r="J43" i="32"/>
  <c r="E43" i="32" s="1"/>
  <c r="I43" i="32"/>
  <c r="D43" i="32" s="1"/>
  <c r="H43" i="32"/>
  <c r="G43" i="32"/>
  <c r="F43" i="32" s="1"/>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F40" i="32" s="1"/>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F36" i="32" s="1"/>
  <c r="C36" i="32"/>
  <c r="L35" i="32"/>
  <c r="K35" i="32"/>
  <c r="J35" i="32"/>
  <c r="E35" i="32" s="1"/>
  <c r="I35" i="32"/>
  <c r="D35" i="32" s="1"/>
  <c r="H35" i="32"/>
  <c r="G35" i="32"/>
  <c r="C35" i="32"/>
  <c r="L34" i="32"/>
  <c r="K34" i="32"/>
  <c r="J34" i="32"/>
  <c r="E34" i="32" s="1"/>
  <c r="I34" i="32"/>
  <c r="D34" i="32" s="1"/>
  <c r="H34" i="32"/>
  <c r="F34" i="32" s="1"/>
  <c r="G34" i="32"/>
  <c r="C34" i="32"/>
  <c r="L33" i="32"/>
  <c r="K33" i="32"/>
  <c r="J33" i="32"/>
  <c r="E33" i="32" s="1"/>
  <c r="I33" i="32"/>
  <c r="D33" i="32" s="1"/>
  <c r="H33" i="32"/>
  <c r="F33" i="32" s="1"/>
  <c r="G33" i="32"/>
  <c r="C33" i="32"/>
  <c r="L32" i="32"/>
  <c r="L1314" i="32" s="1"/>
  <c r="K32" i="32"/>
  <c r="J32" i="32"/>
  <c r="E32" i="32" s="1"/>
  <c r="I32" i="32"/>
  <c r="D32" i="32" s="1"/>
  <c r="H32" i="32"/>
  <c r="G32" i="32"/>
  <c r="F32" i="32" s="1"/>
  <c r="C32" i="32"/>
  <c r="L31" i="32"/>
  <c r="K31" i="32"/>
  <c r="J31" i="32"/>
  <c r="E31" i="32" s="1"/>
  <c r="I31" i="32"/>
  <c r="D31" i="32" s="1"/>
  <c r="H31" i="32"/>
  <c r="G31" i="32"/>
  <c r="F31" i="32" s="1"/>
  <c r="C31" i="32"/>
  <c r="L30" i="32"/>
  <c r="K30" i="32"/>
  <c r="J30" i="32"/>
  <c r="E30" i="32" s="1"/>
  <c r="I30" i="32"/>
  <c r="D30" i="32"/>
  <c r="H30" i="32"/>
  <c r="H1314" i="32" s="1"/>
  <c r="G30" i="32"/>
  <c r="C30" i="32"/>
  <c r="K29" i="32"/>
  <c r="J29" i="32"/>
  <c r="E29" i="32" s="1"/>
  <c r="I29" i="32"/>
  <c r="D29" i="32" s="1"/>
  <c r="H29" i="32"/>
  <c r="G29" i="32"/>
  <c r="G1314" i="32" s="1"/>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c r="I1680" i="32"/>
  <c r="D1680" i="32"/>
  <c r="H1680" i="32"/>
  <c r="G1680" i="32"/>
  <c r="L1679" i="32"/>
  <c r="K1679" i="32"/>
  <c r="J1679" i="32"/>
  <c r="E1679" i="32"/>
  <c r="I1679" i="32"/>
  <c r="D1679" i="32"/>
  <c r="H1679" i="32"/>
  <c r="G1679" i="32"/>
  <c r="L1678" i="32"/>
  <c r="K1678" i="32"/>
  <c r="J1678" i="32"/>
  <c r="E1678" i="32"/>
  <c r="I1678" i="32"/>
  <c r="D1678" i="32"/>
  <c r="H1678" i="32"/>
  <c r="G1678" i="32"/>
  <c r="L1677" i="32"/>
  <c r="K1677" i="32"/>
  <c r="J1677" i="32"/>
  <c r="E1677" i="32"/>
  <c r="I1677" i="32"/>
  <c r="D1677" i="32"/>
  <c r="H1677" i="32"/>
  <c r="G1677" i="32"/>
  <c r="L1675" i="32"/>
  <c r="K1675" i="32"/>
  <c r="J1675" i="32"/>
  <c r="E1675" i="32"/>
  <c r="I1675" i="32"/>
  <c r="D1675" i="32"/>
  <c r="H1675" i="32"/>
  <c r="G1675" i="32"/>
  <c r="L1674" i="32"/>
  <c r="K1674" i="32"/>
  <c r="J1674" i="32"/>
  <c r="E1674" i="32"/>
  <c r="I1674" i="32"/>
  <c r="D1674" i="32"/>
  <c r="H1674" i="32"/>
  <c r="G1674" i="32"/>
  <c r="L1673" i="32"/>
  <c r="K1673" i="32"/>
  <c r="J1673" i="32"/>
  <c r="E1673" i="32"/>
  <c r="I1673" i="32"/>
  <c r="D1673" i="32"/>
  <c r="H1673" i="32"/>
  <c r="G1673" i="32"/>
  <c r="L1672" i="32"/>
  <c r="K1672" i="32"/>
  <c r="J1672" i="32"/>
  <c r="E1672" i="32"/>
  <c r="I1672" i="32"/>
  <c r="D1672" i="32"/>
  <c r="H1672" i="32"/>
  <c r="G1672" i="32"/>
  <c r="L1671" i="32"/>
  <c r="K1671" i="32"/>
  <c r="J1671" i="32"/>
  <c r="E1671" i="32"/>
  <c r="I1671" i="32"/>
  <c r="D1671" i="32"/>
  <c r="H1671" i="32"/>
  <c r="G1671" i="32"/>
  <c r="L1670" i="32"/>
  <c r="K1670" i="32"/>
  <c r="J1670" i="32"/>
  <c r="E1670" i="32"/>
  <c r="I1670" i="32"/>
  <c r="D1670" i="32"/>
  <c r="H1670" i="32"/>
  <c r="G1670" i="32"/>
  <c r="L1669" i="32"/>
  <c r="K1669" i="32"/>
  <c r="J1669" i="32"/>
  <c r="E1669" i="32"/>
  <c r="I1669" i="32"/>
  <c r="D1669" i="32"/>
  <c r="H1669" i="32"/>
  <c r="G1669" i="32"/>
  <c r="L1668" i="32"/>
  <c r="K1668" i="32"/>
  <c r="J1668" i="32"/>
  <c r="E1668" i="32"/>
  <c r="I1668" i="32"/>
  <c r="D1668" i="32"/>
  <c r="H1668" i="32"/>
  <c r="G1668" i="32"/>
  <c r="L1667" i="32"/>
  <c r="K1667" i="32"/>
  <c r="J1667" i="32"/>
  <c r="E1667" i="32"/>
  <c r="I1667" i="32"/>
  <c r="D1667" i="32"/>
  <c r="H1667" i="32"/>
  <c r="G1667" i="32"/>
  <c r="L1666" i="32"/>
  <c r="K1666" i="32"/>
  <c r="J1666" i="32"/>
  <c r="E1666" i="32"/>
  <c r="I1666" i="32"/>
  <c r="D1666" i="32"/>
  <c r="H1666" i="32"/>
  <c r="G1666" i="32"/>
  <c r="L1665" i="32"/>
  <c r="K1665" i="32"/>
  <c r="J1665" i="32"/>
  <c r="E1665" i="32"/>
  <c r="I1665" i="32"/>
  <c r="D1665" i="32"/>
  <c r="H1665" i="32"/>
  <c r="G1665" i="32"/>
  <c r="L1664" i="32"/>
  <c r="K1664" i="32"/>
  <c r="J1664" i="32"/>
  <c r="E1664" i="32"/>
  <c r="I1664" i="32"/>
  <c r="D1664" i="32"/>
  <c r="H1664" i="32"/>
  <c r="G1664" i="32"/>
  <c r="L1663" i="32"/>
  <c r="K1663" i="32"/>
  <c r="J1663" i="32"/>
  <c r="E1663" i="32"/>
  <c r="I1663" i="32"/>
  <c r="D1663" i="32"/>
  <c r="H1663" i="32"/>
  <c r="G1663" i="32"/>
  <c r="L1662" i="32"/>
  <c r="K1662" i="32"/>
  <c r="J1662" i="32"/>
  <c r="E1662" i="32"/>
  <c r="I1662" i="32"/>
  <c r="D1662" i="32"/>
  <c r="H1662" i="32"/>
  <c r="G1662" i="32"/>
  <c r="L1661" i="32"/>
  <c r="K1661" i="32"/>
  <c r="J1661" i="32"/>
  <c r="E1661" i="32"/>
  <c r="I1661" i="32"/>
  <c r="D1661" i="32"/>
  <c r="H1661" i="32"/>
  <c r="G1661" i="32"/>
  <c r="L1660" i="32"/>
  <c r="K1660" i="32"/>
  <c r="J1660" i="32"/>
  <c r="E1660" i="32"/>
  <c r="I1660" i="32"/>
  <c r="D1660" i="32"/>
  <c r="H1660" i="32"/>
  <c r="G1660" i="32"/>
  <c r="L1659" i="32"/>
  <c r="K1659" i="32"/>
  <c r="J1659" i="32"/>
  <c r="E1659" i="32"/>
  <c r="I1659" i="32"/>
  <c r="D1659" i="32"/>
  <c r="H1659" i="32"/>
  <c r="G1659" i="32"/>
  <c r="L1658" i="32"/>
  <c r="K1658" i="32"/>
  <c r="J1658" i="32"/>
  <c r="E1658" i="32"/>
  <c r="I1658" i="32"/>
  <c r="D1658" i="32"/>
  <c r="H1658" i="32"/>
  <c r="G1658" i="32"/>
  <c r="L1657" i="32"/>
  <c r="K1657" i="32"/>
  <c r="J1657" i="32"/>
  <c r="E1657" i="32"/>
  <c r="I1657" i="32"/>
  <c r="D1657" i="32"/>
  <c r="H1657" i="32"/>
  <c r="G1657" i="32"/>
  <c r="L1656" i="32"/>
  <c r="K1656" i="32"/>
  <c r="J1656" i="32"/>
  <c r="E1656" i="32"/>
  <c r="I1656" i="32"/>
  <c r="D1656" i="32"/>
  <c r="H1656" i="32"/>
  <c r="G1656" i="32"/>
  <c r="L1655" i="32"/>
  <c r="K1655" i="32"/>
  <c r="J1655" i="32"/>
  <c r="E1655" i="32"/>
  <c r="I1655" i="32"/>
  <c r="D1655" i="32"/>
  <c r="H1655" i="32"/>
  <c r="G1655" i="32"/>
  <c r="L1654" i="32"/>
  <c r="K1654" i="32"/>
  <c r="J1654" i="32"/>
  <c r="E1654" i="32"/>
  <c r="I1654" i="32"/>
  <c r="D1654" i="32"/>
  <c r="H1654" i="32"/>
  <c r="G1654" i="32"/>
  <c r="L1653" i="32"/>
  <c r="K1653" i="32"/>
  <c r="J1653" i="32"/>
  <c r="E1653" i="32"/>
  <c r="I1653" i="32"/>
  <c r="D1653" i="32"/>
  <c r="H1653" i="32"/>
  <c r="G1653" i="32"/>
  <c r="L1652" i="32"/>
  <c r="K1652" i="32"/>
  <c r="J1652" i="32"/>
  <c r="E1652" i="32"/>
  <c r="I1652" i="32"/>
  <c r="D1652" i="32"/>
  <c r="H1652" i="32"/>
  <c r="G1652" i="32"/>
  <c r="L1651" i="32"/>
  <c r="K1651" i="32"/>
  <c r="J1651" i="32"/>
  <c r="E1651" i="32"/>
  <c r="I1651" i="32"/>
  <c r="D1651" i="32"/>
  <c r="H1651" i="32"/>
  <c r="G1651" i="32"/>
  <c r="L1650" i="32"/>
  <c r="K1650" i="32"/>
  <c r="J1650" i="32"/>
  <c r="E1650" i="32"/>
  <c r="I1650" i="32"/>
  <c r="D1650" i="32"/>
  <c r="H1650" i="32"/>
  <c r="G1650" i="32"/>
  <c r="L1649" i="32"/>
  <c r="K1649" i="32"/>
  <c r="J1649" i="32"/>
  <c r="E1649" i="32"/>
  <c r="I1649" i="32"/>
  <c r="D1649" i="32"/>
  <c r="H1649" i="32"/>
  <c r="G1649" i="32"/>
  <c r="L1648" i="32"/>
  <c r="K1648" i="32"/>
  <c r="J1648" i="32"/>
  <c r="E1648" i="32"/>
  <c r="I1648" i="32"/>
  <c r="D1648" i="32"/>
  <c r="H1648" i="32"/>
  <c r="G1648" i="32"/>
  <c r="L1647" i="32"/>
  <c r="K1647" i="32"/>
  <c r="J1647" i="32"/>
  <c r="E1647" i="32"/>
  <c r="I1647" i="32"/>
  <c r="D1647" i="32"/>
  <c r="H1647" i="32"/>
  <c r="G1647" i="32"/>
  <c r="L1646" i="32"/>
  <c r="K1646" i="32"/>
  <c r="J1646" i="32"/>
  <c r="E1646" i="32"/>
  <c r="I1646" i="32"/>
  <c r="D1646" i="32"/>
  <c r="H1646" i="32"/>
  <c r="G1646" i="32"/>
  <c r="L1645" i="32"/>
  <c r="K1645" i="32"/>
  <c r="J1645" i="32"/>
  <c r="E1645" i="32"/>
  <c r="I1645" i="32"/>
  <c r="D1645" i="32"/>
  <c r="H1645" i="32"/>
  <c r="G1645" i="32"/>
  <c r="L1644" i="32"/>
  <c r="K1644" i="32"/>
  <c r="J1644" i="32"/>
  <c r="E1644" i="32"/>
  <c r="I1644" i="32"/>
  <c r="D1644" i="32"/>
  <c r="H1644" i="32"/>
  <c r="G1644" i="32"/>
  <c r="L1643" i="32"/>
  <c r="K1643" i="32"/>
  <c r="J1643" i="32"/>
  <c r="E1643" i="32"/>
  <c r="I1643" i="32"/>
  <c r="D1643" i="32"/>
  <c r="H1643" i="32"/>
  <c r="G1643" i="32"/>
  <c r="L1642" i="32"/>
  <c r="K1642" i="32"/>
  <c r="J1642" i="32"/>
  <c r="E1642" i="32"/>
  <c r="I1642" i="32"/>
  <c r="D1642" i="32"/>
  <c r="H1642" i="32"/>
  <c r="G1642" i="32"/>
  <c r="L1641" i="32"/>
  <c r="K1641" i="32"/>
  <c r="J1641" i="32"/>
  <c r="E1641" i="32"/>
  <c r="I1641" i="32"/>
  <c r="D1641" i="32"/>
  <c r="H1641" i="32"/>
  <c r="G1641" i="32"/>
  <c r="L1640" i="32"/>
  <c r="K1640" i="32"/>
  <c r="J1640" i="32"/>
  <c r="E1640" i="32"/>
  <c r="I1640" i="32"/>
  <c r="D1640" i="32"/>
  <c r="H1640" i="32"/>
  <c r="G1640" i="32"/>
  <c r="L1639" i="32"/>
  <c r="K1639" i="32"/>
  <c r="J1639" i="32"/>
  <c r="E1639" i="32"/>
  <c r="I1639" i="32"/>
  <c r="D1639" i="32"/>
  <c r="H1639" i="32"/>
  <c r="G1639" i="32"/>
  <c r="L1638" i="32"/>
  <c r="K1638" i="32"/>
  <c r="J1638" i="32"/>
  <c r="E1638" i="32"/>
  <c r="I1638" i="32"/>
  <c r="D1638" i="32"/>
  <c r="H1638" i="32"/>
  <c r="G1638" i="32"/>
  <c r="L1637" i="32"/>
  <c r="K1637" i="32"/>
  <c r="J1637" i="32"/>
  <c r="E1637" i="32"/>
  <c r="I1637" i="32"/>
  <c r="D1637" i="32"/>
  <c r="H1637" i="32"/>
  <c r="G1637" i="32"/>
  <c r="L1636" i="32"/>
  <c r="K1636" i="32"/>
  <c r="J1636" i="32"/>
  <c r="E1636" i="32"/>
  <c r="I1636" i="32"/>
  <c r="D1636" i="32"/>
  <c r="H1636" i="32"/>
  <c r="G1636" i="32"/>
  <c r="L1635" i="32"/>
  <c r="K1635" i="32"/>
  <c r="J1635" i="32"/>
  <c r="E1635" i="32"/>
  <c r="I1635" i="32"/>
  <c r="D1635" i="32"/>
  <c r="H1635" i="32"/>
  <c r="G1635" i="32"/>
  <c r="L1634" i="32"/>
  <c r="K1634" i="32"/>
  <c r="J1634" i="32"/>
  <c r="E1634" i="32"/>
  <c r="I1634" i="32"/>
  <c r="D1634" i="32"/>
  <c r="H1634" i="32"/>
  <c r="G1634" i="32"/>
  <c r="L1633" i="32"/>
  <c r="K1633" i="32"/>
  <c r="J1633" i="32"/>
  <c r="E1633" i="32"/>
  <c r="I1633" i="32"/>
  <c r="D1633" i="32"/>
  <c r="H1633" i="32"/>
  <c r="G1633" i="32"/>
  <c r="L1632" i="32"/>
  <c r="K1632" i="32"/>
  <c r="J1632" i="32"/>
  <c r="E1632" i="32"/>
  <c r="I1632" i="32"/>
  <c r="D1632" i="32"/>
  <c r="H1632" i="32"/>
  <c r="G1632" i="32"/>
  <c r="L1631" i="32"/>
  <c r="K1631" i="32"/>
  <c r="J1631" i="32"/>
  <c r="E1631" i="32"/>
  <c r="I1631" i="32"/>
  <c r="D1631" i="32"/>
  <c r="H1631" i="32"/>
  <c r="G1631" i="32"/>
  <c r="L1630" i="32"/>
  <c r="K1630" i="32"/>
  <c r="J1630" i="32"/>
  <c r="E1630" i="32"/>
  <c r="I1630" i="32"/>
  <c r="D1630" i="32"/>
  <c r="H1630" i="32"/>
  <c r="G1630" i="32"/>
  <c r="L1629" i="32"/>
  <c r="K1629" i="32"/>
  <c r="J1629" i="32"/>
  <c r="E1629" i="32"/>
  <c r="I1629" i="32"/>
  <c r="D1629" i="32"/>
  <c r="H1629" i="32"/>
  <c r="G1629" i="32"/>
  <c r="L1628" i="32"/>
  <c r="K1628" i="32"/>
  <c r="J1628" i="32"/>
  <c r="E1628" i="32"/>
  <c r="I1628" i="32"/>
  <c r="D1628" i="32"/>
  <c r="H1628" i="32"/>
  <c r="G1628" i="32"/>
  <c r="L1627" i="32"/>
  <c r="K1627" i="32"/>
  <c r="J1627" i="32"/>
  <c r="E1627" i="32"/>
  <c r="I1627" i="32"/>
  <c r="D1627" i="32"/>
  <c r="H1627" i="32"/>
  <c r="G1627" i="32"/>
  <c r="L1626" i="32"/>
  <c r="K1626" i="32"/>
  <c r="J1626" i="32"/>
  <c r="E1626" i="32"/>
  <c r="I1626" i="32"/>
  <c r="D1626" i="32"/>
  <c r="H1626" i="32"/>
  <c r="G1626" i="32"/>
  <c r="L1625" i="32"/>
  <c r="K1625" i="32"/>
  <c r="J1625" i="32"/>
  <c r="E1625" i="32"/>
  <c r="I1625" i="32"/>
  <c r="D1625" i="32"/>
  <c r="H1625" i="32"/>
  <c r="G1625" i="32"/>
  <c r="L1624" i="32"/>
  <c r="K1624" i="32"/>
  <c r="J1624" i="32"/>
  <c r="E1624" i="32"/>
  <c r="I1624" i="32"/>
  <c r="D1624" i="32"/>
  <c r="H1624" i="32"/>
  <c r="G1624" i="32"/>
  <c r="L1623" i="32"/>
  <c r="K1623" i="32"/>
  <c r="J1623" i="32"/>
  <c r="E1623" i="32"/>
  <c r="I1623" i="32"/>
  <c r="D1623" i="32"/>
  <c r="H1623" i="32"/>
  <c r="G1623" i="32"/>
  <c r="L1622" i="32"/>
  <c r="K1622" i="32"/>
  <c r="J1622" i="32"/>
  <c r="E1622" i="32"/>
  <c r="I1622" i="32"/>
  <c r="D1622" i="32"/>
  <c r="H1622" i="32"/>
  <c r="G1622" i="32"/>
  <c r="L1621" i="32"/>
  <c r="K1621" i="32"/>
  <c r="J1621" i="32"/>
  <c r="E1621" i="32"/>
  <c r="I1621" i="32"/>
  <c r="D1621" i="32"/>
  <c r="H1621" i="32"/>
  <c r="G1621" i="32"/>
  <c r="L1620" i="32"/>
  <c r="K1620" i="32"/>
  <c r="J1620" i="32"/>
  <c r="E1620" i="32"/>
  <c r="I1620" i="32"/>
  <c r="D1620" i="32"/>
  <c r="H1620" i="32"/>
  <c r="G1620" i="32"/>
  <c r="L1619" i="32"/>
  <c r="K1619" i="32"/>
  <c r="J1619" i="32"/>
  <c r="E1619" i="32"/>
  <c r="I1619" i="32"/>
  <c r="D1619" i="32"/>
  <c r="H1619" i="32"/>
  <c r="G1619" i="32"/>
  <c r="L1618" i="32"/>
  <c r="K1618" i="32"/>
  <c r="J1618" i="32"/>
  <c r="E1618" i="32"/>
  <c r="I1618" i="32"/>
  <c r="D1618" i="32"/>
  <c r="H1618" i="32"/>
  <c r="G1618" i="32"/>
  <c r="L1617" i="32"/>
  <c r="K1617" i="32"/>
  <c r="J1617" i="32"/>
  <c r="E1617" i="32"/>
  <c r="I1617" i="32"/>
  <c r="D1617" i="32"/>
  <c r="H1617" i="32"/>
  <c r="G1617" i="32"/>
  <c r="L1616" i="32"/>
  <c r="K1616" i="32"/>
  <c r="J1616" i="32"/>
  <c r="E1616" i="32"/>
  <c r="I1616" i="32"/>
  <c r="D1616" i="32"/>
  <c r="H1616" i="32"/>
  <c r="G1616" i="32"/>
  <c r="L1615" i="32"/>
  <c r="K1615" i="32"/>
  <c r="J1615" i="32"/>
  <c r="E1615" i="32"/>
  <c r="I1615" i="32"/>
  <c r="D1615" i="32"/>
  <c r="H1615" i="32"/>
  <c r="G1615" i="32"/>
  <c r="L1614" i="32"/>
  <c r="K1614" i="32"/>
  <c r="J1614" i="32"/>
  <c r="E1614" i="32"/>
  <c r="I1614" i="32"/>
  <c r="D1614" i="32"/>
  <c r="H1614" i="32"/>
  <c r="G1614" i="32"/>
  <c r="L1613" i="32"/>
  <c r="K1613" i="32"/>
  <c r="J1613" i="32"/>
  <c r="E1613" i="32"/>
  <c r="I1613" i="32"/>
  <c r="D1613" i="32"/>
  <c r="H1613" i="32"/>
  <c r="G1613" i="32"/>
  <c r="L1612" i="32"/>
  <c r="K1612" i="32"/>
  <c r="J1612" i="32"/>
  <c r="E1612" i="32"/>
  <c r="I1612" i="32"/>
  <c r="D1612" i="32"/>
  <c r="H1612" i="32"/>
  <c r="G1612" i="32"/>
  <c r="L1611" i="32"/>
  <c r="K1611" i="32"/>
  <c r="J1611" i="32"/>
  <c r="E1611" i="32"/>
  <c r="I1611" i="32"/>
  <c r="D1611" i="32"/>
  <c r="H1611" i="32"/>
  <c r="G1611" i="32"/>
  <c r="L1610" i="32"/>
  <c r="K1610" i="32"/>
  <c r="J1610" i="32"/>
  <c r="E1610" i="32"/>
  <c r="I1610" i="32"/>
  <c r="D1610" i="32"/>
  <c r="H1610" i="32"/>
  <c r="G1610" i="32"/>
  <c r="L1609" i="32"/>
  <c r="K1609" i="32"/>
  <c r="J1609" i="32"/>
  <c r="E1609" i="32"/>
  <c r="I1609" i="32"/>
  <c r="D1609" i="32"/>
  <c r="H1609" i="32"/>
  <c r="G1609" i="32"/>
  <c r="L1608" i="32"/>
  <c r="K1608" i="32"/>
  <c r="J1608" i="32"/>
  <c r="E1608" i="32"/>
  <c r="I1608" i="32"/>
  <c r="D1608" i="32"/>
  <c r="H1608" i="32"/>
  <c r="G1608" i="32"/>
  <c r="L1607" i="32"/>
  <c r="K1607" i="32"/>
  <c r="J1607" i="32"/>
  <c r="E1607" i="32"/>
  <c r="I1607" i="32"/>
  <c r="D1607" i="32"/>
  <c r="H1607" i="32"/>
  <c r="G1607" i="32"/>
  <c r="L1606" i="32"/>
  <c r="K1606" i="32"/>
  <c r="J1606" i="32"/>
  <c r="E1606" i="32"/>
  <c r="I1606" i="32"/>
  <c r="D1606" i="32"/>
  <c r="H1606" i="32"/>
  <c r="G1606" i="32"/>
  <c r="L1605" i="32"/>
  <c r="K1605" i="32"/>
  <c r="J1605" i="32"/>
  <c r="E1605" i="32"/>
  <c r="I1605" i="32"/>
  <c r="D1605" i="32"/>
  <c r="H1605" i="32"/>
  <c r="G1605" i="32"/>
  <c r="L1604" i="32"/>
  <c r="K1604" i="32"/>
  <c r="J1604" i="32"/>
  <c r="E1604" i="32"/>
  <c r="I1604" i="32"/>
  <c r="D1604" i="32"/>
  <c r="H1604" i="32"/>
  <c r="G1604" i="32"/>
  <c r="L1603" i="32"/>
  <c r="K1603" i="32"/>
  <c r="J1603" i="32"/>
  <c r="E1603" i="32"/>
  <c r="I1603" i="32"/>
  <c r="D1603" i="32"/>
  <c r="H1603" i="32"/>
  <c r="G1603" i="32"/>
  <c r="L1602" i="32"/>
  <c r="K1602" i="32"/>
  <c r="J1602" i="32"/>
  <c r="E1602" i="32"/>
  <c r="I1602" i="32"/>
  <c r="D1602" i="32"/>
  <c r="H1602" i="32"/>
  <c r="G1602" i="32"/>
  <c r="L1601" i="32"/>
  <c r="K1601" i="32"/>
  <c r="J1601" i="32"/>
  <c r="E1601" i="32"/>
  <c r="I1601" i="32"/>
  <c r="D1601" i="32"/>
  <c r="H1601" i="32"/>
  <c r="G1601" i="32"/>
  <c r="L1600" i="32"/>
  <c r="K1600" i="32"/>
  <c r="J1600" i="32"/>
  <c r="E1600" i="32"/>
  <c r="I1600" i="32"/>
  <c r="D1600" i="32"/>
  <c r="H1600" i="32"/>
  <c r="G1600" i="32"/>
  <c r="L1599" i="32"/>
  <c r="K1599" i="32"/>
  <c r="J1599" i="32"/>
  <c r="E1599" i="32"/>
  <c r="I1599" i="32"/>
  <c r="D1599" i="32"/>
  <c r="H1599" i="32"/>
  <c r="G1599" i="32"/>
  <c r="L1598" i="32"/>
  <c r="K1598" i="32"/>
  <c r="J1598" i="32"/>
  <c r="E1598" i="32"/>
  <c r="I1598" i="32"/>
  <c r="D1598" i="32"/>
  <c r="H1598" i="32"/>
  <c r="G1598" i="32"/>
  <c r="L1597" i="32"/>
  <c r="K1597" i="32"/>
  <c r="J1597" i="32"/>
  <c r="E1597" i="32"/>
  <c r="I1597" i="32"/>
  <c r="D1597" i="32"/>
  <c r="H1597" i="32"/>
  <c r="G1597" i="32"/>
  <c r="L1596" i="32"/>
  <c r="K1596" i="32"/>
  <c r="J1596" i="32"/>
  <c r="E1596" i="32"/>
  <c r="I1596" i="32"/>
  <c r="D1596" i="32"/>
  <c r="H1596" i="32"/>
  <c r="G1596" i="32"/>
  <c r="L1595" i="32"/>
  <c r="K1595" i="32"/>
  <c r="J1595" i="32"/>
  <c r="E1595" i="32"/>
  <c r="I1595" i="32"/>
  <c r="D1595" i="32"/>
  <c r="H1595" i="32"/>
  <c r="G1595" i="32"/>
  <c r="L1594" i="32"/>
  <c r="K1594" i="32"/>
  <c r="J1594" i="32"/>
  <c r="E1594" i="32"/>
  <c r="I1594" i="32"/>
  <c r="D1594" i="32"/>
  <c r="H1594" i="32"/>
  <c r="G1594" i="32"/>
  <c r="L1593" i="32"/>
  <c r="K1593" i="32"/>
  <c r="J1593" i="32"/>
  <c r="E1593" i="32"/>
  <c r="I1593" i="32"/>
  <c r="D1593" i="32"/>
  <c r="H1593" i="32"/>
  <c r="G1593" i="32"/>
  <c r="L1592" i="32"/>
  <c r="K1592" i="32"/>
  <c r="J1592" i="32"/>
  <c r="E1592" i="32"/>
  <c r="I1592" i="32"/>
  <c r="D1592" i="32"/>
  <c r="H1592" i="32"/>
  <c r="G1592" i="32"/>
  <c r="L1591" i="32"/>
  <c r="K1591" i="32"/>
  <c r="J1591" i="32"/>
  <c r="E1591" i="32"/>
  <c r="I1591" i="32"/>
  <c r="D1591" i="32"/>
  <c r="H1591" i="32"/>
  <c r="G1591" i="32"/>
  <c r="L1590" i="32"/>
  <c r="K1590" i="32"/>
  <c r="J1590" i="32"/>
  <c r="E1590" i="32"/>
  <c r="I1590" i="32"/>
  <c r="D1590" i="32"/>
  <c r="H1590" i="32"/>
  <c r="G1590" i="32"/>
  <c r="L1589" i="32"/>
  <c r="K1589" i="32"/>
  <c r="J1589" i="32"/>
  <c r="E1589" i="32"/>
  <c r="I1589" i="32"/>
  <c r="D1589" i="32"/>
  <c r="H1589" i="32"/>
  <c r="G1589" i="32"/>
  <c r="L1588" i="32"/>
  <c r="K1588" i="32"/>
  <c r="J1588" i="32"/>
  <c r="E1588" i="32"/>
  <c r="I1588" i="32"/>
  <c r="D1588" i="32"/>
  <c r="H1588" i="32"/>
  <c r="G1588" i="32"/>
  <c r="L1587" i="32"/>
  <c r="K1587" i="32"/>
  <c r="J1587" i="32"/>
  <c r="E1587" i="32"/>
  <c r="I1587" i="32"/>
  <c r="D1587" i="32"/>
  <c r="H1587" i="32"/>
  <c r="G1587" i="32"/>
  <c r="L1586" i="32"/>
  <c r="K1586" i="32"/>
  <c r="J1586" i="32"/>
  <c r="E1586" i="32"/>
  <c r="I1586" i="32"/>
  <c r="D1586" i="32"/>
  <c r="H1586" i="32"/>
  <c r="G1586" i="32"/>
  <c r="L1585" i="32"/>
  <c r="K1585" i="32"/>
  <c r="J1585" i="32"/>
  <c r="E1585" i="32"/>
  <c r="I1585" i="32"/>
  <c r="D1585" i="32"/>
  <c r="H1585" i="32"/>
  <c r="G1585" i="32"/>
  <c r="L1584" i="32"/>
  <c r="K1584" i="32"/>
  <c r="J1584" i="32"/>
  <c r="E1584" i="32"/>
  <c r="I1584" i="32"/>
  <c r="D1584" i="32"/>
  <c r="H1584" i="32"/>
  <c r="G1584" i="32"/>
  <c r="L1583" i="32"/>
  <c r="K1583" i="32"/>
  <c r="J1583" i="32"/>
  <c r="E1583" i="32"/>
  <c r="I1583" i="32"/>
  <c r="D1583" i="32"/>
  <c r="H1583" i="32"/>
  <c r="G1583" i="32"/>
  <c r="L1582" i="32"/>
  <c r="K1582" i="32"/>
  <c r="J1582" i="32"/>
  <c r="E1582" i="32"/>
  <c r="I1582" i="32"/>
  <c r="D1582" i="32"/>
  <c r="H1582" i="32"/>
  <c r="G1582" i="32"/>
  <c r="L1581" i="32"/>
  <c r="K1581" i="32"/>
  <c r="J1581" i="32"/>
  <c r="E1581" i="32"/>
  <c r="I1581" i="32"/>
  <c r="D1581" i="32"/>
  <c r="H1581" i="32"/>
  <c r="G1581" i="32"/>
  <c r="L1580" i="32"/>
  <c r="K1580" i="32"/>
  <c r="J1580" i="32"/>
  <c r="E1580" i="32"/>
  <c r="I1580" i="32"/>
  <c r="D1580" i="32"/>
  <c r="H1580" i="32"/>
  <c r="G1580" i="32"/>
  <c r="L1579" i="32"/>
  <c r="K1579" i="32"/>
  <c r="J1579" i="32"/>
  <c r="E1579" i="32"/>
  <c r="I1579" i="32"/>
  <c r="D1579" i="32"/>
  <c r="H1579" i="32"/>
  <c r="G1579" i="32"/>
  <c r="L1578" i="32"/>
  <c r="K1578" i="32"/>
  <c r="J1578" i="32"/>
  <c r="E1578" i="32"/>
  <c r="I1578" i="32"/>
  <c r="D1578" i="32"/>
  <c r="H1578" i="32"/>
  <c r="G1578" i="32"/>
  <c r="L1577" i="32"/>
  <c r="K1577" i="32"/>
  <c r="J1577" i="32"/>
  <c r="E1577" i="32"/>
  <c r="I1577" i="32"/>
  <c r="D1577" i="32"/>
  <c r="H1577" i="32"/>
  <c r="G1577" i="32"/>
  <c r="L1576" i="32"/>
  <c r="K1576" i="32"/>
  <c r="J1576" i="32"/>
  <c r="E1576" i="32"/>
  <c r="I1576" i="32"/>
  <c r="D1576" i="32"/>
  <c r="H1576" i="32"/>
  <c r="G1576" i="32"/>
  <c r="L1575" i="32"/>
  <c r="K1575" i="32"/>
  <c r="J1575" i="32"/>
  <c r="E1575" i="32"/>
  <c r="I1575" i="32"/>
  <c r="D1575" i="32"/>
  <c r="H1575" i="32"/>
  <c r="G1575" i="32"/>
  <c r="L1574" i="32"/>
  <c r="K1574" i="32"/>
  <c r="J1574" i="32"/>
  <c r="E1574" i="32"/>
  <c r="I1574" i="32"/>
  <c r="D1574" i="32"/>
  <c r="H1574" i="32"/>
  <c r="G1574" i="32"/>
  <c r="L1573" i="32"/>
  <c r="K1573" i="32"/>
  <c r="J1573" i="32"/>
  <c r="E1573" i="32"/>
  <c r="I1573" i="32"/>
  <c r="D1573" i="32"/>
  <c r="H1573" i="32"/>
  <c r="G1573" i="32"/>
  <c r="L1572" i="32"/>
  <c r="K1572" i="32"/>
  <c r="J1572" i="32"/>
  <c r="E1572" i="32"/>
  <c r="I1572" i="32"/>
  <c r="D1572" i="32"/>
  <c r="H1572" i="32"/>
  <c r="G1572" i="32"/>
  <c r="L1571" i="32"/>
  <c r="K1571" i="32"/>
  <c r="J1571" i="32"/>
  <c r="E1571" i="32"/>
  <c r="I1571" i="32"/>
  <c r="D1571" i="32"/>
  <c r="H1571" i="32"/>
  <c r="G1571" i="32"/>
  <c r="L1570" i="32"/>
  <c r="K1570" i="32"/>
  <c r="J1570" i="32"/>
  <c r="E1570" i="32"/>
  <c r="I1570" i="32"/>
  <c r="D1570" i="32"/>
  <c r="H1570" i="32"/>
  <c r="G1570" i="32"/>
  <c r="L1569" i="32"/>
  <c r="J1569" i="32"/>
  <c r="E1569" i="32"/>
  <c r="I1569" i="32"/>
  <c r="D1569" i="32"/>
  <c r="H1569" i="32"/>
  <c r="G1569" i="32"/>
  <c r="L1568" i="32"/>
  <c r="J1568" i="32"/>
  <c r="E1568" i="32"/>
  <c r="I1568" i="32"/>
  <c r="D1568" i="32"/>
  <c r="H1568" i="32"/>
  <c r="G1568" i="32"/>
  <c r="L1567" i="32"/>
  <c r="J1567" i="32"/>
  <c r="E1567" i="32"/>
  <c r="I1567" i="32"/>
  <c r="D1567" i="32"/>
  <c r="H1567" i="32"/>
  <c r="G1567" i="32"/>
  <c r="L1566" i="32"/>
  <c r="J1566" i="32"/>
  <c r="E1566" i="32"/>
  <c r="I1566" i="32"/>
  <c r="D1566" i="32"/>
  <c r="H1566" i="32"/>
  <c r="G1566" i="32"/>
  <c r="L1565" i="32"/>
  <c r="J1565" i="32"/>
  <c r="E1565" i="32"/>
  <c r="I1565" i="32"/>
  <c r="D1565" i="32"/>
  <c r="H1565" i="32"/>
  <c r="G1565" i="32"/>
  <c r="L1564" i="32"/>
  <c r="J1564" i="32"/>
  <c r="E1564" i="32"/>
  <c r="I1564" i="32"/>
  <c r="D1564" i="32"/>
  <c r="H1564" i="32"/>
  <c r="G1564" i="32"/>
  <c r="L1563" i="32"/>
  <c r="J1563" i="32"/>
  <c r="E1563" i="32"/>
  <c r="I1563" i="32"/>
  <c r="D1563" i="32"/>
  <c r="H1563" i="32"/>
  <c r="G1563" i="32"/>
  <c r="L1562" i="32"/>
  <c r="J1562" i="32"/>
  <c r="E1562" i="32"/>
  <c r="I1562" i="32"/>
  <c r="D1562" i="32"/>
  <c r="H1562" i="32"/>
  <c r="G1562" i="32"/>
  <c r="L1561" i="32"/>
  <c r="J1561" i="32"/>
  <c r="E1561" i="32"/>
  <c r="I1561" i="32"/>
  <c r="D1561" i="32"/>
  <c r="H1561" i="32"/>
  <c r="G1561" i="32"/>
  <c r="L1560" i="32"/>
  <c r="J1560" i="32"/>
  <c r="E1560" i="32"/>
  <c r="I1560" i="32"/>
  <c r="D1560" i="32"/>
  <c r="H1560" i="32"/>
  <c r="G1560" i="32"/>
  <c r="L1559" i="32"/>
  <c r="J1559" i="32"/>
  <c r="E1559" i="32"/>
  <c r="I1559" i="32"/>
  <c r="D1559" i="32"/>
  <c r="H1559" i="32"/>
  <c r="G1559" i="32"/>
  <c r="L1558" i="32"/>
  <c r="J1558" i="32"/>
  <c r="E1558" i="32"/>
  <c r="I1558" i="32"/>
  <c r="D1558" i="32"/>
  <c r="H1558" i="32"/>
  <c r="G1558" i="32"/>
  <c r="L1557" i="32"/>
  <c r="J1557" i="32"/>
  <c r="E1557" i="32"/>
  <c r="I1557" i="32"/>
  <c r="D1557" i="32"/>
  <c r="H1557" i="32"/>
  <c r="G1557" i="32"/>
  <c r="L1556" i="32"/>
  <c r="J1556" i="32"/>
  <c r="E1556" i="32"/>
  <c r="I1556" i="32"/>
  <c r="D1556" i="32"/>
  <c r="H1556" i="32"/>
  <c r="G1556" i="32"/>
  <c r="L1555" i="32"/>
  <c r="J1555" i="32"/>
  <c r="E1555" i="32"/>
  <c r="I1555" i="32"/>
  <c r="D1555" i="32"/>
  <c r="H1555" i="32"/>
  <c r="G1555" i="32"/>
  <c r="L1554" i="32"/>
  <c r="J1554" i="32"/>
  <c r="E1554" i="32"/>
  <c r="I1554" i="32"/>
  <c r="D1554" i="32"/>
  <c r="H1554" i="32"/>
  <c r="G1554" i="32"/>
  <c r="L1553" i="32"/>
  <c r="J1553" i="32"/>
  <c r="E1553" i="32"/>
  <c r="I1553" i="32"/>
  <c r="D1553" i="32"/>
  <c r="H1553" i="32"/>
  <c r="G1553" i="32"/>
  <c r="L1552" i="32"/>
  <c r="J1552" i="32"/>
  <c r="E1552" i="32"/>
  <c r="I1552" i="32"/>
  <c r="D1552" i="32"/>
  <c r="H1552" i="32"/>
  <c r="G1552" i="32"/>
  <c r="L1551" i="32"/>
  <c r="J1551" i="32"/>
  <c r="E1551" i="32"/>
  <c r="I1551" i="32"/>
  <c r="D1551" i="32"/>
  <c r="H1551" i="32"/>
  <c r="G1551" i="32"/>
  <c r="L1550" i="32"/>
  <c r="J1550" i="32"/>
  <c r="E1550" i="32"/>
  <c r="I1550" i="32"/>
  <c r="D1550" i="32"/>
  <c r="H1550" i="32"/>
  <c r="G1550" i="32"/>
  <c r="L1549" i="32"/>
  <c r="J1549" i="32"/>
  <c r="E1549" i="32"/>
  <c r="I1549" i="32"/>
  <c r="D1549" i="32"/>
  <c r="H1549" i="32"/>
  <c r="G1549" i="32"/>
  <c r="L1548" i="32"/>
  <c r="J1548" i="32"/>
  <c r="E1548" i="32"/>
  <c r="I1548" i="32"/>
  <c r="D1548" i="32"/>
  <c r="H1548" i="32"/>
  <c r="G1548" i="32"/>
  <c r="L1547" i="32"/>
  <c r="J1547" i="32"/>
  <c r="E1547" i="32"/>
  <c r="I1547" i="32"/>
  <c r="D1547" i="32"/>
  <c r="H1547" i="32"/>
  <c r="G1547" i="32"/>
  <c r="L1546" i="32"/>
  <c r="J1546" i="32"/>
  <c r="E1546" i="32"/>
  <c r="I1546" i="32"/>
  <c r="D1546" i="32"/>
  <c r="H1546" i="32"/>
  <c r="G1546" i="32"/>
  <c r="L1545" i="32"/>
  <c r="J1545" i="32"/>
  <c r="E1545" i="32"/>
  <c r="I1545" i="32"/>
  <c r="D1545" i="32"/>
  <c r="H1545" i="32"/>
  <c r="G1545" i="32"/>
  <c r="L1544" i="32"/>
  <c r="J1544" i="32"/>
  <c r="E1544" i="32"/>
  <c r="I1544" i="32"/>
  <c r="D1544" i="32"/>
  <c r="H1544" i="32"/>
  <c r="G1544" i="32"/>
  <c r="L1543" i="32"/>
  <c r="J1543" i="32"/>
  <c r="E1543" i="32"/>
  <c r="I1543" i="32"/>
  <c r="D1543" i="32"/>
  <c r="H1543" i="32"/>
  <c r="G1543" i="32"/>
  <c r="L1542" i="32"/>
  <c r="J1542" i="32"/>
  <c r="E1542" i="32"/>
  <c r="I1542" i="32"/>
  <c r="D1542" i="32"/>
  <c r="H1542" i="32"/>
  <c r="G1542" i="32"/>
  <c r="L1541" i="32"/>
  <c r="J1541" i="32"/>
  <c r="E1541" i="32"/>
  <c r="I1541" i="32"/>
  <c r="D1541" i="32"/>
  <c r="H1541" i="32"/>
  <c r="G1541" i="32"/>
  <c r="L1540" i="32"/>
  <c r="J1540" i="32"/>
  <c r="E1540" i="32"/>
  <c r="I1540" i="32"/>
  <c r="D1540" i="32"/>
  <c r="H1540" i="32"/>
  <c r="G1540" i="32"/>
  <c r="L1539" i="32"/>
  <c r="J1539" i="32"/>
  <c r="E1539" i="32"/>
  <c r="I1539" i="32"/>
  <c r="D1539" i="32"/>
  <c r="H1539" i="32"/>
  <c r="G1539" i="32"/>
  <c r="L1538" i="32"/>
  <c r="J1538" i="32"/>
  <c r="E1538" i="32"/>
  <c r="I1538" i="32"/>
  <c r="D1538" i="32"/>
  <c r="H1538" i="32"/>
  <c r="G1538" i="32"/>
  <c r="L1537" i="32"/>
  <c r="J1537" i="32"/>
  <c r="E1537" i="32"/>
  <c r="I1537" i="32"/>
  <c r="D1537" i="32"/>
  <c r="H1537" i="32"/>
  <c r="G1537" i="32"/>
  <c r="L1536" i="32"/>
  <c r="J1536" i="32"/>
  <c r="E1536" i="32"/>
  <c r="I1536" i="32"/>
  <c r="D1536" i="32"/>
  <c r="H1536" i="32"/>
  <c r="G1536" i="32"/>
  <c r="L1535" i="32"/>
  <c r="J1535" i="32"/>
  <c r="E1535" i="32"/>
  <c r="I1535" i="32"/>
  <c r="D1535" i="32"/>
  <c r="H1535" i="32"/>
  <c r="G1535" i="32"/>
  <c r="L1534" i="32"/>
  <c r="J1534" i="32"/>
  <c r="E1534" i="32"/>
  <c r="I1534" i="32"/>
  <c r="D1534" i="32"/>
  <c r="H1534" i="32"/>
  <c r="G1534" i="32"/>
  <c r="L1533" i="32"/>
  <c r="J1533" i="32"/>
  <c r="E1533" i="32"/>
  <c r="I1533" i="32"/>
  <c r="D1533" i="32"/>
  <c r="H1533" i="32"/>
  <c r="G1533" i="32"/>
  <c r="L1532" i="32"/>
  <c r="J1532" i="32"/>
  <c r="E1532" i="32"/>
  <c r="I1532" i="32"/>
  <c r="D1532" i="32"/>
  <c r="H1532" i="32"/>
  <c r="G1532" i="32"/>
  <c r="L1531" i="32"/>
  <c r="J1531" i="32"/>
  <c r="E1531" i="32"/>
  <c r="I1531" i="32"/>
  <c r="D1531" i="32"/>
  <c r="H1531" i="32"/>
  <c r="G1531" i="32"/>
  <c r="L1530" i="32"/>
  <c r="J1530" i="32"/>
  <c r="E1530" i="32"/>
  <c r="I1530" i="32"/>
  <c r="D1530" i="32"/>
  <c r="H1530" i="32"/>
  <c r="G1530" i="32"/>
  <c r="L1529" i="32"/>
  <c r="J1529" i="32"/>
  <c r="E1529" i="32"/>
  <c r="I1529" i="32"/>
  <c r="D1529" i="32"/>
  <c r="H1529" i="32"/>
  <c r="G1529" i="32"/>
  <c r="L1528" i="32"/>
  <c r="J1528" i="32"/>
  <c r="E1528" i="32"/>
  <c r="I1528" i="32"/>
  <c r="D1528" i="32"/>
  <c r="H1528" i="32"/>
  <c r="G1528" i="32"/>
  <c r="L1527" i="32"/>
  <c r="J1527" i="32"/>
  <c r="E1527" i="32"/>
  <c r="I1527" i="32"/>
  <c r="D1527" i="32"/>
  <c r="H1527" i="32"/>
  <c r="G1527" i="32"/>
  <c r="L1526" i="32"/>
  <c r="J1526" i="32"/>
  <c r="E1526" i="32"/>
  <c r="I1526" i="32"/>
  <c r="D1526" i="32"/>
  <c r="H1526" i="32"/>
  <c r="G1526" i="32"/>
  <c r="L1525" i="32"/>
  <c r="J1525" i="32"/>
  <c r="E1525" i="32"/>
  <c r="I1525" i="32"/>
  <c r="D1525" i="32"/>
  <c r="H1525" i="32"/>
  <c r="G1525" i="32"/>
  <c r="L1524" i="32"/>
  <c r="J1524" i="32"/>
  <c r="E1524" i="32"/>
  <c r="I1524" i="32"/>
  <c r="D1524" i="32"/>
  <c r="H1524" i="32"/>
  <c r="G1524" i="32"/>
  <c r="L1523" i="32"/>
  <c r="J1523" i="32"/>
  <c r="E1523" i="32"/>
  <c r="I1523" i="32"/>
  <c r="D1523" i="32"/>
  <c r="H1523" i="32"/>
  <c r="G1523" i="32"/>
  <c r="L1522" i="32"/>
  <c r="J1522" i="32"/>
  <c r="E1522" i="32"/>
  <c r="I1522" i="32"/>
  <c r="D1522" i="32"/>
  <c r="H1522" i="32"/>
  <c r="G1522" i="32"/>
  <c r="L1521" i="32"/>
  <c r="J1521" i="32"/>
  <c r="E1521" i="32"/>
  <c r="I1521" i="32"/>
  <c r="D1521" i="32"/>
  <c r="H1521" i="32"/>
  <c r="G1521" i="32"/>
  <c r="L1520" i="32"/>
  <c r="J1520" i="32"/>
  <c r="E1520" i="32"/>
  <c r="I1520" i="32"/>
  <c r="D1520" i="32"/>
  <c r="H1520" i="32"/>
  <c r="G1520" i="32"/>
  <c r="L1519" i="32"/>
  <c r="J1519" i="32"/>
  <c r="E1519" i="32"/>
  <c r="I1519" i="32"/>
  <c r="D1519" i="32"/>
  <c r="H1519" i="32"/>
  <c r="G1519" i="32"/>
  <c r="L1518" i="32"/>
  <c r="J1518" i="32"/>
  <c r="E1518" i="32"/>
  <c r="I1518" i="32"/>
  <c r="D1518" i="32"/>
  <c r="H1518" i="32"/>
  <c r="G1518" i="32"/>
  <c r="L1517" i="32"/>
  <c r="J1517" i="32"/>
  <c r="E1517" i="32"/>
  <c r="I1517" i="32"/>
  <c r="D1517" i="32"/>
  <c r="H1517" i="32"/>
  <c r="G1517" i="32"/>
  <c r="L1516" i="32"/>
  <c r="J1516" i="32"/>
  <c r="E1516" i="32"/>
  <c r="I1516" i="32"/>
  <c r="D1516" i="32"/>
  <c r="H1516" i="32"/>
  <c r="G1516" i="32"/>
  <c r="L1515" i="32"/>
  <c r="J1515" i="32"/>
  <c r="E1515" i="32"/>
  <c r="I1515" i="32"/>
  <c r="D1515" i="32"/>
  <c r="H1515" i="32"/>
  <c r="G1515" i="32"/>
  <c r="L1514" i="32"/>
  <c r="J1514" i="32"/>
  <c r="E1514" i="32"/>
  <c r="I1514" i="32"/>
  <c r="D1514" i="32"/>
  <c r="H1514" i="32"/>
  <c r="G1514" i="32"/>
  <c r="L1513" i="32"/>
  <c r="J1513" i="32"/>
  <c r="E1513" i="32"/>
  <c r="I1513" i="32"/>
  <c r="D1513" i="32"/>
  <c r="H1513" i="32"/>
  <c r="G1513" i="32"/>
  <c r="L1512" i="32"/>
  <c r="J1512" i="32"/>
  <c r="E1512" i="32"/>
  <c r="I1512" i="32"/>
  <c r="D1512" i="32"/>
  <c r="H1512" i="32"/>
  <c r="G1512" i="32"/>
  <c r="L1511" i="32"/>
  <c r="J1511" i="32"/>
  <c r="E1511" i="32"/>
  <c r="I1511" i="32"/>
  <c r="D1511" i="32"/>
  <c r="H1511" i="32"/>
  <c r="G1511" i="32"/>
  <c r="L1510" i="32"/>
  <c r="J1510" i="32"/>
  <c r="E1510" i="32"/>
  <c r="I1510" i="32"/>
  <c r="D1510" i="32"/>
  <c r="H1510" i="32"/>
  <c r="G1510" i="32"/>
  <c r="L1509" i="32"/>
  <c r="J1509" i="32"/>
  <c r="E1509" i="32"/>
  <c r="I1509" i="32"/>
  <c r="D1509" i="32"/>
  <c r="H1509" i="32"/>
  <c r="G1509" i="32"/>
  <c r="L1508" i="32"/>
  <c r="J1508" i="32"/>
  <c r="E1508" i="32"/>
  <c r="I1508" i="32"/>
  <c r="D1508" i="32"/>
  <c r="H1508" i="32"/>
  <c r="G1508" i="32"/>
  <c r="L1507" i="32"/>
  <c r="J1507" i="32"/>
  <c r="E1507" i="32"/>
  <c r="I1507" i="32"/>
  <c r="D1507" i="32"/>
  <c r="H1507" i="32"/>
  <c r="G1507" i="32"/>
  <c r="L1506" i="32"/>
  <c r="J1506" i="32"/>
  <c r="E1506" i="32"/>
  <c r="I1506" i="32"/>
  <c r="D1506" i="32"/>
  <c r="H1506" i="32"/>
  <c r="G1506" i="32"/>
  <c r="L1505" i="32"/>
  <c r="J1505" i="32"/>
  <c r="E1505" i="32"/>
  <c r="I1505" i="32"/>
  <c r="D1505" i="32"/>
  <c r="H1505" i="32"/>
  <c r="G1505" i="32"/>
  <c r="L1504" i="32"/>
  <c r="J1504" i="32"/>
  <c r="E1504" i="32"/>
  <c r="I1504" i="32"/>
  <c r="D1504" i="32"/>
  <c r="H1504" i="32"/>
  <c r="G1504" i="32"/>
  <c r="L1503" i="32"/>
  <c r="J1503" i="32"/>
  <c r="E1503" i="32"/>
  <c r="I1503" i="32"/>
  <c r="D1503" i="32"/>
  <c r="H1503" i="32"/>
  <c r="G1503" i="32"/>
  <c r="L1502" i="32"/>
  <c r="J1502" i="32"/>
  <c r="E1502" i="32"/>
  <c r="I1502" i="32"/>
  <c r="D1502" i="32"/>
  <c r="H1502" i="32"/>
  <c r="G1502" i="32"/>
  <c r="L1501" i="32"/>
  <c r="J1501" i="32"/>
  <c r="E1501" i="32"/>
  <c r="I1501" i="32"/>
  <c r="D1501" i="32"/>
  <c r="H1501" i="32"/>
  <c r="G1501" i="32"/>
  <c r="L1500" i="32"/>
  <c r="J1500" i="32"/>
  <c r="E1500" i="32"/>
  <c r="I1500" i="32"/>
  <c r="D1500" i="32"/>
  <c r="H1500" i="32"/>
  <c r="G1500" i="32"/>
  <c r="L1499" i="32"/>
  <c r="J1499" i="32"/>
  <c r="E1499" i="32"/>
  <c r="I1499" i="32"/>
  <c r="D1499" i="32"/>
  <c r="H1499" i="32"/>
  <c r="G1499" i="32"/>
  <c r="L1498" i="32"/>
  <c r="J1498" i="32"/>
  <c r="E1498" i="32"/>
  <c r="I1498" i="32"/>
  <c r="D1498" i="32"/>
  <c r="H1498" i="32"/>
  <c r="G1498" i="32"/>
  <c r="L1497" i="32"/>
  <c r="J1497" i="32"/>
  <c r="E1497" i="32"/>
  <c r="I1497" i="32"/>
  <c r="D1497" i="32"/>
  <c r="H1497" i="32"/>
  <c r="G1497" i="32"/>
  <c r="L1496" i="32"/>
  <c r="J1496" i="32"/>
  <c r="E1496" i="32"/>
  <c r="I1496" i="32"/>
  <c r="D1496" i="32"/>
  <c r="H1496" i="32"/>
  <c r="G1496" i="32"/>
  <c r="L1495" i="32"/>
  <c r="J1495" i="32"/>
  <c r="E1495" i="32"/>
  <c r="I1495" i="32"/>
  <c r="D1495" i="32"/>
  <c r="H1495" i="32"/>
  <c r="G1495" i="32"/>
  <c r="L1494" i="32"/>
  <c r="J1494" i="32"/>
  <c r="E1494" i="32"/>
  <c r="I1494" i="32"/>
  <c r="D1494" i="32"/>
  <c r="H1494" i="32"/>
  <c r="G1494" i="32"/>
  <c r="L1493" i="32"/>
  <c r="J1493" i="32"/>
  <c r="E1493" i="32"/>
  <c r="I1493" i="32"/>
  <c r="D1493" i="32"/>
  <c r="H1493" i="32"/>
  <c r="G1493" i="32"/>
  <c r="L1492" i="32"/>
  <c r="J1492" i="32"/>
  <c r="E1492" i="32"/>
  <c r="I1492" i="32"/>
  <c r="D1492" i="32"/>
  <c r="H1492" i="32"/>
  <c r="G1492" i="32"/>
  <c r="L1491" i="32"/>
  <c r="J1491" i="32"/>
  <c r="E1491" i="32"/>
  <c r="I1491" i="32"/>
  <c r="D1491" i="32"/>
  <c r="H1491" i="32"/>
  <c r="G1491" i="32"/>
  <c r="L1490" i="32"/>
  <c r="J1490" i="32"/>
  <c r="E1490" i="32"/>
  <c r="I1490" i="32"/>
  <c r="D1490" i="32"/>
  <c r="H1490" i="32"/>
  <c r="G1490" i="32"/>
  <c r="L1489" i="32"/>
  <c r="J1489" i="32"/>
  <c r="E1489" i="32"/>
  <c r="I1489" i="32"/>
  <c r="D1489" i="32"/>
  <c r="H1489" i="32"/>
  <c r="G1489" i="32"/>
  <c r="L1488" i="32"/>
  <c r="J1488" i="32"/>
  <c r="E1488" i="32"/>
  <c r="I1488" i="32"/>
  <c r="D1488" i="32"/>
  <c r="H1488" i="32"/>
  <c r="G1488" i="32"/>
  <c r="L1487" i="32"/>
  <c r="J1487" i="32"/>
  <c r="E1487" i="32"/>
  <c r="I1487" i="32"/>
  <c r="D1487" i="32"/>
  <c r="H1487" i="32"/>
  <c r="G1487" i="32"/>
  <c r="L1486" i="32"/>
  <c r="J1486" i="32"/>
  <c r="E1486" i="32"/>
  <c r="I1486" i="32"/>
  <c r="D1486" i="32"/>
  <c r="H1486" i="32"/>
  <c r="G1486" i="32"/>
  <c r="L1485" i="32"/>
  <c r="J1485" i="32"/>
  <c r="E1485" i="32"/>
  <c r="I1485" i="32"/>
  <c r="D1485" i="32"/>
  <c r="H1485" i="32"/>
  <c r="G1485" i="32"/>
  <c r="L1484" i="32"/>
  <c r="J1484" i="32"/>
  <c r="E1484" i="32"/>
  <c r="I1484" i="32"/>
  <c r="D1484" i="32"/>
  <c r="H1484" i="32"/>
  <c r="G1484" i="32"/>
  <c r="L1483" i="32"/>
  <c r="J1483" i="32"/>
  <c r="E1483" i="32"/>
  <c r="I1483" i="32"/>
  <c r="D1483" i="32"/>
  <c r="H1483" i="32"/>
  <c r="G1483" i="32"/>
  <c r="L1482" i="32"/>
  <c r="J1482" i="32"/>
  <c r="E1482" i="32"/>
  <c r="I1482" i="32"/>
  <c r="D1482" i="32"/>
  <c r="H1482" i="32"/>
  <c r="G1482" i="32"/>
  <c r="L1481" i="32"/>
  <c r="J1481" i="32"/>
  <c r="E1481" i="32"/>
  <c r="I1481" i="32"/>
  <c r="D1481" i="32"/>
  <c r="H1481" i="32"/>
  <c r="G1481" i="32"/>
  <c r="L1480" i="32"/>
  <c r="J1480" i="32"/>
  <c r="E1480" i="32"/>
  <c r="I1480" i="32"/>
  <c r="D1480" i="32"/>
  <c r="H1480" i="32"/>
  <c r="G1480" i="32"/>
  <c r="L1479" i="32"/>
  <c r="J1479" i="32"/>
  <c r="E1479" i="32"/>
  <c r="I1479" i="32"/>
  <c r="D1479" i="32"/>
  <c r="H1479" i="32"/>
  <c r="G1479" i="32"/>
  <c r="L1478" i="32"/>
  <c r="J1478" i="32"/>
  <c r="E1478" i="32"/>
  <c r="I1478" i="32"/>
  <c r="D1478" i="32"/>
  <c r="H1478" i="32"/>
  <c r="G1478" i="32"/>
  <c r="L1477" i="32"/>
  <c r="J1477" i="32"/>
  <c r="E1477" i="32"/>
  <c r="I1477" i="32"/>
  <c r="D1477" i="32"/>
  <c r="H1477" i="32"/>
  <c r="G1477" i="32"/>
  <c r="L1476" i="32"/>
  <c r="J1476" i="32"/>
  <c r="E1476" i="32"/>
  <c r="I1476" i="32"/>
  <c r="D1476" i="32"/>
  <c r="H1476" i="32"/>
  <c r="G1476" i="32"/>
  <c r="L1475" i="32"/>
  <c r="J1475" i="32"/>
  <c r="E1475" i="32"/>
  <c r="I1475" i="32"/>
  <c r="D1475" i="32"/>
  <c r="H1475" i="32"/>
  <c r="G1475" i="32"/>
  <c r="L1474" i="32"/>
  <c r="J1474" i="32"/>
  <c r="E1474" i="32"/>
  <c r="I1474" i="32"/>
  <c r="D1474" i="32"/>
  <c r="H1474" i="32"/>
  <c r="G1474" i="32"/>
  <c r="L1473" i="32"/>
  <c r="J1473" i="32"/>
  <c r="E1473" i="32"/>
  <c r="I1473" i="32"/>
  <c r="D1473" i="32"/>
  <c r="H1473" i="32"/>
  <c r="G1473" i="32"/>
  <c r="L1472" i="32"/>
  <c r="J1472" i="32"/>
  <c r="E1472" i="32"/>
  <c r="I1472" i="32"/>
  <c r="D1472" i="32"/>
  <c r="H1472" i="32"/>
  <c r="G1472" i="32"/>
  <c r="L1471" i="32"/>
  <c r="J1471" i="32"/>
  <c r="E1471" i="32"/>
  <c r="I1471" i="32"/>
  <c r="D1471" i="32"/>
  <c r="H1471" i="32"/>
  <c r="G1471" i="32"/>
  <c r="L1470" i="32"/>
  <c r="J1470" i="32"/>
  <c r="E1470" i="32"/>
  <c r="I1470" i="32"/>
  <c r="D1470" i="32"/>
  <c r="H1470" i="32"/>
  <c r="G1470" i="32"/>
  <c r="L1469" i="32"/>
  <c r="J1469" i="32"/>
  <c r="E1469" i="32"/>
  <c r="I1469" i="32"/>
  <c r="D1469" i="32"/>
  <c r="H1469" i="32"/>
  <c r="G1469" i="32"/>
  <c r="L1468" i="32"/>
  <c r="J1468" i="32"/>
  <c r="E1468" i="32"/>
  <c r="I1468" i="32"/>
  <c r="D1468" i="32"/>
  <c r="H1468" i="32"/>
  <c r="G1468" i="32"/>
  <c r="L1467" i="32"/>
  <c r="J1467" i="32"/>
  <c r="E1467" i="32"/>
  <c r="I1467" i="32"/>
  <c r="D1467" i="32"/>
  <c r="H1467" i="32"/>
  <c r="G1467" i="32"/>
  <c r="L1466" i="32"/>
  <c r="J1466" i="32"/>
  <c r="E1466" i="32"/>
  <c r="I1466" i="32"/>
  <c r="D1466" i="32"/>
  <c r="H1466" i="32"/>
  <c r="G1466" i="32"/>
  <c r="L1465" i="32"/>
  <c r="J1465" i="32"/>
  <c r="E1465" i="32"/>
  <c r="I1465" i="32"/>
  <c r="D1465" i="32"/>
  <c r="H1465" i="32"/>
  <c r="G1465" i="32"/>
  <c r="L1464" i="32"/>
  <c r="J1464" i="32"/>
  <c r="E1464" i="32"/>
  <c r="I1464" i="32"/>
  <c r="D1464" i="32"/>
  <c r="H1464" i="32"/>
  <c r="G1464" i="32"/>
  <c r="L1463" i="32"/>
  <c r="J1463" i="32"/>
  <c r="E1463" i="32"/>
  <c r="I1463" i="32"/>
  <c r="D1463" i="32"/>
  <c r="H1463" i="32"/>
  <c r="G1463" i="32"/>
  <c r="L1462" i="32"/>
  <c r="J1462" i="32"/>
  <c r="E1462" i="32"/>
  <c r="I1462" i="32"/>
  <c r="D1462" i="32"/>
  <c r="H1462" i="32"/>
  <c r="G1462" i="32"/>
  <c r="L1461" i="32"/>
  <c r="J1461" i="32"/>
  <c r="E1461" i="32"/>
  <c r="I1461" i="32"/>
  <c r="D1461" i="32"/>
  <c r="H1461" i="32"/>
  <c r="G1461" i="32"/>
  <c r="L1460" i="32"/>
  <c r="J1460" i="32"/>
  <c r="E1460" i="32"/>
  <c r="I1460" i="32"/>
  <c r="D1460" i="32"/>
  <c r="H1460" i="32"/>
  <c r="G1460" i="32"/>
  <c r="L1459" i="32"/>
  <c r="J1459" i="32"/>
  <c r="E1459" i="32"/>
  <c r="I1459" i="32"/>
  <c r="D1459" i="32"/>
  <c r="H1459" i="32"/>
  <c r="G1459" i="32"/>
  <c r="L1458" i="32"/>
  <c r="J1458" i="32"/>
  <c r="E1458" i="32"/>
  <c r="I1458" i="32"/>
  <c r="D1458" i="32"/>
  <c r="H1458" i="32"/>
  <c r="G1458" i="32"/>
  <c r="L1457" i="32"/>
  <c r="J1457" i="32"/>
  <c r="E1457" i="32"/>
  <c r="I1457" i="32"/>
  <c r="D1457" i="32"/>
  <c r="H1457" i="32"/>
  <c r="G1457" i="32"/>
  <c r="L1456" i="32"/>
  <c r="J1456" i="32"/>
  <c r="E1456" i="32"/>
  <c r="I1456" i="32"/>
  <c r="D1456" i="32"/>
  <c r="H1456" i="32"/>
  <c r="G1456" i="32"/>
  <c r="L1455" i="32"/>
  <c r="J1455" i="32"/>
  <c r="E1455" i="32"/>
  <c r="I1455" i="32"/>
  <c r="D1455" i="32"/>
  <c r="H1455" i="32"/>
  <c r="G1455" i="32"/>
  <c r="L1454" i="32"/>
  <c r="J1454" i="32"/>
  <c r="E1454" i="32"/>
  <c r="I1454" i="32"/>
  <c r="D1454" i="32"/>
  <c r="H1454" i="32"/>
  <c r="G1454" i="32"/>
  <c r="L1453" i="32"/>
  <c r="J1453" i="32"/>
  <c r="E1453" i="32"/>
  <c r="I1453" i="32"/>
  <c r="D1453" i="32"/>
  <c r="H1453" i="32"/>
  <c r="G1453" i="32"/>
  <c r="L1452" i="32"/>
  <c r="J1452" i="32"/>
  <c r="E1452" i="32"/>
  <c r="I1452" i="32"/>
  <c r="D1452" i="32"/>
  <c r="H1452" i="32"/>
  <c r="G1452" i="32"/>
  <c r="L1451" i="32"/>
  <c r="J1451" i="32"/>
  <c r="E1451" i="32"/>
  <c r="I1451" i="32"/>
  <c r="D1451" i="32"/>
  <c r="H1451" i="32"/>
  <c r="G1451" i="32"/>
  <c r="L1450" i="32"/>
  <c r="J1450" i="32"/>
  <c r="E1450" i="32"/>
  <c r="I1450" i="32"/>
  <c r="D1450" i="32"/>
  <c r="H1450" i="32"/>
  <c r="G1450" i="32"/>
  <c r="L1449" i="32"/>
  <c r="J1449" i="32"/>
  <c r="E1449" i="32"/>
  <c r="I1449" i="32"/>
  <c r="D1449" i="32"/>
  <c r="H1449" i="32"/>
  <c r="G1449" i="32"/>
  <c r="L1448" i="32"/>
  <c r="J1448" i="32"/>
  <c r="E1448" i="32"/>
  <c r="I1448" i="32"/>
  <c r="D1448" i="32"/>
  <c r="H1448" i="32"/>
  <c r="G1448" i="32"/>
  <c r="L1447" i="32"/>
  <c r="J1447" i="32"/>
  <c r="E1447" i="32"/>
  <c r="I1447" i="32"/>
  <c r="D1447" i="32"/>
  <c r="H1447" i="32"/>
  <c r="G1447" i="32"/>
  <c r="L1446" i="32"/>
  <c r="J1446" i="32"/>
  <c r="E1446" i="32"/>
  <c r="I1446" i="32"/>
  <c r="D1446" i="32"/>
  <c r="H1446" i="32"/>
  <c r="G1446" i="32"/>
  <c r="L1445" i="32"/>
  <c r="J1445" i="32"/>
  <c r="E1445" i="32"/>
  <c r="I1445" i="32"/>
  <c r="D1445" i="32"/>
  <c r="H1445" i="32"/>
  <c r="G1445" i="32"/>
  <c r="L1444" i="32"/>
  <c r="J1444" i="32"/>
  <c r="E1444" i="32"/>
  <c r="I1444" i="32"/>
  <c r="D1444" i="32"/>
  <c r="H1444" i="32"/>
  <c r="G1444" i="32"/>
  <c r="L1443" i="32"/>
  <c r="J1443" i="32"/>
  <c r="E1443" i="32"/>
  <c r="I1443" i="32"/>
  <c r="D1443" i="32"/>
  <c r="H1443" i="32"/>
  <c r="G1443" i="32"/>
  <c r="L1442" i="32"/>
  <c r="J1442" i="32"/>
  <c r="E1442" i="32"/>
  <c r="I1442" i="32"/>
  <c r="D1442" i="32"/>
  <c r="H1442" i="32"/>
  <c r="G1442" i="32"/>
  <c r="L1441" i="32"/>
  <c r="J1441" i="32"/>
  <c r="E1441" i="32"/>
  <c r="I1441" i="32"/>
  <c r="D1441" i="32"/>
  <c r="H1441" i="32"/>
  <c r="G1441" i="32"/>
  <c r="L1440" i="32"/>
  <c r="J1440" i="32"/>
  <c r="E1440" i="32"/>
  <c r="I1440" i="32"/>
  <c r="D1440" i="32"/>
  <c r="H1440" i="32"/>
  <c r="G1440" i="32"/>
  <c r="L1439" i="32"/>
  <c r="J1439" i="32"/>
  <c r="E1439" i="32"/>
  <c r="I1439" i="32"/>
  <c r="D1439" i="32"/>
  <c r="H1439" i="32"/>
  <c r="G1439" i="32"/>
  <c r="L1438" i="32"/>
  <c r="J1438" i="32"/>
  <c r="E1438" i="32"/>
  <c r="I1438" i="32"/>
  <c r="D1438" i="32"/>
  <c r="H1438" i="32"/>
  <c r="G1438" i="32"/>
  <c r="L1437" i="32"/>
  <c r="J1437" i="32"/>
  <c r="E1437" i="32"/>
  <c r="I1437" i="32"/>
  <c r="D1437" i="32"/>
  <c r="H1437" i="32"/>
  <c r="G1437" i="32"/>
  <c r="L1436" i="32"/>
  <c r="J1436" i="32"/>
  <c r="E1436" i="32"/>
  <c r="I1436" i="32"/>
  <c r="D1436" i="32"/>
  <c r="H1436" i="32"/>
  <c r="G1436" i="32"/>
  <c r="L1435" i="32"/>
  <c r="J1435" i="32"/>
  <c r="E1435" i="32"/>
  <c r="I1435" i="32"/>
  <c r="D1435" i="32"/>
  <c r="H1435" i="32"/>
  <c r="G1435" i="32"/>
  <c r="L1434" i="32"/>
  <c r="J1434" i="32"/>
  <c r="E1434" i="32"/>
  <c r="I1434" i="32"/>
  <c r="D1434" i="32"/>
  <c r="H1434" i="32"/>
  <c r="G1434" i="32"/>
  <c r="L1433" i="32"/>
  <c r="J1433" i="32"/>
  <c r="E1433" i="32"/>
  <c r="I1433" i="32"/>
  <c r="D1433" i="32"/>
  <c r="H1433" i="32"/>
  <c r="G1433" i="32"/>
  <c r="L1432" i="32"/>
  <c r="J1432" i="32"/>
  <c r="E1432" i="32"/>
  <c r="I1432" i="32"/>
  <c r="D1432" i="32"/>
  <c r="H1432" i="32"/>
  <c r="G1432" i="32"/>
  <c r="L1431" i="32"/>
  <c r="J1431" i="32"/>
  <c r="E1431" i="32"/>
  <c r="I1431" i="32"/>
  <c r="D1431" i="32"/>
  <c r="H1431" i="32"/>
  <c r="G1431" i="32"/>
  <c r="L1430" i="32"/>
  <c r="J1430" i="32"/>
  <c r="E1430" i="32"/>
  <c r="I1430" i="32"/>
  <c r="D1430" i="32"/>
  <c r="H1430" i="32"/>
  <c r="G1430" i="32"/>
  <c r="L1429" i="32"/>
  <c r="J1429" i="32"/>
  <c r="E1429" i="32"/>
  <c r="I1429" i="32"/>
  <c r="D1429" i="32"/>
  <c r="H1429" i="32"/>
  <c r="G1429" i="32"/>
  <c r="L1428" i="32"/>
  <c r="J1428" i="32"/>
  <c r="E1428" i="32"/>
  <c r="I1428" i="32"/>
  <c r="D1428" i="32"/>
  <c r="H1428" i="32"/>
  <c r="G1428" i="32"/>
  <c r="L1427" i="32"/>
  <c r="J1427" i="32"/>
  <c r="E1427" i="32"/>
  <c r="I1427" i="32"/>
  <c r="D1427" i="32"/>
  <c r="H1427" i="32"/>
  <c r="G1427" i="32"/>
  <c r="L1426" i="32"/>
  <c r="J1426" i="32"/>
  <c r="E1426" i="32"/>
  <c r="I1426" i="32"/>
  <c r="D1426" i="32"/>
  <c r="H1426" i="32"/>
  <c r="G1426" i="32"/>
  <c r="L1425" i="32"/>
  <c r="J1425" i="32"/>
  <c r="E1425" i="32"/>
  <c r="I1425" i="32"/>
  <c r="D1425" i="32"/>
  <c r="H1425" i="32"/>
  <c r="G1425" i="32"/>
  <c r="L1424" i="32"/>
  <c r="J1424" i="32"/>
  <c r="E1424" i="32"/>
  <c r="I1424" i="32"/>
  <c r="D1424" i="32"/>
  <c r="H1424" i="32"/>
  <c r="G1424" i="32"/>
  <c r="L1423" i="32"/>
  <c r="J1423" i="32"/>
  <c r="E1423" i="32"/>
  <c r="I1423" i="32"/>
  <c r="D1423" i="32"/>
  <c r="H1423" i="32"/>
  <c r="G1423" i="32"/>
  <c r="L1422" i="32"/>
  <c r="J1422" i="32"/>
  <c r="E1422" i="32"/>
  <c r="I1422" i="32"/>
  <c r="D1422" i="32"/>
  <c r="H1422" i="32"/>
  <c r="G1422" i="32"/>
  <c r="L1421" i="32"/>
  <c r="J1421" i="32"/>
  <c r="E1421" i="32"/>
  <c r="I1421" i="32"/>
  <c r="D1421" i="32"/>
  <c r="H1421" i="32"/>
  <c r="G1421" i="32"/>
  <c r="L1420" i="32"/>
  <c r="J1420" i="32"/>
  <c r="E1420" i="32"/>
  <c r="I1420" i="32"/>
  <c r="D1420" i="32"/>
  <c r="H1420" i="32"/>
  <c r="G1420" i="32"/>
  <c r="L1419" i="32"/>
  <c r="J1419" i="32"/>
  <c r="E1419" i="32"/>
  <c r="I1419" i="32"/>
  <c r="D1419" i="32"/>
  <c r="H1419" i="32"/>
  <c r="G1419" i="32"/>
  <c r="L1418" i="32"/>
  <c r="J1418" i="32"/>
  <c r="E1418" i="32"/>
  <c r="I1418" i="32"/>
  <c r="D1418" i="32"/>
  <c r="H1418" i="32"/>
  <c r="G1418" i="32"/>
  <c r="L1417" i="32"/>
  <c r="J1417" i="32"/>
  <c r="E1417" i="32"/>
  <c r="I1417" i="32"/>
  <c r="D1417" i="32"/>
  <c r="H1417" i="32"/>
  <c r="G1417" i="32"/>
  <c r="L1416" i="32"/>
  <c r="J1416" i="32"/>
  <c r="E1416" i="32"/>
  <c r="I1416" i="32"/>
  <c r="D1416" i="32"/>
  <c r="H1416" i="32"/>
  <c r="G1416" i="32"/>
  <c r="L1415" i="32"/>
  <c r="J1415" i="32"/>
  <c r="E1415" i="32"/>
  <c r="I1415" i="32"/>
  <c r="D1415" i="32"/>
  <c r="H1415" i="32"/>
  <c r="G1415" i="32"/>
  <c r="L1414" i="32"/>
  <c r="J1414" i="32"/>
  <c r="E1414" i="32"/>
  <c r="I1414" i="32"/>
  <c r="D1414" i="32"/>
  <c r="H1414" i="32"/>
  <c r="G1414" i="32"/>
  <c r="L1413" i="32"/>
  <c r="J1413" i="32"/>
  <c r="E1413" i="32"/>
  <c r="I1413" i="32"/>
  <c r="D1413" i="32"/>
  <c r="H1413" i="32"/>
  <c r="G1413" i="32"/>
  <c r="L1412" i="32"/>
  <c r="J1412" i="32"/>
  <c r="E1412" i="32"/>
  <c r="I1412" i="32"/>
  <c r="D1412" i="32"/>
  <c r="H1412" i="32"/>
  <c r="G1412" i="32"/>
  <c r="L1411" i="32"/>
  <c r="J1411" i="32"/>
  <c r="E1411" i="32"/>
  <c r="I1411" i="32"/>
  <c r="D1411" i="32"/>
  <c r="H1411" i="32"/>
  <c r="G1411" i="32"/>
  <c r="L1410" i="32"/>
  <c r="J1410" i="32"/>
  <c r="E1410" i="32"/>
  <c r="I1410" i="32"/>
  <c r="D1410" i="32"/>
  <c r="H1410" i="32"/>
  <c r="G1410" i="32"/>
  <c r="L1409" i="32"/>
  <c r="J1409" i="32"/>
  <c r="E1409" i="32"/>
  <c r="I1409" i="32"/>
  <c r="D1409" i="32"/>
  <c r="H1409" i="32"/>
  <c r="G1409" i="32"/>
  <c r="L1408" i="32"/>
  <c r="J1408" i="32"/>
  <c r="E1408" i="32"/>
  <c r="I1408" i="32"/>
  <c r="D1408" i="32"/>
  <c r="H1408" i="32"/>
  <c r="G1408" i="32"/>
  <c r="L1407" i="32"/>
  <c r="J1407" i="32"/>
  <c r="E1407" i="32"/>
  <c r="I1407" i="32"/>
  <c r="D1407" i="32"/>
  <c r="H1407" i="32"/>
  <c r="G1407" i="32"/>
  <c r="L1406" i="32"/>
  <c r="J1406" i="32"/>
  <c r="E1406" i="32"/>
  <c r="I1406" i="32"/>
  <c r="D1406" i="32"/>
  <c r="H1406" i="32"/>
  <c r="G1406" i="32"/>
  <c r="L1405" i="32"/>
  <c r="J1405" i="32"/>
  <c r="E1405" i="32"/>
  <c r="I1405" i="32"/>
  <c r="D1405" i="32"/>
  <c r="H1405" i="32"/>
  <c r="G1405" i="32"/>
  <c r="L1404" i="32"/>
  <c r="J1404" i="32"/>
  <c r="E1404" i="32"/>
  <c r="I1404" i="32"/>
  <c r="D1404" i="32"/>
  <c r="H1404" i="32"/>
  <c r="G1404" i="32"/>
  <c r="L1403" i="32"/>
  <c r="J1403" i="32"/>
  <c r="E1403" i="32"/>
  <c r="I1403" i="32"/>
  <c r="D1403" i="32"/>
  <c r="H1403" i="32"/>
  <c r="G1403" i="32"/>
  <c r="L1402" i="32"/>
  <c r="J1402" i="32"/>
  <c r="E1402" i="32"/>
  <c r="I1402" i="32"/>
  <c r="D1402" i="32"/>
  <c r="H1402" i="32"/>
  <c r="G1402" i="32"/>
  <c r="L1401" i="32"/>
  <c r="J1401" i="32"/>
  <c r="E1401" i="32"/>
  <c r="I1401" i="32"/>
  <c r="D1401" i="32"/>
  <c r="H1401" i="32"/>
  <c r="G1401" i="32"/>
  <c r="L1400" i="32"/>
  <c r="J1400" i="32"/>
  <c r="E1400" i="32"/>
  <c r="I1400" i="32"/>
  <c r="D1400" i="32"/>
  <c r="H1400" i="32"/>
  <c r="G1400" i="32"/>
  <c r="L1399" i="32"/>
  <c r="J1399" i="32"/>
  <c r="E1399" i="32"/>
  <c r="I1399" i="32"/>
  <c r="D1399" i="32"/>
  <c r="H1399" i="32"/>
  <c r="G1399" i="32"/>
  <c r="L1398" i="32"/>
  <c r="J1398" i="32"/>
  <c r="E1398" i="32"/>
  <c r="I1398" i="32"/>
  <c r="D1398" i="32"/>
  <c r="H1398" i="32"/>
  <c r="G1398" i="32"/>
  <c r="L1397" i="32"/>
  <c r="J1397" i="32"/>
  <c r="E1397" i="32"/>
  <c r="I1397" i="32"/>
  <c r="D1397" i="32"/>
  <c r="H1397" i="32"/>
  <c r="G1397" i="32"/>
  <c r="L1396" i="32"/>
  <c r="J1396" i="32"/>
  <c r="E1396" i="32"/>
  <c r="I1396" i="32"/>
  <c r="D1396" i="32"/>
  <c r="H1396" i="32"/>
  <c r="G1396" i="32"/>
  <c r="L1395" i="32"/>
  <c r="J1395" i="32"/>
  <c r="E1395" i="32"/>
  <c r="I1395" i="32"/>
  <c r="D1395" i="32"/>
  <c r="H1395" i="32"/>
  <c r="G1395" i="32"/>
  <c r="L1394" i="32"/>
  <c r="J1394" i="32"/>
  <c r="E1394" i="32"/>
  <c r="I1394" i="32"/>
  <c r="D1394" i="32"/>
  <c r="H1394" i="32"/>
  <c r="G1394" i="32"/>
  <c r="L1393" i="32"/>
  <c r="J1393" i="32"/>
  <c r="E1393" i="32"/>
  <c r="I1393" i="32"/>
  <c r="D1393" i="32"/>
  <c r="H1393" i="32"/>
  <c r="G1393" i="32"/>
  <c r="L1392" i="32"/>
  <c r="J1392" i="32"/>
  <c r="E1392" i="32"/>
  <c r="I1392" i="32"/>
  <c r="D1392" i="32"/>
  <c r="H1392" i="32"/>
  <c r="G1392" i="32"/>
  <c r="L1391" i="32"/>
  <c r="J1391" i="32"/>
  <c r="E1391" i="32"/>
  <c r="I1391" i="32"/>
  <c r="D1391" i="32"/>
  <c r="H1391" i="32"/>
  <c r="G1391" i="32"/>
  <c r="L1390" i="32"/>
  <c r="J1390" i="32"/>
  <c r="E1390" i="32"/>
  <c r="I1390" i="32"/>
  <c r="D1390" i="32"/>
  <c r="H1390" i="32"/>
  <c r="G1390" i="32"/>
  <c r="L1389" i="32"/>
  <c r="J1389" i="32"/>
  <c r="E1389" i="32"/>
  <c r="I1389" i="32"/>
  <c r="D1389" i="32"/>
  <c r="H1389" i="32"/>
  <c r="G1389" i="32"/>
  <c r="L1388" i="32"/>
  <c r="J1388" i="32"/>
  <c r="E1388" i="32"/>
  <c r="I1388" i="32"/>
  <c r="D1388" i="32"/>
  <c r="H1388" i="32"/>
  <c r="G1388" i="32"/>
  <c r="L1387" i="32"/>
  <c r="J1387" i="32"/>
  <c r="E1387" i="32"/>
  <c r="I1387" i="32"/>
  <c r="D1387" i="32"/>
  <c r="H1387" i="32"/>
  <c r="G1387" i="32"/>
  <c r="L1386" i="32"/>
  <c r="J1386" i="32"/>
  <c r="E1386" i="32"/>
  <c r="I1386" i="32"/>
  <c r="D1386" i="32"/>
  <c r="H1386" i="32"/>
  <c r="G1386" i="32"/>
  <c r="L1385" i="32"/>
  <c r="J1385" i="32"/>
  <c r="E1385" i="32"/>
  <c r="I1385" i="32"/>
  <c r="D1385" i="32"/>
  <c r="H1385" i="32"/>
  <c r="G1385" i="32"/>
  <c r="L1384" i="32"/>
  <c r="J1384" i="32"/>
  <c r="E1384" i="32"/>
  <c r="I1384" i="32"/>
  <c r="D1384" i="32"/>
  <c r="H1384" i="32"/>
  <c r="G1384" i="32"/>
  <c r="L1383" i="32"/>
  <c r="J1383" i="32"/>
  <c r="E1383" i="32"/>
  <c r="I1383" i="32"/>
  <c r="D1383" i="32"/>
  <c r="H1383" i="32"/>
  <c r="G1383" i="32"/>
  <c r="L1382" i="32"/>
  <c r="J1382" i="32"/>
  <c r="E1382" i="32"/>
  <c r="I1382" i="32"/>
  <c r="D1382" i="32"/>
  <c r="H1382" i="32"/>
  <c r="G1382" i="32"/>
  <c r="L1380" i="32"/>
  <c r="J1380" i="32"/>
  <c r="I1380" i="32"/>
  <c r="D1380" i="32"/>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H1336" i="32" s="1"/>
  <c r="G1332" i="32"/>
  <c r="F1332" i="32" s="1"/>
  <c r="L1331" i="32"/>
  <c r="K1331" i="32"/>
  <c r="J1331" i="32"/>
  <c r="E1331" i="32" s="1"/>
  <c r="I1331" i="32"/>
  <c r="D1331" i="32" s="1"/>
  <c r="H1331" i="32"/>
  <c r="G1331" i="32"/>
  <c r="L1330" i="32"/>
  <c r="L1336" i="32" s="1"/>
  <c r="K1330" i="32"/>
  <c r="J1330" i="32"/>
  <c r="E1330" i="32" s="1"/>
  <c r="I1330" i="32"/>
  <c r="D1330" i="32" s="1"/>
  <c r="H1330" i="32"/>
  <c r="G1330" i="32"/>
  <c r="F1330" i="32" s="1"/>
  <c r="L1329" i="32"/>
  <c r="K1329" i="32"/>
  <c r="J1329" i="32"/>
  <c r="E1329" i="32" s="1"/>
  <c r="I1329" i="32"/>
  <c r="D1329" i="32" s="1"/>
  <c r="H1329" i="32"/>
  <c r="G1329" i="32"/>
  <c r="L1327" i="32"/>
  <c r="K1327" i="32"/>
  <c r="J1327" i="32"/>
  <c r="E1327" i="32"/>
  <c r="I1327" i="32"/>
  <c r="D1327" i="32" s="1"/>
  <c r="H1327" i="32"/>
  <c r="G1327" i="32"/>
  <c r="L1326" i="32"/>
  <c r="K1326" i="32"/>
  <c r="J1326" i="32"/>
  <c r="E1326" i="32"/>
  <c r="I1326" i="32"/>
  <c r="D1326" i="32" s="1"/>
  <c r="H1326" i="32"/>
  <c r="G1326" i="32"/>
  <c r="L1325" i="32"/>
  <c r="K1325" i="32"/>
  <c r="J1325" i="32"/>
  <c r="E1325" i="32"/>
  <c r="I1325" i="32"/>
  <c r="D1325" i="32" s="1"/>
  <c r="H1325" i="32"/>
  <c r="G1325" i="32"/>
  <c r="L1324" i="32"/>
  <c r="K1324" i="32"/>
  <c r="J1324" i="32"/>
  <c r="E1324" i="32"/>
  <c r="I1324" i="32"/>
  <c r="D1324" i="32" s="1"/>
  <c r="H1324" i="32"/>
  <c r="G1324" i="32"/>
  <c r="L1323" i="32"/>
  <c r="L1328" i="32" s="1"/>
  <c r="K1323" i="32"/>
  <c r="J1323" i="32"/>
  <c r="E1323" i="32" s="1"/>
  <c r="I1323" i="32"/>
  <c r="D1323" i="32" s="1"/>
  <c r="H1323" i="32"/>
  <c r="H1328" i="32" s="1"/>
  <c r="G1323" i="32"/>
  <c r="F1323" i="32" s="1"/>
  <c r="F1328" i="32" s="1"/>
  <c r="L1321" i="32"/>
  <c r="K1321" i="32"/>
  <c r="J1321" i="32"/>
  <c r="E1321" i="32" s="1"/>
  <c r="I1321" i="32"/>
  <c r="D1321" i="32" s="1"/>
  <c r="H1321" i="32"/>
  <c r="F1321" i="32" s="1"/>
  <c r="G1321" i="32"/>
  <c r="L1320" i="32"/>
  <c r="K1320" i="32"/>
  <c r="J1320" i="32"/>
  <c r="E1320" i="32"/>
  <c r="I1320" i="32"/>
  <c r="D1320" i="32" s="1"/>
  <c r="H1320" i="32"/>
  <c r="G1320" i="32"/>
  <c r="F1320" i="32" s="1"/>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F1317" i="32" s="1"/>
  <c r="G1317" i="32"/>
  <c r="L1316" i="32"/>
  <c r="K1316" i="32"/>
  <c r="J1316" i="32"/>
  <c r="E1316" i="32" s="1"/>
  <c r="I1316" i="32"/>
  <c r="D1316" i="32" s="1"/>
  <c r="H1316" i="32"/>
  <c r="G1316" i="32"/>
  <c r="F1316" i="32" s="1"/>
  <c r="L1315" i="32"/>
  <c r="K1315" i="32"/>
  <c r="K1322" i="32" s="1"/>
  <c r="J1315" i="32"/>
  <c r="E1315" i="32" s="1"/>
  <c r="I1315" i="32"/>
  <c r="D1315" i="32" s="1"/>
  <c r="H1315" i="32"/>
  <c r="H1322" i="32" s="1"/>
  <c r="G1315" i="32"/>
  <c r="F1605" i="32"/>
  <c r="F1669" i="32"/>
  <c r="F1608" i="32"/>
  <c r="F1391" i="32"/>
  <c r="F1331" i="32"/>
  <c r="F1709" i="32"/>
  <c r="F1307" i="32"/>
  <c r="F1301" i="32"/>
  <c r="F1442" i="32"/>
  <c r="F1309" i="32"/>
  <c r="F1626" i="32"/>
  <c r="F1468" i="32"/>
  <c r="F1484" i="32"/>
  <c r="F1492" i="32"/>
  <c r="F1500" i="32"/>
  <c r="F1524" i="32"/>
  <c r="F1532" i="32"/>
  <c r="F1634" i="32"/>
  <c r="F1658"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585" i="32"/>
  <c r="F1589" i="32"/>
  <c r="F1637" i="32"/>
  <c r="F1435" i="32"/>
  <c r="F1467" i="32"/>
  <c r="F1475" i="32"/>
  <c r="F1560" i="32"/>
  <c r="F1595" i="32"/>
  <c r="F1438" i="32"/>
  <c r="F1454" i="32"/>
  <c r="F1478" i="32"/>
  <c r="F1539" i="32"/>
  <c r="F1689" i="32"/>
  <c r="F1685" i="32"/>
  <c r="F1681" i="32"/>
  <c r="L1711" i="32"/>
  <c r="F1602" i="32"/>
  <c r="K1711" i="32"/>
  <c r="F1593" i="32"/>
  <c r="E1700" i="32"/>
  <c r="E1711" i="32"/>
  <c r="J1711" i="32"/>
  <c r="F1334" i="32"/>
  <c r="D1700" i="32"/>
  <c r="D1711" i="32"/>
  <c r="I1711"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1698" i="32"/>
  <c r="F1319" i="32"/>
  <c r="F35" i="32"/>
  <c r="F1606" i="32"/>
  <c r="F1610" i="32"/>
  <c r="F1614" i="32"/>
  <c r="F1618" i="32"/>
  <c r="F1638" i="32"/>
  <c r="F1473" i="32"/>
  <c r="F1521" i="32"/>
  <c r="F1673" i="32"/>
  <c r="F1547"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443" i="32"/>
  <c r="F1549" i="32"/>
  <c r="F1552" i="32"/>
  <c r="F1392" i="32"/>
  <c r="F1459" i="32"/>
  <c r="F1537" i="32"/>
  <c r="F1622" i="32"/>
  <c r="F1630" i="32"/>
  <c r="F1642" i="32"/>
  <c r="F1523" i="32"/>
  <c r="F1399" i="32"/>
  <c r="F1445" i="32"/>
  <c r="F1453" i="32"/>
  <c r="F1544" i="32"/>
  <c r="F1550" i="32"/>
  <c r="F1421" i="32"/>
  <c r="F1449" i="32"/>
  <c r="F1452" i="32"/>
  <c r="F1535" i="32"/>
  <c r="F1543" i="32"/>
  <c r="F1546" i="32"/>
  <c r="F1588" i="32"/>
  <c r="F1600" i="32"/>
  <c r="F1616" i="32"/>
  <c r="F1628" i="32"/>
  <c r="F1636" i="32"/>
  <c r="F1390" i="32"/>
  <c r="F1410" i="32"/>
  <c r="F1432" i="32"/>
  <c r="F1446" i="32"/>
  <c r="F1460" i="32"/>
  <c r="F1545" i="32"/>
  <c r="F1655" i="32"/>
  <c r="L1699" i="32"/>
  <c r="F1448" i="32"/>
  <c r="F1451" i="32"/>
  <c r="F1490" i="32"/>
  <c r="F1496" i="32"/>
  <c r="F1326" i="32"/>
  <c r="F1380" i="32"/>
  <c r="F1395" i="32"/>
  <c r="F1531" i="32"/>
  <c r="F1296" i="32"/>
  <c r="F1462" i="32"/>
  <c r="F1646" i="32"/>
  <c r="F1670" i="32"/>
  <c r="F1434" i="32"/>
  <c r="F1567" i="32"/>
  <c r="F1633" i="32"/>
  <c r="F1677" i="32"/>
  <c r="F38" i="32"/>
  <c r="F1695" i="32"/>
  <c r="F1690" i="32"/>
  <c r="K1328" i="32"/>
  <c r="F1408" i="32"/>
  <c r="F1427" i="32"/>
  <c r="F1430" i="32"/>
  <c r="F1444" i="32"/>
  <c r="F1447" i="32"/>
  <c r="F1472" i="32"/>
  <c r="F1489" i="32"/>
  <c r="F1538" i="32"/>
  <c r="F1553" i="32"/>
  <c r="F1304" i="32"/>
  <c r="F1305" i="32"/>
  <c r="F1404" i="32"/>
  <c r="F1436" i="32"/>
  <c r="F1439" i="32"/>
  <c r="F1485" i="32"/>
  <c r="F1494" i="32"/>
  <c r="F1522" i="32"/>
  <c r="F1540" i="32"/>
  <c r="F1660" i="32"/>
  <c r="F1665" i="32"/>
  <c r="F1706" i="32"/>
  <c r="F1702" i="32"/>
  <c r="F1400" i="32"/>
  <c r="F1406" i="32"/>
  <c r="F1420" i="32"/>
  <c r="F1482" i="32"/>
  <c r="F1509" i="32"/>
  <c r="F1512" i="32"/>
  <c r="F1515" i="32"/>
  <c r="F1518" i="32"/>
  <c r="F1533" i="32"/>
  <c r="F1536" i="32"/>
  <c r="F1557" i="32"/>
  <c r="F1561" i="32"/>
  <c r="F1650" i="32"/>
  <c r="F1654" i="32"/>
  <c r="F1683" i="32"/>
  <c r="F1641" i="32"/>
  <c r="F1645" i="32"/>
  <c r="F1333" i="32"/>
  <c r="F1387" i="32"/>
  <c r="F1403" i="32"/>
  <c r="F1411" i="32"/>
  <c r="F1414" i="32"/>
  <c r="F1429" i="32"/>
  <c r="F1470" i="32"/>
  <c r="F1487" i="32"/>
  <c r="F42" i="32"/>
  <c r="F1308" i="32"/>
  <c r="F1425" i="32"/>
  <c r="F1461" i="32"/>
  <c r="F1671" i="32"/>
  <c r="H1699" i="32"/>
  <c r="F41" i="32"/>
  <c r="F1708" i="32"/>
  <c r="F1704"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407" i="32"/>
  <c r="F1413" i="32"/>
  <c r="F1298" i="32"/>
  <c r="F1300" i="32"/>
  <c r="K1676"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672" i="32"/>
  <c r="H1711" i="32"/>
  <c r="G27" i="32"/>
  <c r="F1530" i="32"/>
  <c r="F1397" i="32"/>
  <c r="F1555" i="32"/>
  <c r="F1694" i="32"/>
  <c r="F1707" i="32"/>
  <c r="F1703" i="32"/>
  <c r="H26" i="32"/>
  <c r="F1501" i="32"/>
  <c r="F1513" i="32"/>
  <c r="F1393" i="32"/>
  <c r="F1440" i="32"/>
  <c r="F1466" i="32"/>
  <c r="F1469" i="32"/>
  <c r="F1481" i="32"/>
  <c r="F1519" i="32"/>
  <c r="F1381" i="32"/>
  <c r="D1676" i="32"/>
  <c r="I27" i="32"/>
  <c r="D27" i="32" s="1"/>
  <c r="E1699" i="32"/>
  <c r="J1322" i="32"/>
  <c r="F1299" i="32"/>
  <c r="L26" i="32"/>
  <c r="L1676" i="32"/>
  <c r="H27" i="32"/>
  <c r="F1696" i="32"/>
  <c r="F1691" i="32"/>
  <c r="F1687" i="32"/>
  <c r="I1699" i="32"/>
  <c r="D1699" i="32"/>
  <c r="F1409" i="32"/>
  <c r="F1441" i="32"/>
  <c r="J1699" i="32"/>
  <c r="J1328" i="32"/>
  <c r="F1327" i="32"/>
  <c r="F1394" i="32"/>
  <c r="F1426" i="32"/>
  <c r="F1433" i="32"/>
  <c r="F1465" i="32"/>
  <c r="F1497" i="32"/>
  <c r="F1529" i="32"/>
  <c r="F1697" i="32"/>
  <c r="F1692" i="32"/>
  <c r="F1688" i="32"/>
  <c r="G1711" i="32"/>
  <c r="F1418" i="32"/>
  <c r="F1306" i="32"/>
  <c r="F1325" i="32"/>
  <c r="K1336" i="32"/>
  <c r="F1385" i="32"/>
  <c r="F1424" i="32"/>
  <c r="F1456" i="32"/>
  <c r="F1488" i="32"/>
  <c r="F1520" i="32"/>
  <c r="F1563" i="32"/>
  <c r="F1564" i="32"/>
  <c r="F37" i="32"/>
  <c r="F39" i="32"/>
  <c r="F1705" i="32"/>
  <c r="F1701" i="32"/>
  <c r="F1686" i="32"/>
  <c r="K1699" i="32"/>
  <c r="F1693" i="32"/>
  <c r="G1328" i="32"/>
  <c r="F1324" i="32"/>
  <c r="G1699" i="32"/>
  <c r="F1680" i="32"/>
  <c r="J25" i="32"/>
  <c r="H25" i="32"/>
  <c r="L25" i="32"/>
  <c r="G1336" i="32"/>
  <c r="F1329" i="32"/>
  <c r="H1676" i="32"/>
  <c r="F1384" i="32"/>
  <c r="G1676" i="32"/>
  <c r="I1676" i="32"/>
  <c r="L1322" i="32"/>
  <c r="E1380" i="32"/>
  <c r="E1676" i="32"/>
  <c r="J1676" i="32"/>
  <c r="F1417" i="32"/>
  <c r="K26" i="32"/>
  <c r="I25" i="32"/>
  <c r="K25" i="32"/>
  <c r="G25" i="32"/>
  <c r="F25" i="32" s="1"/>
  <c r="J26" i="32"/>
  <c r="E26" i="32" s="1"/>
  <c r="K27" i="32"/>
  <c r="D37" i="32"/>
  <c r="J27" i="32"/>
  <c r="E27" i="32" s="1"/>
  <c r="L27" i="32"/>
  <c r="K1314" i="32"/>
  <c r="G26" i="32"/>
  <c r="F26" i="32" s="1"/>
  <c r="I26" i="32"/>
  <c r="D26" i="32" s="1"/>
  <c r="F1700" i="32"/>
  <c r="F1711" i="32"/>
  <c r="F27" i="32"/>
  <c r="F1676" i="32"/>
  <c r="F1699" i="32"/>
  <c r="D25" i="32"/>
  <c r="E25" i="32"/>
  <c r="C16" i="32"/>
  <c r="E16" i="32"/>
  <c r="D16" i="32"/>
  <c r="F16" i="32"/>
  <c r="N26" i="59" l="1"/>
  <c r="R26" i="59" s="1"/>
  <c r="C36" i="56"/>
  <c r="C33" i="56"/>
  <c r="C35" i="56"/>
  <c r="C52" i="56"/>
  <c r="K36" i="56"/>
  <c r="K18" i="59"/>
  <c r="K17" i="59"/>
  <c r="B48" i="46"/>
  <c r="B44" i="56"/>
  <c r="B49" i="46"/>
  <c r="B45" i="56"/>
  <c r="B47" i="46"/>
  <c r="B43" i="56"/>
  <c r="B45" i="46"/>
  <c r="B42" i="56"/>
  <c r="B162" i="56"/>
  <c r="B186" i="56" s="1"/>
  <c r="B198" i="56" s="1"/>
  <c r="J18" i="59"/>
  <c r="J17" i="59"/>
  <c r="P70" i="59"/>
  <c r="R70" i="59" s="1"/>
  <c r="P69" i="59"/>
  <c r="R69" i="59" s="1"/>
  <c r="K25" i="59"/>
  <c r="K29" i="59"/>
  <c r="G25" i="59"/>
  <c r="M25" i="59" s="1"/>
  <c r="G29" i="59"/>
  <c r="M30" i="59"/>
  <c r="N30" i="59" s="1"/>
  <c r="R30" i="59" s="1"/>
  <c r="P35" i="59"/>
  <c r="R37" i="59"/>
  <c r="P36" i="59"/>
  <c r="R36" i="59" s="1"/>
  <c r="R38" i="59"/>
  <c r="FN23" i="32"/>
  <c r="D1328" i="32"/>
  <c r="G23" i="32"/>
  <c r="GI23" i="32"/>
  <c r="CK23" i="32"/>
  <c r="CX23" i="32"/>
  <c r="AK23" i="32"/>
  <c r="AG23" i="32"/>
  <c r="BH23" i="32"/>
  <c r="BL23" i="32"/>
  <c r="EH23" i="32"/>
  <c r="EX23" i="32"/>
  <c r="BG23" i="32"/>
  <c r="BT23" i="32"/>
  <c r="I23" i="32"/>
  <c r="BQ23" i="32"/>
  <c r="FL23" i="32"/>
  <c r="DY23" i="32"/>
  <c r="DC23" i="32"/>
  <c r="FJ23" i="32"/>
  <c r="CZ23" i="32"/>
  <c r="F1336" i="32"/>
  <c r="J1314" i="32"/>
  <c r="E1328" i="32"/>
  <c r="F1164" i="32"/>
  <c r="F1077" i="32"/>
  <c r="F1022" i="32"/>
  <c r="F1007" i="32"/>
  <c r="F1004" i="32"/>
  <c r="F967" i="32"/>
  <c r="F919" i="32"/>
  <c r="I1328" i="32"/>
  <c r="G1322" i="32"/>
  <c r="D1314" i="32"/>
  <c r="F1135" i="32"/>
  <c r="F1083" i="32"/>
  <c r="F1337" i="32"/>
  <c r="G1379" i="32"/>
  <c r="F1028" i="32"/>
  <c r="F1027" i="32"/>
  <c r="F979" i="32"/>
  <c r="F955" i="32"/>
  <c r="F920" i="32"/>
  <c r="I1322" i="32"/>
  <c r="F29" i="32"/>
  <c r="F1173" i="32"/>
  <c r="F1138" i="32"/>
  <c r="F1133" i="32"/>
  <c r="F1130" i="32"/>
  <c r="F1088" i="32"/>
  <c r="F1053" i="32"/>
  <c r="F1050" i="32"/>
  <c r="F1039" i="32"/>
  <c r="F1034" i="32"/>
  <c r="F1033" i="32"/>
  <c r="F956" i="32"/>
  <c r="I1336" i="32"/>
  <c r="J1336" i="32"/>
  <c r="E1322" i="32"/>
  <c r="D1336" i="32"/>
  <c r="F1106" i="32"/>
  <c r="I1314" i="32"/>
  <c r="F1160" i="32"/>
  <c r="F1154" i="32"/>
  <c r="F1148" i="32"/>
  <c r="F1109" i="32"/>
  <c r="F1108" i="32"/>
  <c r="F1104" i="32"/>
  <c r="F1064" i="32"/>
  <c r="F930" i="32"/>
  <c r="F818" i="32"/>
  <c r="F812" i="32"/>
  <c r="F757" i="32"/>
  <c r="F743" i="32"/>
  <c r="F649" i="32"/>
  <c r="F633" i="32"/>
  <c r="F631" i="32"/>
  <c r="F616" i="32"/>
  <c r="F607" i="32"/>
  <c r="F589" i="32"/>
  <c r="F586" i="32"/>
  <c r="F569" i="32"/>
  <c r="F567" i="32"/>
  <c r="F563" i="32"/>
  <c r="F560" i="32"/>
  <c r="F554" i="32"/>
  <c r="F552" i="32"/>
  <c r="F545" i="32"/>
  <c r="F542" i="32"/>
  <c r="F523" i="32"/>
  <c r="F522" i="32"/>
  <c r="F484" i="32"/>
  <c r="F483" i="32"/>
  <c r="F459" i="32"/>
  <c r="F1268" i="32"/>
  <c r="F1207" i="32"/>
  <c r="H1379" i="32"/>
  <c r="F936" i="32"/>
  <c r="F934" i="32"/>
  <c r="F931" i="32"/>
  <c r="F929" i="32"/>
  <c r="F896" i="32"/>
  <c r="F892" i="32"/>
  <c r="F890" i="32"/>
  <c r="F849" i="32"/>
  <c r="F793" i="32"/>
  <c r="F745" i="32"/>
  <c r="F707" i="32"/>
  <c r="F702" i="32"/>
  <c r="F653" i="32"/>
  <c r="F652" i="32"/>
  <c r="F636" i="32"/>
  <c r="F601" i="32"/>
  <c r="F597" i="32"/>
  <c r="F575" i="32"/>
  <c r="F502" i="32"/>
  <c r="F498" i="32"/>
  <c r="F497" i="32"/>
  <c r="F465" i="32"/>
  <c r="F463" i="32"/>
  <c r="F445" i="32"/>
  <c r="F443" i="32"/>
  <c r="F388" i="32"/>
  <c r="F387" i="32"/>
  <c r="F364" i="32"/>
  <c r="F226" i="32"/>
  <c r="F777" i="32"/>
  <c r="F773" i="32"/>
  <c r="F673" i="32"/>
  <c r="F581" i="32"/>
  <c r="F487" i="32"/>
  <c r="F474" i="32"/>
  <c r="F472" i="32"/>
  <c r="F470" i="32"/>
  <c r="F449" i="32"/>
  <c r="F82" i="32"/>
  <c r="F904" i="32"/>
  <c r="F902" i="32"/>
  <c r="F862" i="32"/>
  <c r="F779" i="32"/>
  <c r="F722" i="32"/>
  <c r="F716" i="32"/>
  <c r="F692" i="32"/>
  <c r="F669" i="32"/>
  <c r="F664" i="32"/>
  <c r="F514" i="32"/>
  <c r="F492" i="32"/>
  <c r="F450" i="32"/>
  <c r="F424" i="32"/>
  <c r="F234" i="32"/>
  <c r="F139" i="32"/>
  <c r="F138" i="32"/>
  <c r="F520" i="32"/>
  <c r="F873" i="32"/>
  <c r="F731" i="32"/>
  <c r="F611" i="32"/>
  <c r="F112" i="32"/>
  <c r="F393" i="32"/>
  <c r="F218" i="32"/>
  <c r="F215" i="32"/>
  <c r="F175" i="32"/>
  <c r="F102" i="32"/>
  <c r="F96" i="32"/>
  <c r="F93" i="32"/>
  <c r="F78" i="32"/>
  <c r="F46" i="32"/>
  <c r="F1271" i="32"/>
  <c r="F1267" i="32"/>
  <c r="F1338" i="32"/>
  <c r="E1379" i="32"/>
  <c r="F410" i="32"/>
  <c r="F374" i="32"/>
  <c r="F373" i="32"/>
  <c r="F308" i="32"/>
  <c r="F306" i="32"/>
  <c r="F294" i="32"/>
  <c r="F282" i="32"/>
  <c r="F281" i="32"/>
  <c r="F222" i="32"/>
  <c r="F186" i="32"/>
  <c r="F100" i="32"/>
  <c r="F98" i="32"/>
  <c r="F97" i="32"/>
  <c r="L1379" i="32"/>
  <c r="F409" i="32"/>
  <c r="F379" i="32"/>
  <c r="F334" i="32"/>
  <c r="F316" i="32"/>
  <c r="F165" i="32"/>
  <c r="F149" i="32"/>
  <c r="F1258" i="32"/>
  <c r="F1236" i="32"/>
  <c r="F1224" i="32"/>
  <c r="F1223" i="32"/>
  <c r="I1379" i="32"/>
  <c r="K1379" i="32"/>
  <c r="F1339" i="32"/>
  <c r="F412" i="32"/>
  <c r="F380" i="32"/>
  <c r="F354" i="32"/>
  <c r="F336" i="32"/>
  <c r="F321" i="32"/>
  <c r="F318" i="32"/>
  <c r="F269" i="32"/>
  <c r="F198" i="32"/>
  <c r="F164" i="32"/>
  <c r="F163" i="32"/>
  <c r="F124" i="32"/>
  <c r="F1284" i="32"/>
  <c r="F1259" i="32"/>
  <c r="F1255" i="32"/>
  <c r="F1251" i="32"/>
  <c r="F1232" i="32"/>
  <c r="F1341" i="32"/>
  <c r="F360" i="32"/>
  <c r="F352" i="32"/>
  <c r="F113" i="32"/>
  <c r="F1287" i="32"/>
  <c r="H23" i="32"/>
  <c r="F23" i="32" s="1"/>
  <c r="EU23" i="32"/>
  <c r="EA23" i="32"/>
  <c r="BZ23" i="32"/>
  <c r="CB23" i="32"/>
  <c r="BK23" i="32"/>
  <c r="GF23" i="32"/>
  <c r="FP23" i="32"/>
  <c r="AB23" i="32"/>
  <c r="AE23" i="32"/>
  <c r="GG23" i="32"/>
  <c r="CI23" i="32"/>
  <c r="BC23" i="32"/>
  <c r="CG23" i="32"/>
  <c r="S23" i="32"/>
  <c r="GC23" i="32"/>
  <c r="CR23" i="32"/>
  <c r="AW23" i="32"/>
  <c r="AR23" i="32"/>
  <c r="AD23" i="32"/>
  <c r="D1322" i="32"/>
  <c r="FM23" i="32"/>
  <c r="L23" i="32"/>
  <c r="FE23" i="32"/>
  <c r="EN23" i="32"/>
  <c r="DZ23" i="32"/>
  <c r="BI23" i="32"/>
  <c r="FW23" i="32"/>
  <c r="DV23" i="32"/>
  <c r="AL23" i="32"/>
  <c r="CS23" i="32"/>
  <c r="GB23" i="32"/>
  <c r="EV23" i="32"/>
  <c r="FO23" i="32"/>
  <c r="DJ23" i="32"/>
  <c r="W23" i="32"/>
  <c r="Q23" i="32"/>
  <c r="EF23" i="32"/>
  <c r="AV23" i="32"/>
  <c r="Z23" i="32"/>
  <c r="CA23" i="32"/>
  <c r="AU23" i="32"/>
  <c r="D23" i="32"/>
  <c r="J23" i="32"/>
  <c r="EC23" i="32"/>
  <c r="V23" i="32"/>
  <c r="FY23" i="32"/>
  <c r="ED23" i="32"/>
  <c r="DK23" i="32"/>
  <c r="AX23" i="32"/>
  <c r="DI23" i="32"/>
  <c r="DS23" i="32"/>
  <c r="AP23" i="32"/>
  <c r="EE23" i="32"/>
  <c r="AQ23" i="32"/>
  <c r="FS23" i="32"/>
  <c r="FV23" i="32"/>
  <c r="AZ23" i="32"/>
  <c r="X23" i="32"/>
  <c r="GA23" i="32"/>
  <c r="AI23" i="32"/>
  <c r="AJ23" i="32"/>
  <c r="EO23" i="32"/>
  <c r="E1336" i="32"/>
  <c r="E23" i="32"/>
  <c r="FT23" i="32"/>
  <c r="CE23" i="32"/>
  <c r="BR23" i="32"/>
  <c r="BA23" i="32"/>
  <c r="AY23" i="32"/>
  <c r="EP23" i="32"/>
  <c r="GD23" i="32"/>
  <c r="EJ23" i="32"/>
  <c r="N23" i="32"/>
  <c r="DM23" i="32"/>
  <c r="CO23" i="32"/>
  <c r="CC23" i="32"/>
  <c r="DB23" i="32"/>
  <c r="EK23" i="32"/>
  <c r="EY23" i="32"/>
  <c r="GH23" i="32"/>
  <c r="BV23" i="32"/>
  <c r="FU23" i="32"/>
  <c r="DD23" i="32"/>
  <c r="EQ23" i="32"/>
  <c r="M23" i="32"/>
  <c r="FD23" i="32"/>
  <c r="CN23" i="32"/>
  <c r="CY23" i="32"/>
  <c r="FI23" i="32"/>
  <c r="CF23" i="32"/>
  <c r="EW23" i="32"/>
  <c r="CL23" i="32"/>
  <c r="BS23" i="32"/>
  <c r="FF23" i="32"/>
  <c r="CV23" i="32"/>
  <c r="FG23" i="32"/>
  <c r="EB23" i="32"/>
  <c r="AH23" i="32"/>
  <c r="EI23" i="32"/>
  <c r="CH23" i="32"/>
  <c r="DT23" i="32"/>
  <c r="FH23" i="32"/>
  <c r="EG23" i="32"/>
  <c r="AT23" i="32"/>
  <c r="GK23" i="32"/>
  <c r="AN23" i="32"/>
  <c r="AS23" i="32"/>
  <c r="DE23" i="32"/>
  <c r="CW23" i="32"/>
  <c r="BU23" i="32"/>
  <c r="DU23" i="32"/>
  <c r="BM23" i="32"/>
  <c r="FX23" i="32"/>
  <c r="DQ23" i="32"/>
  <c r="DL23" i="32"/>
  <c r="CU23" i="32"/>
  <c r="AA23" i="32"/>
  <c r="BF23" i="32"/>
  <c r="BY23" i="32"/>
  <c r="DG23" i="32"/>
  <c r="T23" i="32"/>
  <c r="DO23" i="32"/>
  <c r="R23" i="32"/>
  <c r="P23" i="32"/>
  <c r="FB23" i="32"/>
  <c r="AC23" i="32"/>
  <c r="ER23" i="32"/>
  <c r="DN23" i="32"/>
  <c r="Y23" i="32"/>
  <c r="CT23" i="32"/>
  <c r="FK23" i="32"/>
  <c r="AM23" i="32"/>
  <c r="DF23" i="32"/>
  <c r="BJ23" i="32"/>
  <c r="BE23" i="32"/>
  <c r="BN23" i="32"/>
  <c r="CP23" i="32"/>
  <c r="GJ23" i="32"/>
  <c r="CM23" i="32"/>
  <c r="EZ23" i="32"/>
  <c r="CJ23" i="32"/>
  <c r="BB23" i="32"/>
  <c r="AO23" i="32"/>
  <c r="FZ23" i="32"/>
  <c r="BP23" i="32"/>
  <c r="DW23" i="32"/>
  <c r="U23" i="32"/>
  <c r="O23" i="32"/>
  <c r="FQ23" i="32"/>
  <c r="AF23" i="32"/>
  <c r="EM23" i="32"/>
  <c r="CD23" i="32"/>
  <c r="K23" i="32"/>
  <c r="FR23" i="32"/>
  <c r="FC23" i="32"/>
  <c r="BW23" i="32"/>
  <c r="BD23" i="32"/>
  <c r="DA23" i="32"/>
  <c r="DP23" i="32"/>
  <c r="DX23" i="32"/>
  <c r="BO23" i="32"/>
  <c r="FA23" i="32"/>
  <c r="DH23" i="32"/>
  <c r="GL23" i="32"/>
  <c r="BX23" i="32"/>
  <c r="ES23" i="32"/>
  <c r="DR23" i="32"/>
  <c r="CQ23" i="32"/>
  <c r="ET23" i="32"/>
  <c r="GE23" i="32"/>
  <c r="EL23" i="32"/>
  <c r="E1314" i="32"/>
  <c r="F1315" i="32"/>
  <c r="F1322" i="32" s="1"/>
  <c r="F299" i="32"/>
  <c r="F298" i="32"/>
  <c r="D1379" i="32"/>
  <c r="J1379" i="32"/>
  <c r="K158" i="56"/>
  <c r="K162" i="56"/>
  <c r="K161" i="56"/>
  <c r="K45" i="56"/>
  <c r="K34" i="56"/>
  <c r="R112" i="59"/>
  <c r="C39" i="42" s="1"/>
  <c r="P101" i="59"/>
  <c r="R101" i="59" s="1"/>
  <c r="K43" i="56"/>
  <c r="K44" i="56"/>
  <c r="K160" i="56"/>
  <c r="K159" i="56"/>
  <c r="K35" i="56"/>
  <c r="K163" i="56"/>
  <c r="M63" i="59"/>
  <c r="N63" i="59" s="1"/>
  <c r="R63" i="59" s="1"/>
  <c r="C14" i="32"/>
  <c r="D14" i="32" s="1"/>
  <c r="E14" i="32" s="1"/>
  <c r="F14" i="32" s="1"/>
  <c r="E12" i="50" s="1"/>
  <c r="E14" i="50" s="1"/>
  <c r="E26" i="50" s="1"/>
  <c r="F9" i="59"/>
  <c r="B158" i="56"/>
  <c r="B182" i="56" s="1"/>
  <c r="B194" i="56" s="1"/>
  <c r="P54" i="59"/>
  <c r="R54" i="59" s="1"/>
  <c r="P86" i="59"/>
  <c r="R86" i="59" s="1"/>
  <c r="N79" i="59"/>
  <c r="O79" i="59" s="1"/>
  <c r="R79" i="59" s="1"/>
  <c r="P16" i="32"/>
  <c r="H48" i="57"/>
  <c r="J48" i="57" s="1"/>
  <c r="H47" i="57"/>
  <c r="J47" i="57" s="1"/>
  <c r="H46" i="57"/>
  <c r="J46" i="57" s="1"/>
  <c r="K21" i="57"/>
  <c r="F45" i="57"/>
  <c r="K45" i="57" s="1"/>
  <c r="D24" i="57"/>
  <c r="K24" i="57" s="1"/>
  <c r="E28" i="57"/>
  <c r="D41" i="57"/>
  <c r="F41" i="57"/>
  <c r="E23" i="57"/>
  <c r="F23" i="57"/>
  <c r="D23" i="57"/>
  <c r="E27" i="57"/>
  <c r="F27" i="57"/>
  <c r="D27" i="57"/>
  <c r="K43" i="57"/>
  <c r="D22" i="57"/>
  <c r="F46" i="57"/>
  <c r="F44" i="57"/>
  <c r="K44" i="57" s="1"/>
  <c r="E48" i="57"/>
  <c r="D48" i="57"/>
  <c r="F20" i="57"/>
  <c r="D20" i="57"/>
  <c r="E20" i="57"/>
  <c r="E32" i="57"/>
  <c r="F32" i="57"/>
  <c r="D32" i="57"/>
  <c r="E39" i="57"/>
  <c r="D39" i="57"/>
  <c r="F39" i="57"/>
  <c r="E17" i="57"/>
  <c r="D17" i="57"/>
  <c r="F17" i="57"/>
  <c r="D35" i="57"/>
  <c r="E35" i="57"/>
  <c r="F35" i="57"/>
  <c r="E36" i="57"/>
  <c r="F36" i="57"/>
  <c r="D36" i="57"/>
  <c r="D13" i="57"/>
  <c r="E13" i="57"/>
  <c r="F13" i="57"/>
  <c r="D31" i="57"/>
  <c r="E31" i="57"/>
  <c r="F31" i="57"/>
  <c r="D29" i="57"/>
  <c r="E38" i="57"/>
  <c r="F28" i="57"/>
  <c r="E30" i="57"/>
  <c r="E22" i="57"/>
  <c r="E42" i="57"/>
  <c r="K42" i="57" s="1"/>
  <c r="D19" i="57"/>
  <c r="F19" i="57"/>
  <c r="D30" i="57"/>
  <c r="D26" i="57"/>
  <c r="F29" i="57"/>
  <c r="D25" i="57"/>
  <c r="E19" i="57"/>
  <c r="F15" i="57"/>
  <c r="E41" i="57"/>
  <c r="E26" i="57"/>
  <c r="F25" i="57"/>
  <c r="D34" i="57"/>
  <c r="F38" i="57"/>
  <c r="F34" i="57"/>
  <c r="F22" i="57"/>
  <c r="E27" i="50" l="1"/>
  <c r="E28" i="50" s="1"/>
  <c r="E29" i="50" s="1"/>
  <c r="E30" i="50" s="1"/>
  <c r="N25" i="59"/>
  <c r="R25" i="59" s="1"/>
  <c r="B64" i="46"/>
  <c r="B54" i="56"/>
  <c r="B66" i="46"/>
  <c r="B56" i="56"/>
  <c r="B62" i="46"/>
  <c r="B52" i="56"/>
  <c r="B65" i="46"/>
  <c r="B55" i="56"/>
  <c r="B163" i="56"/>
  <c r="B187" i="56" s="1"/>
  <c r="B199" i="56" s="1"/>
  <c r="M29" i="59"/>
  <c r="N29" i="59" s="1"/>
  <c r="R29" i="59" s="1"/>
  <c r="G26" i="50"/>
  <c r="F1379" i="32"/>
  <c r="I26" i="50"/>
  <c r="J26" i="50"/>
  <c r="H26" i="50"/>
  <c r="F26" i="50"/>
  <c r="F1314" i="32"/>
  <c r="H17" i="59"/>
  <c r="H18" i="59"/>
  <c r="R97" i="59"/>
  <c r="C37" i="42" s="1"/>
  <c r="D37" i="42" s="1"/>
  <c r="R65" i="59"/>
  <c r="F12" i="59" s="1"/>
  <c r="R82" i="59"/>
  <c r="G12" i="59" s="1"/>
  <c r="R35" i="59"/>
  <c r="C62" i="46"/>
  <c r="C69" i="56" s="1"/>
  <c r="R49" i="59"/>
  <c r="K46" i="57"/>
  <c r="K47" i="57"/>
  <c r="K38" i="57"/>
  <c r="K28" i="57"/>
  <c r="P18" i="61" s="1"/>
  <c r="K18" i="46" s="1"/>
  <c r="K48" i="57"/>
  <c r="K19" i="57"/>
  <c r="K23" i="57"/>
  <c r="K39" i="57"/>
  <c r="K41" i="57"/>
  <c r="K25" i="57"/>
  <c r="K32" i="57"/>
  <c r="K22" i="57"/>
  <c r="K17" i="57"/>
  <c r="K36" i="57"/>
  <c r="E15" i="57"/>
  <c r="D15" i="57"/>
  <c r="K34" i="57"/>
  <c r="K29" i="57"/>
  <c r="K27" i="57"/>
  <c r="K26" i="57"/>
  <c r="K30" i="57"/>
  <c r="K35" i="57"/>
  <c r="K13" i="57"/>
  <c r="K31" i="57"/>
  <c r="K20" i="57"/>
  <c r="D33" i="57"/>
  <c r="E33" i="57"/>
  <c r="F33" i="57"/>
  <c r="F40" i="57"/>
  <c r="E40" i="57"/>
  <c r="D40" i="57"/>
  <c r="D18" i="57"/>
  <c r="E18" i="57"/>
  <c r="F18" i="57"/>
  <c r="F37" i="57"/>
  <c r="D37" i="57"/>
  <c r="E37" i="57"/>
  <c r="F14" i="57"/>
  <c r="D14" i="57"/>
  <c r="E14" i="57"/>
  <c r="E16" i="57"/>
  <c r="D16" i="57"/>
  <c r="F16" i="57"/>
  <c r="E32" i="50" l="1"/>
  <c r="E33" i="50"/>
  <c r="E34" i="50" s="1"/>
  <c r="K43" i="50" s="1"/>
  <c r="C34" i="42"/>
  <c r="D34" i="42" s="1"/>
  <c r="E12" i="59"/>
  <c r="C35" i="42"/>
  <c r="D35" i="42" s="1"/>
  <c r="B84" i="46"/>
  <c r="B73" i="56"/>
  <c r="B83" i="46"/>
  <c r="B72" i="56"/>
  <c r="B80" i="46"/>
  <c r="B69" i="56"/>
  <c r="B82" i="46"/>
  <c r="B71" i="56"/>
  <c r="E31" i="50"/>
  <c r="C36" i="42"/>
  <c r="C32" i="42"/>
  <c r="R31" i="59"/>
  <c r="F27" i="50"/>
  <c r="F28" i="50" s="1"/>
  <c r="F29" i="50" s="1"/>
  <c r="F30" i="50" s="1"/>
  <c r="H27" i="50"/>
  <c r="H28" i="50" s="1"/>
  <c r="H29" i="50" s="1"/>
  <c r="H30" i="50" s="1"/>
  <c r="H32" i="50" s="1"/>
  <c r="J27" i="50"/>
  <c r="J28" i="50" s="1"/>
  <c r="J29" i="50" s="1"/>
  <c r="J30" i="50" s="1"/>
  <c r="J32" i="50" s="1"/>
  <c r="I27" i="50"/>
  <c r="I28" i="50" s="1"/>
  <c r="I29" i="50" s="1"/>
  <c r="I30" i="50" s="1"/>
  <c r="I32" i="50" s="1"/>
  <c r="G27" i="50"/>
  <c r="G28" i="50" s="1"/>
  <c r="G29" i="50" s="1"/>
  <c r="G30" i="50" s="1"/>
  <c r="C31" i="42"/>
  <c r="C30" i="42"/>
  <c r="P19" i="61"/>
  <c r="P13" i="61"/>
  <c r="K11" i="46" s="1"/>
  <c r="P14" i="61"/>
  <c r="K13" i="46" s="1"/>
  <c r="P16" i="61"/>
  <c r="K16" i="46" s="1"/>
  <c r="P17" i="61"/>
  <c r="K17" i="46" s="1"/>
  <c r="P15" i="61"/>
  <c r="K15" i="46" s="1"/>
  <c r="K15" i="57"/>
  <c r="K33" i="57"/>
  <c r="K14" i="57"/>
  <c r="K18" i="57"/>
  <c r="K16" i="57"/>
  <c r="K40" i="57"/>
  <c r="K37" i="57"/>
  <c r="G32" i="50" l="1"/>
  <c r="G33" i="50"/>
  <c r="F32" i="50"/>
  <c r="F33" i="50"/>
  <c r="C29" i="42"/>
  <c r="D29" i="42" s="1"/>
  <c r="D13" i="59"/>
  <c r="B99" i="46"/>
  <c r="B89" i="56"/>
  <c r="B97" i="46"/>
  <c r="B87" i="56"/>
  <c r="B100" i="46"/>
  <c r="B90" i="56"/>
  <c r="B91" i="56"/>
  <c r="B101" i="46"/>
  <c r="F31" i="50"/>
  <c r="F34" i="50"/>
  <c r="L43" i="50" s="1"/>
  <c r="I31" i="50"/>
  <c r="I33" i="50"/>
  <c r="I34" i="50" s="1"/>
  <c r="G31" i="50"/>
  <c r="G34" i="50"/>
  <c r="M43" i="50" s="1"/>
  <c r="J31" i="50"/>
  <c r="J33" i="50"/>
  <c r="J34" i="50" s="1"/>
  <c r="P43" i="50" s="1"/>
  <c r="H31" i="50"/>
  <c r="H33" i="50"/>
  <c r="H34" i="50" s="1"/>
  <c r="N43" i="50" s="1"/>
  <c r="D17" i="42"/>
  <c r="D29" i="46" s="1"/>
  <c r="D36" i="56" s="1"/>
  <c r="D49" i="46"/>
  <c r="D36" i="42"/>
  <c r="D38" i="42" s="1"/>
  <c r="R28" i="59"/>
  <c r="D8" i="42"/>
  <c r="K41" i="50"/>
  <c r="D47" i="46" s="1"/>
  <c r="C5" i="47"/>
  <c r="D184" i="56"/>
  <c r="D7" i="46"/>
  <c r="K42" i="50"/>
  <c r="D48" i="46" s="1"/>
  <c r="K39" i="50"/>
  <c r="D7" i="56"/>
  <c r="K54" i="50" l="1"/>
  <c r="D38" i="46"/>
  <c r="D45" i="56" s="1"/>
  <c r="L45" i="56" s="1"/>
  <c r="C13" i="47"/>
  <c r="D32" i="42"/>
  <c r="C28" i="42"/>
  <c r="D12" i="59"/>
  <c r="B118" i="46"/>
  <c r="B108" i="56"/>
  <c r="B117" i="46"/>
  <c r="B107" i="56"/>
  <c r="B114" i="46"/>
  <c r="B104" i="56"/>
  <c r="B116" i="46"/>
  <c r="B106" i="56"/>
  <c r="D45" i="46"/>
  <c r="D163" i="46" s="1"/>
  <c r="D64" i="46"/>
  <c r="D55" i="56"/>
  <c r="F17" i="42"/>
  <c r="F38" i="46" s="1"/>
  <c r="F45" i="56" s="1"/>
  <c r="F49" i="46"/>
  <c r="G17" i="42"/>
  <c r="G38" i="46" s="1"/>
  <c r="G45" i="56" s="1"/>
  <c r="G49" i="46"/>
  <c r="E17" i="42"/>
  <c r="D13" i="47" s="1"/>
  <c r="E49" i="46"/>
  <c r="O43" i="50"/>
  <c r="O39" i="50"/>
  <c r="I17" i="42"/>
  <c r="H13" i="47" s="1"/>
  <c r="I49" i="46"/>
  <c r="D56" i="56"/>
  <c r="D66" i="46"/>
  <c r="L49" i="50"/>
  <c r="L47" i="50"/>
  <c r="E51" i="46" s="1"/>
  <c r="L50" i="50"/>
  <c r="L48" i="50"/>
  <c r="L40" i="50"/>
  <c r="K44" i="50"/>
  <c r="D154" i="46"/>
  <c r="D197" i="56"/>
  <c r="G5" i="47"/>
  <c r="H7" i="46"/>
  <c r="H7" i="56"/>
  <c r="O41" i="50"/>
  <c r="H47" i="46" s="1"/>
  <c r="O42" i="50"/>
  <c r="H48" i="46" s="1"/>
  <c r="H8" i="42"/>
  <c r="D185" i="56"/>
  <c r="D178" i="46"/>
  <c r="D190" i="46"/>
  <c r="D196" i="56"/>
  <c r="D15" i="42"/>
  <c r="D189" i="46"/>
  <c r="D160" i="56"/>
  <c r="L160" i="56" s="1"/>
  <c r="L36" i="56"/>
  <c r="D153" i="46"/>
  <c r="L70" i="56"/>
  <c r="D177" i="46"/>
  <c r="H187" i="56"/>
  <c r="H156" i="46"/>
  <c r="H192" i="46"/>
  <c r="H199" i="56"/>
  <c r="H180" i="46"/>
  <c r="H163" i="56"/>
  <c r="P163" i="56" s="1"/>
  <c r="H155" i="46"/>
  <c r="H162" i="56"/>
  <c r="P162" i="56" s="1"/>
  <c r="D161" i="56"/>
  <c r="L161" i="56" s="1"/>
  <c r="D13" i="42"/>
  <c r="D16" i="42"/>
  <c r="H5" i="47"/>
  <c r="P42" i="50"/>
  <c r="I48" i="46" s="1"/>
  <c r="I7" i="46"/>
  <c r="I7" i="56"/>
  <c r="I8" i="42"/>
  <c r="P39" i="50"/>
  <c r="P41" i="50"/>
  <c r="I47" i="46" s="1"/>
  <c r="E5" i="47"/>
  <c r="F8" i="42"/>
  <c r="F7" i="56"/>
  <c r="M39" i="50"/>
  <c r="F7" i="46"/>
  <c r="M42" i="50"/>
  <c r="F48" i="46" s="1"/>
  <c r="M41" i="50"/>
  <c r="F47" i="46" s="1"/>
  <c r="G7" i="56"/>
  <c r="G8" i="42"/>
  <c r="N39" i="50"/>
  <c r="N41" i="50"/>
  <c r="G47" i="46" s="1"/>
  <c r="G7" i="46"/>
  <c r="F5" i="47"/>
  <c r="N42" i="50"/>
  <c r="G48" i="46" s="1"/>
  <c r="L42" i="50"/>
  <c r="E48" i="46" s="1"/>
  <c r="E7" i="46"/>
  <c r="E8" i="42"/>
  <c r="L41" i="50"/>
  <c r="E47" i="46" s="1"/>
  <c r="E7" i="56"/>
  <c r="D5" i="47"/>
  <c r="L39" i="50"/>
  <c r="M40" i="50" s="1"/>
  <c r="D170" i="56" l="1"/>
  <c r="L163" i="46"/>
  <c r="M44" i="50"/>
  <c r="D164" i="46"/>
  <c r="D168" i="46"/>
  <c r="D165" i="46"/>
  <c r="D167" i="46"/>
  <c r="D166" i="46"/>
  <c r="D35" i="46"/>
  <c r="D42" i="56" s="1"/>
  <c r="F32" i="42"/>
  <c r="E13" i="47"/>
  <c r="M54" i="50"/>
  <c r="P54" i="50"/>
  <c r="L54" i="50"/>
  <c r="E56" i="46" s="1"/>
  <c r="E45" i="46"/>
  <c r="N54" i="50"/>
  <c r="D54" i="56"/>
  <c r="I32" i="42"/>
  <c r="I38" i="46"/>
  <c r="I45" i="56" s="1"/>
  <c r="I29" i="46"/>
  <c r="I36" i="56" s="1"/>
  <c r="E20" i="42"/>
  <c r="E35" i="42" s="1"/>
  <c r="E52" i="46"/>
  <c r="E21" i="42"/>
  <c r="E36" i="42" s="1"/>
  <c r="E53" i="46"/>
  <c r="G32" i="42"/>
  <c r="E19" i="42"/>
  <c r="E58" i="56"/>
  <c r="D24" i="42"/>
  <c r="D39" i="42" s="1"/>
  <c r="D56" i="46"/>
  <c r="F29" i="46"/>
  <c r="F36" i="56" s="1"/>
  <c r="E38" i="46"/>
  <c r="E45" i="56" s="1"/>
  <c r="E22" i="42"/>
  <c r="E37" i="42" s="1"/>
  <c r="E54" i="46"/>
  <c r="D52" i="56"/>
  <c r="D50" i="46"/>
  <c r="D57" i="56" s="1"/>
  <c r="B132" i="46"/>
  <c r="B121" i="56"/>
  <c r="B135" i="46"/>
  <c r="B124" i="56"/>
  <c r="B134" i="46"/>
  <c r="B123" i="56"/>
  <c r="B136" i="46"/>
  <c r="B125" i="56"/>
  <c r="D65" i="46"/>
  <c r="D83" i="46" s="1"/>
  <c r="D90" i="56" s="1"/>
  <c r="H45" i="46"/>
  <c r="G45" i="46"/>
  <c r="F45" i="46"/>
  <c r="E32" i="42"/>
  <c r="G54" i="56"/>
  <c r="G64" i="46"/>
  <c r="F13" i="47"/>
  <c r="I45" i="46"/>
  <c r="E56" i="56"/>
  <c r="E66" i="46"/>
  <c r="I54" i="56"/>
  <c r="I64" i="46"/>
  <c r="H17" i="42"/>
  <c r="H29" i="46" s="1"/>
  <c r="H49" i="46"/>
  <c r="F54" i="56"/>
  <c r="F64" i="46"/>
  <c r="G55" i="56"/>
  <c r="G65" i="46"/>
  <c r="F55" i="56"/>
  <c r="F65" i="46"/>
  <c r="G29" i="46"/>
  <c r="G36" i="56" s="1"/>
  <c r="E55" i="56"/>
  <c r="E65" i="46"/>
  <c r="O54" i="50"/>
  <c r="E29" i="46"/>
  <c r="E36" i="56" s="1"/>
  <c r="G56" i="56"/>
  <c r="G66" i="46"/>
  <c r="I55" i="56"/>
  <c r="I65" i="46"/>
  <c r="H55" i="56"/>
  <c r="H65" i="46"/>
  <c r="I56" i="56"/>
  <c r="I66" i="46"/>
  <c r="F56" i="56"/>
  <c r="F66" i="46"/>
  <c r="E54" i="56"/>
  <c r="E64" i="46"/>
  <c r="H54" i="56"/>
  <c r="H64" i="46"/>
  <c r="E14" i="42"/>
  <c r="E29" i="42" s="1"/>
  <c r="E46" i="46"/>
  <c r="D136" i="46"/>
  <c r="D143" i="56" s="1"/>
  <c r="D73" i="56"/>
  <c r="L73" i="56" s="1"/>
  <c r="D118" i="46"/>
  <c r="D125" i="56" s="1"/>
  <c r="D84" i="46"/>
  <c r="D91" i="56" s="1"/>
  <c r="D101" i="46"/>
  <c r="D108" i="56" s="1"/>
  <c r="D71" i="56"/>
  <c r="L71" i="56" s="1"/>
  <c r="D134" i="46"/>
  <c r="D141" i="56" s="1"/>
  <c r="D116" i="46"/>
  <c r="D123" i="56" s="1"/>
  <c r="D99" i="46"/>
  <c r="D106" i="56" s="1"/>
  <c r="D82" i="46"/>
  <c r="D89" i="56" s="1"/>
  <c r="D18" i="42"/>
  <c r="C10" i="47"/>
  <c r="C12" i="47"/>
  <c r="D37" i="46"/>
  <c r="D44" i="56" s="1"/>
  <c r="L44" i="56" s="1"/>
  <c r="D28" i="46"/>
  <c r="D35" i="56" s="1"/>
  <c r="L35" i="56" s="1"/>
  <c r="D182" i="56"/>
  <c r="C11" i="47"/>
  <c r="D27" i="46"/>
  <c r="D34" i="56" s="1"/>
  <c r="L34" i="56" s="1"/>
  <c r="M49" i="50"/>
  <c r="M47" i="50"/>
  <c r="M50" i="50"/>
  <c r="M48" i="50"/>
  <c r="O50" i="50"/>
  <c r="O48" i="50"/>
  <c r="O49" i="50"/>
  <c r="O47" i="50"/>
  <c r="P48" i="50"/>
  <c r="P47" i="50"/>
  <c r="P50" i="50"/>
  <c r="P49" i="50"/>
  <c r="L51" i="50"/>
  <c r="N50" i="50"/>
  <c r="N49" i="50"/>
  <c r="N47" i="50"/>
  <c r="N48" i="50"/>
  <c r="P40" i="50"/>
  <c r="N40" i="50"/>
  <c r="O40" i="50"/>
  <c r="F46" i="46"/>
  <c r="F63" i="46" s="1"/>
  <c r="L44" i="50"/>
  <c r="H15" i="42"/>
  <c r="H13" i="42"/>
  <c r="H16" i="42"/>
  <c r="H179" i="46"/>
  <c r="H198" i="56"/>
  <c r="H186" i="56"/>
  <c r="H191" i="46"/>
  <c r="D36" i="46"/>
  <c r="D43" i="56" s="1"/>
  <c r="L43" i="56" s="1"/>
  <c r="D30" i="42"/>
  <c r="D194" i="56"/>
  <c r="D187" i="46"/>
  <c r="D175" i="46"/>
  <c r="D151" i="46"/>
  <c r="D158" i="56"/>
  <c r="L158" i="56" s="1"/>
  <c r="D198" i="56"/>
  <c r="D162" i="56"/>
  <c r="L162" i="56" s="1"/>
  <c r="D179" i="46"/>
  <c r="D186" i="56"/>
  <c r="D191" i="46"/>
  <c r="D155" i="46"/>
  <c r="D192" i="46"/>
  <c r="D163" i="56"/>
  <c r="L163" i="56" s="1"/>
  <c r="D199" i="56"/>
  <c r="D180" i="46"/>
  <c r="D156" i="46"/>
  <c r="D187" i="56"/>
  <c r="H178" i="46"/>
  <c r="H190" i="46"/>
  <c r="H161" i="56"/>
  <c r="P161" i="56" s="1"/>
  <c r="H154" i="46"/>
  <c r="H197" i="56"/>
  <c r="H185" i="56"/>
  <c r="E15" i="42"/>
  <c r="G15" i="42"/>
  <c r="F16" i="42"/>
  <c r="F28" i="46" s="1"/>
  <c r="G13" i="42"/>
  <c r="H196" i="56"/>
  <c r="H189" i="46"/>
  <c r="H177" i="46"/>
  <c r="H153" i="46"/>
  <c r="H184" i="56"/>
  <c r="H160" i="56"/>
  <c r="F13" i="42"/>
  <c r="D152" i="46"/>
  <c r="D31" i="42"/>
  <c r="D176" i="46"/>
  <c r="D159" i="56"/>
  <c r="L159" i="56" s="1"/>
  <c r="D183" i="56"/>
  <c r="D195" i="56"/>
  <c r="D188" i="46"/>
  <c r="G16" i="42"/>
  <c r="I16" i="42"/>
  <c r="D62" i="46"/>
  <c r="E13" i="42"/>
  <c r="E16" i="42"/>
  <c r="I15" i="42"/>
  <c r="D26" i="46"/>
  <c r="D33" i="56" s="1"/>
  <c r="D174" i="46"/>
  <c r="D157" i="56"/>
  <c r="D186" i="46"/>
  <c r="C7" i="47"/>
  <c r="D181" i="56"/>
  <c r="D193" i="56"/>
  <c r="D28" i="42"/>
  <c r="D150" i="46"/>
  <c r="I13" i="42"/>
  <c r="F15" i="42"/>
  <c r="D173" i="56" l="1"/>
  <c r="L173" i="56" s="1"/>
  <c r="L166" i="46"/>
  <c r="D174" i="56"/>
  <c r="L174" i="56" s="1"/>
  <c r="L167" i="46"/>
  <c r="D172" i="56"/>
  <c r="L172" i="56" s="1"/>
  <c r="L165" i="46"/>
  <c r="D175" i="56"/>
  <c r="L175" i="56" s="1"/>
  <c r="L168" i="46"/>
  <c r="D171" i="56"/>
  <c r="L171" i="56" s="1"/>
  <c r="L164" i="46"/>
  <c r="H62" i="46"/>
  <c r="H132" i="46" s="1"/>
  <c r="F163" i="46"/>
  <c r="F165" i="46"/>
  <c r="F164" i="46"/>
  <c r="F168" i="46"/>
  <c r="F166" i="46"/>
  <c r="F167" i="46"/>
  <c r="E62" i="46"/>
  <c r="E80" i="46" s="1"/>
  <c r="E87" i="56" s="1"/>
  <c r="E165" i="46"/>
  <c r="E168" i="46"/>
  <c r="E166" i="46"/>
  <c r="E164" i="46"/>
  <c r="E167" i="46"/>
  <c r="E163" i="46"/>
  <c r="C33" i="62"/>
  <c r="C51" i="62" s="1"/>
  <c r="C29" i="62"/>
  <c r="C47" i="62" s="1"/>
  <c r="C31" i="62"/>
  <c r="C49" i="62" s="1"/>
  <c r="C39" i="62"/>
  <c r="C57" i="62" s="1"/>
  <c r="C37" i="62"/>
  <c r="C55" i="62" s="1"/>
  <c r="C27" i="62"/>
  <c r="C45" i="62" s="1"/>
  <c r="E35" i="46"/>
  <c r="E42" i="56" s="1"/>
  <c r="C36" i="62"/>
  <c r="C54" i="62" s="1"/>
  <c r="C38" i="62"/>
  <c r="C56" i="62" s="1"/>
  <c r="C32" i="62"/>
  <c r="C50" i="62" s="1"/>
  <c r="F26" i="46"/>
  <c r="F33" i="56" s="1"/>
  <c r="C34" i="62"/>
  <c r="C52" i="62" s="1"/>
  <c r="C28" i="62"/>
  <c r="C46" i="62" s="1"/>
  <c r="C35" i="62"/>
  <c r="C53" i="62" s="1"/>
  <c r="C30" i="62"/>
  <c r="C48" i="62" s="1"/>
  <c r="D67" i="46"/>
  <c r="D25" i="42"/>
  <c r="E26" i="46"/>
  <c r="E33" i="56" s="1"/>
  <c r="D117" i="46"/>
  <c r="D124" i="56" s="1"/>
  <c r="D100" i="46"/>
  <c r="D107" i="56" s="1"/>
  <c r="D73" i="46"/>
  <c r="D80" i="56" s="1"/>
  <c r="L80" i="56" s="1"/>
  <c r="D63" i="56"/>
  <c r="D64" i="56" s="1"/>
  <c r="E70" i="46"/>
  <c r="E77" i="56" s="1"/>
  <c r="M77" i="56" s="1"/>
  <c r="E60" i="56"/>
  <c r="E69" i="46"/>
  <c r="E87" i="46" s="1"/>
  <c r="E94" i="56" s="1"/>
  <c r="E59" i="56"/>
  <c r="E71" i="46"/>
  <c r="E78" i="56" s="1"/>
  <c r="M78" i="56" s="1"/>
  <c r="E61" i="56"/>
  <c r="E23" i="42"/>
  <c r="D135" i="46"/>
  <c r="D142" i="56" s="1"/>
  <c r="D72" i="56"/>
  <c r="L72" i="56" s="1"/>
  <c r="D57" i="46"/>
  <c r="I20" i="42"/>
  <c r="I35" i="42" s="1"/>
  <c r="I52" i="46"/>
  <c r="I19" i="42"/>
  <c r="I34" i="42" s="1"/>
  <c r="I51" i="46"/>
  <c r="I58" i="56" s="1"/>
  <c r="F19" i="42"/>
  <c r="F34" i="42" s="1"/>
  <c r="F51" i="46"/>
  <c r="F58" i="56" s="1"/>
  <c r="F24" i="42"/>
  <c r="F39" i="42" s="1"/>
  <c r="F56" i="46"/>
  <c r="I24" i="42"/>
  <c r="I39" i="42" s="1"/>
  <c r="I56" i="46"/>
  <c r="E68" i="46"/>
  <c r="E55" i="46"/>
  <c r="G21" i="42"/>
  <c r="G36" i="42" s="1"/>
  <c r="G53" i="46"/>
  <c r="H21" i="42"/>
  <c r="H36" i="42" s="1"/>
  <c r="H53" i="46"/>
  <c r="E34" i="42"/>
  <c r="E38" i="42" s="1"/>
  <c r="F21" i="42"/>
  <c r="F36" i="42" s="1"/>
  <c r="F53" i="46"/>
  <c r="G22" i="42"/>
  <c r="G37" i="42" s="1"/>
  <c r="G54" i="46"/>
  <c r="H20" i="42"/>
  <c r="H35" i="42" s="1"/>
  <c r="H52" i="46"/>
  <c r="H19" i="42"/>
  <c r="H34" i="42" s="1"/>
  <c r="H51" i="46"/>
  <c r="H58" i="56" s="1"/>
  <c r="H22" i="42"/>
  <c r="H37" i="42" s="1"/>
  <c r="H54" i="46"/>
  <c r="G24" i="42"/>
  <c r="G39" i="42" s="1"/>
  <c r="G56" i="46"/>
  <c r="H24" i="42"/>
  <c r="H39" i="42" s="1"/>
  <c r="H56" i="46"/>
  <c r="G19" i="42"/>
  <c r="G51" i="46"/>
  <c r="G58" i="56" s="1"/>
  <c r="F20" i="42"/>
  <c r="F35" i="42" s="1"/>
  <c r="F52" i="46"/>
  <c r="G20" i="42"/>
  <c r="G35" i="42" s="1"/>
  <c r="G52" i="46"/>
  <c r="I21" i="42"/>
  <c r="I36" i="42" s="1"/>
  <c r="I53" i="46"/>
  <c r="I22" i="42"/>
  <c r="I37" i="42" s="1"/>
  <c r="I54" i="46"/>
  <c r="F22" i="42"/>
  <c r="F37" i="42" s="1"/>
  <c r="F54" i="46"/>
  <c r="C14" i="47"/>
  <c r="E24" i="42"/>
  <c r="E39" i="42" s="1"/>
  <c r="F52" i="56"/>
  <c r="E52" i="56"/>
  <c r="E50" i="46"/>
  <c r="E57" i="56" s="1"/>
  <c r="G52" i="56"/>
  <c r="I52" i="56"/>
  <c r="H52" i="56"/>
  <c r="B153" i="46"/>
  <c r="B177" i="46" s="1"/>
  <c r="B189" i="46" s="1"/>
  <c r="B143" i="56"/>
  <c r="B161" i="56" s="1"/>
  <c r="B185" i="56" s="1"/>
  <c r="B197" i="56" s="1"/>
  <c r="B152" i="46"/>
  <c r="B176" i="46" s="1"/>
  <c r="B188" i="46" s="1"/>
  <c r="B142" i="56"/>
  <c r="B160" i="56" s="1"/>
  <c r="B184" i="56" s="1"/>
  <c r="B196" i="56" s="1"/>
  <c r="B151" i="46"/>
  <c r="B175" i="46" s="1"/>
  <c r="B187" i="46" s="1"/>
  <c r="B141" i="56"/>
  <c r="B159" i="56" s="1"/>
  <c r="B183" i="56" s="1"/>
  <c r="B195" i="56" s="1"/>
  <c r="B150" i="46"/>
  <c r="B174" i="46" s="1"/>
  <c r="B186" i="46" s="1"/>
  <c r="B139" i="56"/>
  <c r="B157" i="56" s="1"/>
  <c r="B181" i="56" s="1"/>
  <c r="B193" i="56" s="1"/>
  <c r="H56" i="56"/>
  <c r="H66" i="46"/>
  <c r="H14" i="42"/>
  <c r="H29" i="42" s="1"/>
  <c r="H46" i="46"/>
  <c r="H50" i="46" s="1"/>
  <c r="H57" i="56" s="1"/>
  <c r="I136" i="46"/>
  <c r="I143" i="56" s="1"/>
  <c r="I73" i="56"/>
  <c r="Q73" i="56" s="1"/>
  <c r="I118" i="46"/>
  <c r="I125" i="56" s="1"/>
  <c r="I101" i="46"/>
  <c r="I108" i="56" s="1"/>
  <c r="I84" i="46"/>
  <c r="I91" i="56" s="1"/>
  <c r="G14" i="42"/>
  <c r="G29" i="42" s="1"/>
  <c r="G46" i="46"/>
  <c r="G50" i="46" s="1"/>
  <c r="G57" i="56" s="1"/>
  <c r="G72" i="56"/>
  <c r="O72" i="56" s="1"/>
  <c r="G135" i="46"/>
  <c r="G142" i="56" s="1"/>
  <c r="G83" i="46"/>
  <c r="G90" i="56" s="1"/>
  <c r="G100" i="46"/>
  <c r="G107" i="56" s="1"/>
  <c r="G117" i="46"/>
  <c r="G124" i="56" s="1"/>
  <c r="E136" i="46"/>
  <c r="E143" i="56" s="1"/>
  <c r="E73" i="56"/>
  <c r="M73" i="56" s="1"/>
  <c r="E118" i="46"/>
  <c r="E125" i="56" s="1"/>
  <c r="E101" i="46"/>
  <c r="E108" i="56" s="1"/>
  <c r="E84" i="46"/>
  <c r="E91" i="56" s="1"/>
  <c r="I14" i="42"/>
  <c r="I29" i="42" s="1"/>
  <c r="I46" i="46"/>
  <c r="I50" i="46" s="1"/>
  <c r="I57" i="56" s="1"/>
  <c r="H134" i="46"/>
  <c r="H141" i="56" s="1"/>
  <c r="H71" i="56"/>
  <c r="P71" i="56" s="1"/>
  <c r="H116" i="46"/>
  <c r="H123" i="56" s="1"/>
  <c r="H82" i="46"/>
  <c r="H89" i="56" s="1"/>
  <c r="H99" i="46"/>
  <c r="H106" i="56" s="1"/>
  <c r="H135" i="46"/>
  <c r="H142" i="56" s="1"/>
  <c r="H72" i="56"/>
  <c r="P72" i="56" s="1"/>
  <c r="H100" i="46"/>
  <c r="H107" i="56" s="1"/>
  <c r="H83" i="46"/>
  <c r="H90" i="56" s="1"/>
  <c r="H117" i="46"/>
  <c r="H124" i="56" s="1"/>
  <c r="F71" i="56"/>
  <c r="N71" i="56" s="1"/>
  <c r="F134" i="46"/>
  <c r="F141" i="56" s="1"/>
  <c r="F82" i="46"/>
  <c r="F89" i="56" s="1"/>
  <c r="F99" i="46"/>
  <c r="F106" i="56" s="1"/>
  <c r="F116" i="46"/>
  <c r="F123" i="56" s="1"/>
  <c r="E71" i="56"/>
  <c r="M71" i="56" s="1"/>
  <c r="E134" i="46"/>
  <c r="E141" i="56" s="1"/>
  <c r="E116" i="46"/>
  <c r="E123" i="56" s="1"/>
  <c r="E82" i="46"/>
  <c r="E99" i="46"/>
  <c r="I135" i="46"/>
  <c r="I142" i="56" s="1"/>
  <c r="I72" i="56"/>
  <c r="Q72" i="56" s="1"/>
  <c r="I100" i="46"/>
  <c r="I107" i="56" s="1"/>
  <c r="I83" i="46"/>
  <c r="I90" i="56" s="1"/>
  <c r="I117" i="46"/>
  <c r="I124" i="56" s="1"/>
  <c r="E135" i="46"/>
  <c r="E142" i="56" s="1"/>
  <c r="E72" i="56"/>
  <c r="M72" i="56" s="1"/>
  <c r="E83" i="46"/>
  <c r="E90" i="56" s="1"/>
  <c r="E100" i="46"/>
  <c r="E107" i="56" s="1"/>
  <c r="E117" i="46"/>
  <c r="E124" i="56" s="1"/>
  <c r="F73" i="56"/>
  <c r="N73" i="56" s="1"/>
  <c r="F136" i="46"/>
  <c r="F143" i="56" s="1"/>
  <c r="F118" i="46"/>
  <c r="F125" i="56" s="1"/>
  <c r="F101" i="46"/>
  <c r="F108" i="56" s="1"/>
  <c r="F84" i="46"/>
  <c r="F91" i="56" s="1"/>
  <c r="G73" i="56"/>
  <c r="O73" i="56" s="1"/>
  <c r="G136" i="46"/>
  <c r="G143" i="56" s="1"/>
  <c r="G118" i="46"/>
  <c r="G125" i="56" s="1"/>
  <c r="G84" i="46"/>
  <c r="G91" i="56" s="1"/>
  <c r="G101" i="46"/>
  <c r="G108" i="56" s="1"/>
  <c r="G13" i="47"/>
  <c r="H38" i="46"/>
  <c r="H45" i="56" s="1"/>
  <c r="P45" i="56" s="1"/>
  <c r="H32" i="42"/>
  <c r="H36" i="56"/>
  <c r="P36" i="56" s="1"/>
  <c r="G134" i="46"/>
  <c r="G141" i="56" s="1"/>
  <c r="G71" i="56"/>
  <c r="O71" i="56" s="1"/>
  <c r="G116" i="46"/>
  <c r="G123" i="56" s="1"/>
  <c r="G82" i="46"/>
  <c r="G89" i="56" s="1"/>
  <c r="G99" i="46"/>
  <c r="G106" i="56" s="1"/>
  <c r="H69" i="56"/>
  <c r="P69" i="56" s="1"/>
  <c r="F14" i="42"/>
  <c r="F29" i="42" s="1"/>
  <c r="F72" i="56"/>
  <c r="N72" i="56" s="1"/>
  <c r="F135" i="46"/>
  <c r="F142" i="56" s="1"/>
  <c r="F83" i="46"/>
  <c r="F90" i="56" s="1"/>
  <c r="F117" i="46"/>
  <c r="F124" i="56" s="1"/>
  <c r="F100" i="46"/>
  <c r="F107" i="56" s="1"/>
  <c r="I71" i="56"/>
  <c r="Q71" i="56" s="1"/>
  <c r="I134" i="46"/>
  <c r="I141" i="56" s="1"/>
  <c r="I99" i="46"/>
  <c r="I106" i="56" s="1"/>
  <c r="I116" i="46"/>
  <c r="I123" i="56" s="1"/>
  <c r="I82" i="46"/>
  <c r="I89" i="56" s="1"/>
  <c r="D69" i="56"/>
  <c r="L69" i="56" s="1"/>
  <c r="D132" i="46"/>
  <c r="E53" i="56"/>
  <c r="E63" i="46"/>
  <c r="H97" i="46"/>
  <c r="H80" i="46"/>
  <c r="H114" i="46"/>
  <c r="D80" i="46"/>
  <c r="D97" i="46"/>
  <c r="D114" i="46"/>
  <c r="N44" i="50"/>
  <c r="D11" i="47"/>
  <c r="E27" i="46"/>
  <c r="E34" i="56" s="1"/>
  <c r="M34" i="56" s="1"/>
  <c r="E12" i="47"/>
  <c r="F37" i="46"/>
  <c r="F44" i="56" s="1"/>
  <c r="N44" i="56" s="1"/>
  <c r="F35" i="56"/>
  <c r="N35" i="56" s="1"/>
  <c r="G12" i="47"/>
  <c r="H37" i="46"/>
  <c r="H44" i="56" s="1"/>
  <c r="P44" i="56" s="1"/>
  <c r="H28" i="46"/>
  <c r="H35" i="56" s="1"/>
  <c r="P35" i="56" s="1"/>
  <c r="P44" i="50"/>
  <c r="H11" i="47"/>
  <c r="I27" i="46"/>
  <c r="I34" i="56" s="1"/>
  <c r="Q34" i="56" s="1"/>
  <c r="D10" i="47"/>
  <c r="E18" i="42"/>
  <c r="F11" i="47"/>
  <c r="G27" i="46"/>
  <c r="G34" i="56" s="1"/>
  <c r="O34" i="56" s="1"/>
  <c r="H36" i="46"/>
  <c r="H43" i="56" s="1"/>
  <c r="P43" i="56" s="1"/>
  <c r="G11" i="47"/>
  <c r="H27" i="46"/>
  <c r="H34" i="56" s="1"/>
  <c r="P34" i="56" s="1"/>
  <c r="D33" i="42"/>
  <c r="D40" i="42" s="1"/>
  <c r="C19" i="47" s="1"/>
  <c r="F12" i="47"/>
  <c r="G37" i="46"/>
  <c r="G44" i="56" s="1"/>
  <c r="O44" i="56" s="1"/>
  <c r="G28" i="46"/>
  <c r="G35" i="56" s="1"/>
  <c r="O35" i="56" s="1"/>
  <c r="E11" i="47"/>
  <c r="F27" i="46"/>
  <c r="F34" i="56" s="1"/>
  <c r="N34" i="56" s="1"/>
  <c r="D12" i="47"/>
  <c r="E37" i="46"/>
  <c r="E44" i="56" s="1"/>
  <c r="M44" i="56" s="1"/>
  <c r="E28" i="46"/>
  <c r="E35" i="56" s="1"/>
  <c r="M35" i="56" s="1"/>
  <c r="H12" i="47"/>
  <c r="I37" i="46"/>
  <c r="I44" i="56" s="1"/>
  <c r="Q44" i="56" s="1"/>
  <c r="I28" i="46"/>
  <c r="I35" i="56" s="1"/>
  <c r="Q35" i="56" s="1"/>
  <c r="N51" i="50"/>
  <c r="O51" i="50"/>
  <c r="P51" i="50"/>
  <c r="M51" i="50"/>
  <c r="O44" i="50"/>
  <c r="H182" i="56"/>
  <c r="H175" i="46"/>
  <c r="H187" i="46"/>
  <c r="H194" i="56"/>
  <c r="H30" i="42"/>
  <c r="H151" i="46"/>
  <c r="H158" i="56"/>
  <c r="P158" i="56" s="1"/>
  <c r="H195" i="56"/>
  <c r="H152" i="46"/>
  <c r="H176" i="46"/>
  <c r="H31" i="42"/>
  <c r="H188" i="46"/>
  <c r="H159" i="56"/>
  <c r="P159" i="56" s="1"/>
  <c r="H183" i="56"/>
  <c r="D169" i="46"/>
  <c r="D19" i="46" s="1"/>
  <c r="H193" i="56"/>
  <c r="H26" i="46"/>
  <c r="H33" i="56" s="1"/>
  <c r="P33" i="56" s="1"/>
  <c r="H181" i="56"/>
  <c r="H157" i="56"/>
  <c r="P157" i="56" s="1"/>
  <c r="H174" i="46"/>
  <c r="H28" i="42"/>
  <c r="H186" i="46"/>
  <c r="G7" i="47"/>
  <c r="H150" i="46"/>
  <c r="D193" i="46"/>
  <c r="D181" i="46"/>
  <c r="D200" i="56"/>
  <c r="D30" i="46"/>
  <c r="D10" i="46" s="1"/>
  <c r="D11" i="46" s="1"/>
  <c r="D188" i="56"/>
  <c r="D39" i="46"/>
  <c r="D12" i="46" s="1"/>
  <c r="D157" i="46"/>
  <c r="F158" i="56"/>
  <c r="N158" i="56" s="1"/>
  <c r="F175" i="46"/>
  <c r="F36" i="46"/>
  <c r="F43" i="56" s="1"/>
  <c r="N43" i="56" s="1"/>
  <c r="F30" i="42"/>
  <c r="F187" i="46"/>
  <c r="F182" i="56"/>
  <c r="F194" i="56"/>
  <c r="F151" i="46"/>
  <c r="F187" i="56"/>
  <c r="F156" i="46"/>
  <c r="F180" i="46"/>
  <c r="F192" i="46"/>
  <c r="F199" i="56"/>
  <c r="F163" i="56"/>
  <c r="N163" i="56" s="1"/>
  <c r="G183" i="56"/>
  <c r="G152" i="46"/>
  <c r="G195" i="56"/>
  <c r="G176" i="46"/>
  <c r="G159" i="56"/>
  <c r="O159" i="56" s="1"/>
  <c r="G188" i="46"/>
  <c r="G31" i="42"/>
  <c r="F62" i="46"/>
  <c r="I198" i="56"/>
  <c r="I186" i="56"/>
  <c r="I155" i="46"/>
  <c r="I179" i="46"/>
  <c r="I191" i="46"/>
  <c r="I162" i="56"/>
  <c r="Q162" i="56" s="1"/>
  <c r="G175" i="46"/>
  <c r="G182" i="56"/>
  <c r="G151" i="46"/>
  <c r="G158" i="56"/>
  <c r="O158" i="56" s="1"/>
  <c r="G36" i="46"/>
  <c r="G43" i="56" s="1"/>
  <c r="O43" i="56" s="1"/>
  <c r="G187" i="46"/>
  <c r="G30" i="42"/>
  <c r="G194" i="56"/>
  <c r="I154" i="46"/>
  <c r="I161" i="56"/>
  <c r="Q161" i="56" s="1"/>
  <c r="I185" i="56"/>
  <c r="I197" i="56"/>
  <c r="I190" i="46"/>
  <c r="I178" i="46"/>
  <c r="I151" i="46"/>
  <c r="I175" i="46"/>
  <c r="I36" i="46"/>
  <c r="I43" i="56" s="1"/>
  <c r="Q43" i="56" s="1"/>
  <c r="I30" i="42"/>
  <c r="I194" i="56"/>
  <c r="I187" i="46"/>
  <c r="I182" i="56"/>
  <c r="I158" i="56"/>
  <c r="Q158" i="56" s="1"/>
  <c r="E159" i="56"/>
  <c r="M159" i="56" s="1"/>
  <c r="E183" i="56"/>
  <c r="E176" i="46"/>
  <c r="E152" i="46"/>
  <c r="E195" i="56"/>
  <c r="E31" i="42"/>
  <c r="E188" i="46"/>
  <c r="D164" i="56"/>
  <c r="D19" i="56" s="1"/>
  <c r="D20" i="56" s="1"/>
  <c r="L157" i="56"/>
  <c r="L164" i="56" s="1"/>
  <c r="L19" i="56" s="1"/>
  <c r="I176" i="46"/>
  <c r="I31" i="42"/>
  <c r="I195" i="56"/>
  <c r="I159" i="56"/>
  <c r="Q159" i="56" s="1"/>
  <c r="I183" i="56"/>
  <c r="I152" i="46"/>
  <c r="I188" i="46"/>
  <c r="F157" i="56"/>
  <c r="F174" i="46"/>
  <c r="F150" i="46"/>
  <c r="F181" i="56"/>
  <c r="E7" i="47"/>
  <c r="F186" i="46"/>
  <c r="F193" i="56"/>
  <c r="F28" i="42"/>
  <c r="G197" i="56"/>
  <c r="G161" i="56"/>
  <c r="O161" i="56" s="1"/>
  <c r="G154" i="46"/>
  <c r="G185" i="56"/>
  <c r="G190" i="46"/>
  <c r="G178" i="46"/>
  <c r="F191" i="46"/>
  <c r="F198" i="56"/>
  <c r="F155" i="46"/>
  <c r="F186" i="56"/>
  <c r="F179" i="46"/>
  <c r="F162" i="56"/>
  <c r="N162" i="56" s="1"/>
  <c r="F177" i="46"/>
  <c r="F196" i="56"/>
  <c r="F189" i="46"/>
  <c r="F160" i="56"/>
  <c r="N160" i="56" s="1"/>
  <c r="F153" i="46"/>
  <c r="N36" i="56"/>
  <c r="N45" i="56"/>
  <c r="F184" i="56"/>
  <c r="F197" i="56"/>
  <c r="F185" i="56"/>
  <c r="F178" i="46"/>
  <c r="F161" i="56"/>
  <c r="N161" i="56" s="1"/>
  <c r="F190" i="46"/>
  <c r="F154" i="46"/>
  <c r="I62" i="46"/>
  <c r="L170" i="56"/>
  <c r="L42" i="56"/>
  <c r="L46" i="56" s="1"/>
  <c r="L12" i="56" s="1"/>
  <c r="D46" i="56"/>
  <c r="D12" i="56" s="1"/>
  <c r="D13" i="56" s="1"/>
  <c r="E177" i="46"/>
  <c r="E189" i="46"/>
  <c r="E196" i="56"/>
  <c r="M36" i="56"/>
  <c r="E160" i="56"/>
  <c r="M160" i="56" s="1"/>
  <c r="E184" i="56"/>
  <c r="M45" i="56"/>
  <c r="E153" i="46"/>
  <c r="G62" i="46"/>
  <c r="I150" i="46"/>
  <c r="I26" i="46"/>
  <c r="I33" i="56" s="1"/>
  <c r="I157" i="56"/>
  <c r="H7" i="47"/>
  <c r="I28" i="42"/>
  <c r="I181" i="56"/>
  <c r="I186" i="46"/>
  <c r="I174" i="46"/>
  <c r="I193" i="56"/>
  <c r="G191" i="46"/>
  <c r="G179" i="46"/>
  <c r="G162" i="56"/>
  <c r="O162" i="56" s="1"/>
  <c r="G186" i="56"/>
  <c r="G198" i="56"/>
  <c r="G155" i="46"/>
  <c r="L33" i="56"/>
  <c r="L37" i="56" s="1"/>
  <c r="L10" i="56" s="1"/>
  <c r="D37" i="56"/>
  <c r="D10" i="56" s="1"/>
  <c r="D11" i="56" s="1"/>
  <c r="E174" i="46"/>
  <c r="E157" i="56"/>
  <c r="E181" i="56"/>
  <c r="E193" i="56"/>
  <c r="E28" i="42"/>
  <c r="D7" i="47"/>
  <c r="E150" i="46"/>
  <c r="E186" i="46"/>
  <c r="I196" i="56"/>
  <c r="Q36" i="56"/>
  <c r="Q45" i="56"/>
  <c r="I177" i="46"/>
  <c r="I184" i="56"/>
  <c r="I153" i="46"/>
  <c r="I160" i="56"/>
  <c r="Q160" i="56" s="1"/>
  <c r="I189" i="46"/>
  <c r="E185" i="56"/>
  <c r="E190" i="46"/>
  <c r="E197" i="56"/>
  <c r="E178" i="46"/>
  <c r="E161" i="56"/>
  <c r="M161" i="56" s="1"/>
  <c r="E154" i="46"/>
  <c r="G163" i="56"/>
  <c r="O163" i="56" s="1"/>
  <c r="G156" i="46"/>
  <c r="G187" i="56"/>
  <c r="G180" i="46"/>
  <c r="G199" i="56"/>
  <c r="G192" i="46"/>
  <c r="O45" i="56"/>
  <c r="O36" i="56"/>
  <c r="G160" i="56"/>
  <c r="O160" i="56" s="1"/>
  <c r="G189" i="46"/>
  <c r="G184" i="56"/>
  <c r="G153" i="46"/>
  <c r="G177" i="46"/>
  <c r="G196" i="56"/>
  <c r="E191" i="46"/>
  <c r="E198" i="56"/>
  <c r="E179" i="46"/>
  <c r="E155" i="46"/>
  <c r="E186" i="56"/>
  <c r="E162" i="56"/>
  <c r="M162" i="56" s="1"/>
  <c r="G181" i="56"/>
  <c r="G26" i="46"/>
  <c r="G33" i="56" s="1"/>
  <c r="G174" i="46"/>
  <c r="G150" i="46"/>
  <c r="G157" i="56"/>
  <c r="F7" i="47"/>
  <c r="G186" i="46"/>
  <c r="G28" i="42"/>
  <c r="G193" i="56"/>
  <c r="E151" i="46"/>
  <c r="E36" i="46"/>
  <c r="E43" i="56" s="1"/>
  <c r="M43" i="56" s="1"/>
  <c r="E175" i="46"/>
  <c r="E182" i="56"/>
  <c r="E194" i="56"/>
  <c r="E187" i="46"/>
  <c r="E30" i="42"/>
  <c r="E158" i="56"/>
  <c r="M158" i="56" s="1"/>
  <c r="I187" i="56"/>
  <c r="I180" i="46"/>
  <c r="I199" i="56"/>
  <c r="I163" i="56"/>
  <c r="Q163" i="56" s="1"/>
  <c r="I156" i="46"/>
  <c r="I192" i="46"/>
  <c r="E192" i="46"/>
  <c r="E180" i="46"/>
  <c r="E163" i="56"/>
  <c r="M163" i="56" s="1"/>
  <c r="E199" i="56"/>
  <c r="E187" i="56"/>
  <c r="E156" i="46"/>
  <c r="P160" i="56"/>
  <c r="F176" i="46"/>
  <c r="F195" i="56"/>
  <c r="F152" i="46"/>
  <c r="F183" i="56"/>
  <c r="F159" i="56"/>
  <c r="N159" i="56" s="1"/>
  <c r="F188" i="46"/>
  <c r="F31" i="42"/>
  <c r="L169" i="46" l="1"/>
  <c r="L19" i="46" s="1"/>
  <c r="E173" i="56"/>
  <c r="M173" i="56" s="1"/>
  <c r="M166" i="46"/>
  <c r="L176" i="56"/>
  <c r="L21" i="56" s="1"/>
  <c r="D176" i="56"/>
  <c r="D21" i="56" s="1"/>
  <c r="D22" i="56" s="1"/>
  <c r="E171" i="56"/>
  <c r="M171" i="56" s="1"/>
  <c r="M164" i="46"/>
  <c r="F171" i="56"/>
  <c r="N171" i="56" s="1"/>
  <c r="N164" i="46"/>
  <c r="E175" i="56"/>
  <c r="M175" i="56" s="1"/>
  <c r="M168" i="46"/>
  <c r="F170" i="56"/>
  <c r="N163" i="46"/>
  <c r="E67" i="46"/>
  <c r="E172" i="56"/>
  <c r="M172" i="56" s="1"/>
  <c r="M165" i="46"/>
  <c r="F172" i="56"/>
  <c r="N172" i="56" s="1"/>
  <c r="N165" i="46"/>
  <c r="F174" i="56"/>
  <c r="N174" i="56" s="1"/>
  <c r="N167" i="46"/>
  <c r="E170" i="56"/>
  <c r="M163" i="46"/>
  <c r="F173" i="56"/>
  <c r="N173" i="56" s="1"/>
  <c r="N166" i="46"/>
  <c r="E174" i="56"/>
  <c r="M174" i="56" s="1"/>
  <c r="M167" i="46"/>
  <c r="F175" i="56"/>
  <c r="N175" i="56" s="1"/>
  <c r="N168" i="46"/>
  <c r="G18" i="42"/>
  <c r="H165" i="46"/>
  <c r="I166" i="46"/>
  <c r="H163" i="46"/>
  <c r="G166" i="46"/>
  <c r="I163" i="46"/>
  <c r="G167" i="46"/>
  <c r="I164" i="46"/>
  <c r="G165" i="46"/>
  <c r="H168" i="46"/>
  <c r="I165" i="46"/>
  <c r="G163" i="46"/>
  <c r="O163" i="46" s="1"/>
  <c r="H164" i="46"/>
  <c r="I167" i="46"/>
  <c r="E97" i="46"/>
  <c r="I168" i="46"/>
  <c r="H166" i="46"/>
  <c r="G164" i="46"/>
  <c r="H167" i="46"/>
  <c r="G168" i="46"/>
  <c r="G37" i="62"/>
  <c r="G55" i="62" s="1"/>
  <c r="M55" i="62" s="1"/>
  <c r="G29" i="62"/>
  <c r="G47" i="62" s="1"/>
  <c r="M47" i="62" s="1"/>
  <c r="H31" i="62"/>
  <c r="G32" i="62"/>
  <c r="M32" i="62" s="1"/>
  <c r="F35" i="46"/>
  <c r="F42" i="56" s="1"/>
  <c r="F46" i="56" s="1"/>
  <c r="E88" i="46"/>
  <c r="E95" i="56" s="1"/>
  <c r="E31" i="62"/>
  <c r="K31" i="62" s="1"/>
  <c r="E34" i="62"/>
  <c r="E52" i="62" s="1"/>
  <c r="K52" i="62" s="1"/>
  <c r="G35" i="62"/>
  <c r="G53" i="62" s="1"/>
  <c r="M53" i="62" s="1"/>
  <c r="H39" i="62"/>
  <c r="N39" i="62" s="1"/>
  <c r="G36" i="62"/>
  <c r="G54" i="62" s="1"/>
  <c r="M54" i="62" s="1"/>
  <c r="D30" i="62"/>
  <c r="D48" i="62" s="1"/>
  <c r="J48" i="62" s="1"/>
  <c r="D37" i="62"/>
  <c r="J37" i="62" s="1"/>
  <c r="F28" i="62"/>
  <c r="L28" i="62" s="1"/>
  <c r="F34" i="62"/>
  <c r="L34" i="62" s="1"/>
  <c r="E39" i="62"/>
  <c r="E57" i="62" s="1"/>
  <c r="K57" i="62" s="1"/>
  <c r="E30" i="62"/>
  <c r="E48" i="62" s="1"/>
  <c r="K48" i="62" s="1"/>
  <c r="H34" i="62"/>
  <c r="H52" i="62" s="1"/>
  <c r="N52" i="62" s="1"/>
  <c r="H38" i="62"/>
  <c r="H56" i="62" s="1"/>
  <c r="N56" i="62" s="1"/>
  <c r="D39" i="62"/>
  <c r="J39" i="62" s="1"/>
  <c r="D33" i="62"/>
  <c r="J33" i="62" s="1"/>
  <c r="F27" i="62"/>
  <c r="L27" i="62" s="1"/>
  <c r="F30" i="62"/>
  <c r="F48" i="62" s="1"/>
  <c r="L48" i="62" s="1"/>
  <c r="G27" i="62"/>
  <c r="G45" i="62" s="1"/>
  <c r="E36" i="62"/>
  <c r="E54" i="62" s="1"/>
  <c r="K54" i="62" s="1"/>
  <c r="E35" i="62"/>
  <c r="E53" i="62" s="1"/>
  <c r="K53" i="62" s="1"/>
  <c r="H30" i="62"/>
  <c r="D36" i="62"/>
  <c r="D54" i="62" s="1"/>
  <c r="J54" i="62" s="1"/>
  <c r="D29" i="62"/>
  <c r="J29" i="62" s="1"/>
  <c r="F37" i="62"/>
  <c r="L37" i="62" s="1"/>
  <c r="H35" i="46"/>
  <c r="H42" i="56" s="1"/>
  <c r="P42" i="56" s="1"/>
  <c r="P46" i="56" s="1"/>
  <c r="P12" i="56" s="1"/>
  <c r="G38" i="62"/>
  <c r="M38" i="62" s="1"/>
  <c r="E32" i="62"/>
  <c r="E50" i="62" s="1"/>
  <c r="K50" i="62" s="1"/>
  <c r="H27" i="62"/>
  <c r="H45" i="62" s="1"/>
  <c r="D32" i="62"/>
  <c r="D50" i="62" s="1"/>
  <c r="J50" i="62" s="1"/>
  <c r="F33" i="62"/>
  <c r="F51" i="62" s="1"/>
  <c r="L51" i="62" s="1"/>
  <c r="G39" i="62"/>
  <c r="G57" i="62" s="1"/>
  <c r="M57" i="62" s="1"/>
  <c r="G34" i="62"/>
  <c r="G52" i="62" s="1"/>
  <c r="M52" i="62" s="1"/>
  <c r="E27" i="62"/>
  <c r="K27" i="62" s="1"/>
  <c r="I35" i="46"/>
  <c r="I42" i="56" s="1"/>
  <c r="I46" i="56" s="1"/>
  <c r="H33" i="62"/>
  <c r="H51" i="62" s="1"/>
  <c r="N51" i="62" s="1"/>
  <c r="D28" i="62"/>
  <c r="J28" i="62" s="1"/>
  <c r="G35" i="46"/>
  <c r="G42" i="56" s="1"/>
  <c r="O42" i="56" s="1"/>
  <c r="O46" i="56" s="1"/>
  <c r="F29" i="62"/>
  <c r="L29" i="62" s="1"/>
  <c r="G28" i="62"/>
  <c r="G46" i="62" s="1"/>
  <c r="M46" i="62" s="1"/>
  <c r="G30" i="62"/>
  <c r="G48" i="62" s="1"/>
  <c r="M48" i="62" s="1"/>
  <c r="E37" i="62"/>
  <c r="E55" i="62" s="1"/>
  <c r="K55" i="62" s="1"/>
  <c r="H36" i="62"/>
  <c r="H54" i="62" s="1"/>
  <c r="N54" i="62" s="1"/>
  <c r="H37" i="62"/>
  <c r="H55" i="62" s="1"/>
  <c r="N55" i="62" s="1"/>
  <c r="D35" i="62"/>
  <c r="D53" i="62" s="1"/>
  <c r="F35" i="62"/>
  <c r="F53" i="62" s="1"/>
  <c r="F39" i="62"/>
  <c r="F57" i="62" s="1"/>
  <c r="L57" i="62" s="1"/>
  <c r="E122" i="46"/>
  <c r="E129" i="56" s="1"/>
  <c r="E28" i="62"/>
  <c r="E46" i="62" s="1"/>
  <c r="K46" i="62" s="1"/>
  <c r="E33" i="62"/>
  <c r="E51" i="62" s="1"/>
  <c r="K51" i="62" s="1"/>
  <c r="H32" i="62"/>
  <c r="H29" i="62"/>
  <c r="H47" i="62" s="1"/>
  <c r="N47" i="62" s="1"/>
  <c r="D38" i="62"/>
  <c r="D56" i="62" s="1"/>
  <c r="J56" i="62" s="1"/>
  <c r="D31" i="62"/>
  <c r="J31" i="62" s="1"/>
  <c r="F31" i="62"/>
  <c r="L31" i="62" s="1"/>
  <c r="F32" i="62"/>
  <c r="F50" i="62" s="1"/>
  <c r="L50" i="62" s="1"/>
  <c r="G31" i="62"/>
  <c r="G49" i="62" s="1"/>
  <c r="M49" i="62" s="1"/>
  <c r="G33" i="62"/>
  <c r="G51" i="62" s="1"/>
  <c r="M51" i="62" s="1"/>
  <c r="E38" i="62"/>
  <c r="E56" i="62" s="1"/>
  <c r="K56" i="62" s="1"/>
  <c r="E29" i="62"/>
  <c r="K29" i="62" s="1"/>
  <c r="H28" i="62"/>
  <c r="H46" i="62" s="1"/>
  <c r="N46" i="62" s="1"/>
  <c r="H35" i="62"/>
  <c r="H53" i="62" s="1"/>
  <c r="N53" i="62" s="1"/>
  <c r="D34" i="62"/>
  <c r="J34" i="62" s="1"/>
  <c r="D27" i="62"/>
  <c r="D45" i="62" s="1"/>
  <c r="J45" i="62" s="1"/>
  <c r="F36" i="62"/>
  <c r="L36" i="62" s="1"/>
  <c r="F38" i="62"/>
  <c r="F56" i="62" s="1"/>
  <c r="L56" i="62" s="1"/>
  <c r="D74" i="46"/>
  <c r="D14" i="46" s="1"/>
  <c r="D74" i="56"/>
  <c r="D81" i="56" s="1"/>
  <c r="D14" i="56" s="1"/>
  <c r="D143" i="46"/>
  <c r="D150" i="56" s="1"/>
  <c r="D125" i="46"/>
  <c r="D132" i="56" s="1"/>
  <c r="E89" i="46"/>
  <c r="E96" i="56" s="1"/>
  <c r="G10" i="47"/>
  <c r="G14" i="47" s="1"/>
  <c r="D91" i="46"/>
  <c r="D98" i="56" s="1"/>
  <c r="D108" i="46"/>
  <c r="D115" i="56" s="1"/>
  <c r="E106" i="56"/>
  <c r="E89" i="56"/>
  <c r="E105" i="46"/>
  <c r="E112" i="56" s="1"/>
  <c r="E76" i="56"/>
  <c r="M76" i="56" s="1"/>
  <c r="E139" i="46"/>
  <c r="E146" i="56" s="1"/>
  <c r="E62" i="56"/>
  <c r="E57" i="46"/>
  <c r="E58" i="46" s="1"/>
  <c r="E75" i="56"/>
  <c r="M75" i="56" s="1"/>
  <c r="E72" i="46"/>
  <c r="E141" i="46"/>
  <c r="E148" i="56" s="1"/>
  <c r="E106" i="46"/>
  <c r="E113" i="56" s="1"/>
  <c r="E123" i="46"/>
  <c r="E130" i="56" s="1"/>
  <c r="G23" i="42"/>
  <c r="G25" i="42" s="1"/>
  <c r="G34" i="42"/>
  <c r="G38" i="42" s="1"/>
  <c r="E140" i="46"/>
  <c r="E147" i="56" s="1"/>
  <c r="E121" i="46"/>
  <c r="E128" i="56" s="1"/>
  <c r="F73" i="46"/>
  <c r="F80" i="56" s="1"/>
  <c r="N80" i="56" s="1"/>
  <c r="F63" i="56"/>
  <c r="F69" i="46"/>
  <c r="F76" i="56" s="1"/>
  <c r="N76" i="56" s="1"/>
  <c r="F59" i="56"/>
  <c r="I71" i="46"/>
  <c r="I78" i="56" s="1"/>
  <c r="Q78" i="56" s="1"/>
  <c r="I61" i="56"/>
  <c r="H70" i="46"/>
  <c r="H77" i="56" s="1"/>
  <c r="P77" i="56" s="1"/>
  <c r="H60" i="56"/>
  <c r="I70" i="46"/>
  <c r="I77" i="56" s="1"/>
  <c r="Q77" i="56" s="1"/>
  <c r="I60" i="56"/>
  <c r="H73" i="46"/>
  <c r="H80" i="56" s="1"/>
  <c r="P80" i="56" s="1"/>
  <c r="H63" i="56"/>
  <c r="H69" i="46"/>
  <c r="H76" i="56" s="1"/>
  <c r="P76" i="56" s="1"/>
  <c r="H59" i="56"/>
  <c r="D14" i="47"/>
  <c r="G70" i="46"/>
  <c r="G77" i="56" s="1"/>
  <c r="O77" i="56" s="1"/>
  <c r="G60" i="56"/>
  <c r="I69" i="46"/>
  <c r="I76" i="56" s="1"/>
  <c r="Q76" i="56" s="1"/>
  <c r="I59" i="56"/>
  <c r="G69" i="46"/>
  <c r="G76" i="56" s="1"/>
  <c r="O76" i="56" s="1"/>
  <c r="G59" i="56"/>
  <c r="G73" i="46"/>
  <c r="G80" i="56" s="1"/>
  <c r="O80" i="56" s="1"/>
  <c r="G63" i="56"/>
  <c r="G71" i="46"/>
  <c r="G78" i="56" s="1"/>
  <c r="O78" i="56" s="1"/>
  <c r="G61" i="56"/>
  <c r="E25" i="42"/>
  <c r="H71" i="46"/>
  <c r="H78" i="56" s="1"/>
  <c r="P78" i="56" s="1"/>
  <c r="H61" i="56"/>
  <c r="F70" i="46"/>
  <c r="F77" i="56" s="1"/>
  <c r="N77" i="56" s="1"/>
  <c r="F60" i="56"/>
  <c r="F71" i="46"/>
  <c r="F78" i="56" s="1"/>
  <c r="N78" i="56" s="1"/>
  <c r="F61" i="56"/>
  <c r="E10" i="47"/>
  <c r="E14" i="47" s="1"/>
  <c r="E73" i="46"/>
  <c r="E80" i="56" s="1"/>
  <c r="M80" i="56" s="1"/>
  <c r="E63" i="56"/>
  <c r="E104" i="46"/>
  <c r="E111" i="56" s="1"/>
  <c r="I73" i="46"/>
  <c r="I80" i="56" s="1"/>
  <c r="Q80" i="56" s="1"/>
  <c r="I63" i="56"/>
  <c r="L74" i="56"/>
  <c r="L81" i="56" s="1"/>
  <c r="L14" i="56" s="1"/>
  <c r="L27" i="56" s="1"/>
  <c r="C28" i="47" s="1"/>
  <c r="I38" i="42"/>
  <c r="I23" i="42"/>
  <c r="H10" i="47"/>
  <c r="H14" i="47" s="1"/>
  <c r="F23" i="42"/>
  <c r="F38" i="42"/>
  <c r="F18" i="42"/>
  <c r="F55" i="46"/>
  <c r="F62" i="56" s="1"/>
  <c r="F68" i="46"/>
  <c r="F75" i="56" s="1"/>
  <c r="N75" i="56" s="1"/>
  <c r="F10" i="47"/>
  <c r="F14" i="47" s="1"/>
  <c r="H18" i="42"/>
  <c r="H23" i="42"/>
  <c r="I68" i="46"/>
  <c r="I75" i="56" s="1"/>
  <c r="Q75" i="56" s="1"/>
  <c r="I55" i="46"/>
  <c r="H38" i="42"/>
  <c r="E120" i="46"/>
  <c r="E86" i="46"/>
  <c r="E138" i="46"/>
  <c r="E103" i="46"/>
  <c r="I18" i="42"/>
  <c r="G55" i="46"/>
  <c r="G68" i="46"/>
  <c r="G75" i="56" s="1"/>
  <c r="O75" i="56" s="1"/>
  <c r="H68" i="46"/>
  <c r="H75" i="56" s="1"/>
  <c r="P75" i="56" s="1"/>
  <c r="H55" i="46"/>
  <c r="D139" i="56"/>
  <c r="D137" i="46"/>
  <c r="H139" i="56"/>
  <c r="D121" i="56"/>
  <c r="D119" i="46"/>
  <c r="H121" i="56"/>
  <c r="E74" i="56"/>
  <c r="D104" i="56"/>
  <c r="D102" i="46"/>
  <c r="H104" i="56"/>
  <c r="H87" i="56"/>
  <c r="F50" i="46"/>
  <c r="F57" i="56" s="1"/>
  <c r="D87" i="56"/>
  <c r="D85" i="46"/>
  <c r="G33" i="42"/>
  <c r="I33" i="42"/>
  <c r="E132" i="46"/>
  <c r="E69" i="56"/>
  <c r="I132" i="46"/>
  <c r="I69" i="56"/>
  <c r="Q69" i="56" s="1"/>
  <c r="F69" i="56"/>
  <c r="N69" i="56" s="1"/>
  <c r="F132" i="46"/>
  <c r="I63" i="46"/>
  <c r="I67" i="46" s="1"/>
  <c r="I74" i="56" s="1"/>
  <c r="I53" i="56"/>
  <c r="G132" i="46"/>
  <c r="G69" i="56"/>
  <c r="O69" i="56" s="1"/>
  <c r="F67" i="46"/>
  <c r="F74" i="56" s="1"/>
  <c r="F53" i="56"/>
  <c r="H63" i="46"/>
  <c r="H67" i="46" s="1"/>
  <c r="H74" i="56" s="1"/>
  <c r="H53" i="56"/>
  <c r="G63" i="46"/>
  <c r="G67" i="46" s="1"/>
  <c r="G74" i="56" s="1"/>
  <c r="G53" i="56"/>
  <c r="H73" i="56"/>
  <c r="P73" i="56" s="1"/>
  <c r="H136" i="46"/>
  <c r="H143" i="56" s="1"/>
  <c r="H118" i="46"/>
  <c r="H125" i="56" s="1"/>
  <c r="H101" i="46"/>
  <c r="H108" i="56" s="1"/>
  <c r="H84" i="46"/>
  <c r="H91" i="56" s="1"/>
  <c r="E133" i="46"/>
  <c r="E140" i="56" s="1"/>
  <c r="E70" i="56"/>
  <c r="M70" i="56" s="1"/>
  <c r="E81" i="46"/>
  <c r="E88" i="56" s="1"/>
  <c r="E115" i="46"/>
  <c r="E122" i="56" s="1"/>
  <c r="E98" i="46"/>
  <c r="E105" i="56" s="1"/>
  <c r="G97" i="46"/>
  <c r="G114" i="46"/>
  <c r="G80" i="46"/>
  <c r="E114" i="46"/>
  <c r="F114" i="46"/>
  <c r="F97" i="46"/>
  <c r="F80" i="46"/>
  <c r="I97" i="46"/>
  <c r="I80" i="46"/>
  <c r="I114" i="46"/>
  <c r="H33" i="42"/>
  <c r="E33" i="42"/>
  <c r="E40" i="42" s="1"/>
  <c r="F33" i="42"/>
  <c r="H57" i="62"/>
  <c r="N57" i="62" s="1"/>
  <c r="M37" i="62"/>
  <c r="H200" i="56"/>
  <c r="H25" i="56" s="1"/>
  <c r="H26" i="56" s="1"/>
  <c r="H30" i="46"/>
  <c r="H10" i="46" s="1"/>
  <c r="H157" i="46"/>
  <c r="P164" i="56"/>
  <c r="P165" i="56" s="1"/>
  <c r="H193" i="46"/>
  <c r="H164" i="56"/>
  <c r="H165" i="56" s="1"/>
  <c r="H181" i="46"/>
  <c r="M28" i="62"/>
  <c r="G50" i="62"/>
  <c r="M50" i="62" s="1"/>
  <c r="H188" i="56"/>
  <c r="H23" i="56" s="1"/>
  <c r="H24" i="56" s="1"/>
  <c r="H37" i="56"/>
  <c r="H38" i="56" s="1"/>
  <c r="P37" i="56"/>
  <c r="P10" i="56" s="1"/>
  <c r="D13" i="46"/>
  <c r="L13" i="46" s="1"/>
  <c r="D25" i="56"/>
  <c r="D26" i="56" s="1"/>
  <c r="G200" i="56"/>
  <c r="G201" i="56" s="1"/>
  <c r="I188" i="56"/>
  <c r="I23" i="56" s="1"/>
  <c r="I24" i="56" s="1"/>
  <c r="G157" i="46"/>
  <c r="D23" i="56"/>
  <c r="D24" i="56" s="1"/>
  <c r="E193" i="46"/>
  <c r="E188" i="56"/>
  <c r="F157" i="46"/>
  <c r="G181" i="46"/>
  <c r="G193" i="46"/>
  <c r="E157" i="46"/>
  <c r="M170" i="56"/>
  <c r="I30" i="46"/>
  <c r="F181" i="46"/>
  <c r="N29" i="62"/>
  <c r="G30" i="46"/>
  <c r="E39" i="46"/>
  <c r="E200" i="56"/>
  <c r="M157" i="56"/>
  <c r="M164" i="56" s="1"/>
  <c r="E164" i="56"/>
  <c r="I157" i="46"/>
  <c r="F200" i="56"/>
  <c r="O33" i="56"/>
  <c r="O37" i="56" s="1"/>
  <c r="G37" i="56"/>
  <c r="M42" i="56"/>
  <c r="M46" i="56" s="1"/>
  <c r="E46" i="56"/>
  <c r="E169" i="46"/>
  <c r="E19" i="46" s="1"/>
  <c r="Q157" i="56"/>
  <c r="Q164" i="56" s="1"/>
  <c r="I164" i="56"/>
  <c r="H49" i="62"/>
  <c r="N49" i="62" s="1"/>
  <c r="N31" i="62"/>
  <c r="F169" i="46"/>
  <c r="F19" i="46" s="1"/>
  <c r="L53" i="62"/>
  <c r="N33" i="62"/>
  <c r="G188" i="56"/>
  <c r="E181" i="46"/>
  <c r="I200" i="56"/>
  <c r="Q33" i="56"/>
  <c r="Q37" i="56" s="1"/>
  <c r="I37" i="56"/>
  <c r="F193" i="46"/>
  <c r="F30" i="46"/>
  <c r="D46" i="62"/>
  <c r="J46" i="62" s="1"/>
  <c r="O157" i="56"/>
  <c r="O164" i="56" s="1"/>
  <c r="G164" i="56"/>
  <c r="M33" i="56"/>
  <c r="M37" i="56" s="1"/>
  <c r="E37" i="56"/>
  <c r="I181" i="46"/>
  <c r="H48" i="62"/>
  <c r="N48" i="62" s="1"/>
  <c r="N30" i="62"/>
  <c r="N33" i="56"/>
  <c r="N37" i="56" s="1"/>
  <c r="F37" i="56"/>
  <c r="F188" i="56"/>
  <c r="N157" i="56"/>
  <c r="N164" i="56" s="1"/>
  <c r="F164" i="56"/>
  <c r="N170" i="56"/>
  <c r="E30" i="46"/>
  <c r="J53" i="62"/>
  <c r="I193" i="46"/>
  <c r="L11" i="46"/>
  <c r="N35" i="62" l="1"/>
  <c r="M36" i="62"/>
  <c r="E176" i="56"/>
  <c r="E177" i="56" s="1"/>
  <c r="F176" i="56"/>
  <c r="I172" i="56"/>
  <c r="Q172" i="56" s="1"/>
  <c r="Q165" i="46"/>
  <c r="H170" i="56"/>
  <c r="P170" i="56" s="1"/>
  <c r="P163" i="46"/>
  <c r="H173" i="56"/>
  <c r="P173" i="56" s="1"/>
  <c r="P166" i="46"/>
  <c r="G172" i="56"/>
  <c r="O172" i="56" s="1"/>
  <c r="O165" i="46"/>
  <c r="I173" i="56"/>
  <c r="Q173" i="56" s="1"/>
  <c r="Q166" i="46"/>
  <c r="G173" i="56"/>
  <c r="O173" i="56" s="1"/>
  <c r="O166" i="46"/>
  <c r="G171" i="56"/>
  <c r="O171" i="56" s="1"/>
  <c r="O164" i="46"/>
  <c r="I175" i="56"/>
  <c r="Q175" i="56" s="1"/>
  <c r="Q168" i="46"/>
  <c r="I171" i="56"/>
  <c r="Q171" i="56" s="1"/>
  <c r="Q164" i="46"/>
  <c r="H172" i="56"/>
  <c r="P172" i="56" s="1"/>
  <c r="P165" i="46"/>
  <c r="M169" i="46"/>
  <c r="H175" i="56"/>
  <c r="P175" i="56" s="1"/>
  <c r="P168" i="46"/>
  <c r="G174" i="56"/>
  <c r="O174" i="56" s="1"/>
  <c r="O167" i="46"/>
  <c r="N169" i="46"/>
  <c r="I174" i="56"/>
  <c r="Q174" i="56" s="1"/>
  <c r="Q167" i="46"/>
  <c r="I170" i="56"/>
  <c r="Q170" i="56" s="1"/>
  <c r="Q163" i="46"/>
  <c r="M176" i="56"/>
  <c r="M177" i="56" s="1"/>
  <c r="H171" i="56"/>
  <c r="P171" i="56" s="1"/>
  <c r="P164" i="46"/>
  <c r="H174" i="56"/>
  <c r="P174" i="56" s="1"/>
  <c r="P167" i="46"/>
  <c r="N176" i="56"/>
  <c r="G175" i="56"/>
  <c r="O175" i="56" s="1"/>
  <c r="O168" i="46"/>
  <c r="K36" i="62"/>
  <c r="K30" i="62"/>
  <c r="E47" i="62"/>
  <c r="K47" i="62" s="1"/>
  <c r="N28" i="62"/>
  <c r="J35" i="62"/>
  <c r="N34" i="62"/>
  <c r="I169" i="46"/>
  <c r="H169" i="46"/>
  <c r="G169" i="46"/>
  <c r="G170" i="56"/>
  <c r="G39" i="46"/>
  <c r="G40" i="46" s="1"/>
  <c r="N38" i="62"/>
  <c r="L39" i="62"/>
  <c r="F47" i="62"/>
  <c r="L47" i="62" s="1"/>
  <c r="J32" i="62"/>
  <c r="L35" i="62"/>
  <c r="N42" i="56"/>
  <c r="N46" i="56" s="1"/>
  <c r="N12" i="56" s="1"/>
  <c r="J36" i="62"/>
  <c r="J38" i="62"/>
  <c r="D49" i="62"/>
  <c r="J49" i="62" s="1"/>
  <c r="G46" i="56"/>
  <c r="G12" i="56" s="1"/>
  <c r="G13" i="56" s="1"/>
  <c r="D55" i="62"/>
  <c r="J55" i="62" s="1"/>
  <c r="K32" i="62"/>
  <c r="D51" i="62"/>
  <c r="J51" i="62" s="1"/>
  <c r="M35" i="62"/>
  <c r="N37" i="62"/>
  <c r="D47" i="62"/>
  <c r="J47" i="62" s="1"/>
  <c r="M29" i="62"/>
  <c r="L32" i="62"/>
  <c r="M39" i="62"/>
  <c r="F55" i="62"/>
  <c r="L55" i="62" s="1"/>
  <c r="F52" i="62"/>
  <c r="L52" i="62" s="1"/>
  <c r="D52" i="62"/>
  <c r="J52" i="62" s="1"/>
  <c r="E90" i="46"/>
  <c r="E97" i="56" s="1"/>
  <c r="J30" i="62"/>
  <c r="D57" i="62"/>
  <c r="J57" i="62" s="1"/>
  <c r="F39" i="46"/>
  <c r="F12" i="46" s="1"/>
  <c r="L33" i="62"/>
  <c r="F49" i="62"/>
  <c r="L49" i="62" s="1"/>
  <c r="K28" i="62"/>
  <c r="F46" i="62"/>
  <c r="L46" i="62" s="1"/>
  <c r="E49" i="62"/>
  <c r="K49" i="62" s="1"/>
  <c r="F45" i="62"/>
  <c r="M31" i="62"/>
  <c r="M34" i="62"/>
  <c r="K33" i="62"/>
  <c r="K34" i="62"/>
  <c r="G143" i="46"/>
  <c r="G150" i="56" s="1"/>
  <c r="E45" i="62"/>
  <c r="F54" i="62"/>
  <c r="L54" i="62" s="1"/>
  <c r="J27" i="62"/>
  <c r="K38" i="62"/>
  <c r="Q42" i="56"/>
  <c r="Q46" i="56" s="1"/>
  <c r="Q47" i="56" s="1"/>
  <c r="H50" i="62"/>
  <c r="N50" i="62" s="1"/>
  <c r="I39" i="46"/>
  <c r="I12" i="46" s="1"/>
  <c r="L30" i="62"/>
  <c r="N32" i="62"/>
  <c r="M27" i="62"/>
  <c r="K37" i="62"/>
  <c r="H39" i="46"/>
  <c r="H12" i="46" s="1"/>
  <c r="H13" i="46" s="1"/>
  <c r="P13" i="46" s="1"/>
  <c r="K39" i="62"/>
  <c r="G56" i="62"/>
  <c r="M56" i="62" s="1"/>
  <c r="N36" i="62"/>
  <c r="M33" i="62"/>
  <c r="L38" i="62"/>
  <c r="H46" i="56"/>
  <c r="H12" i="56" s="1"/>
  <c r="H13" i="56" s="1"/>
  <c r="M30" i="62"/>
  <c r="N27" i="62"/>
  <c r="K35" i="62"/>
  <c r="F125" i="46"/>
  <c r="F132" i="56" s="1"/>
  <c r="H91" i="46"/>
  <c r="H98" i="56" s="1"/>
  <c r="E137" i="46"/>
  <c r="G108" i="46"/>
  <c r="G115" i="56" s="1"/>
  <c r="F91" i="46"/>
  <c r="F98" i="56" s="1"/>
  <c r="M79" i="56"/>
  <c r="E74" i="46"/>
  <c r="E14" i="46" s="1"/>
  <c r="D47" i="47" s="1"/>
  <c r="E85" i="46"/>
  <c r="E119" i="46"/>
  <c r="E102" i="46"/>
  <c r="E142" i="46"/>
  <c r="E149" i="56" s="1"/>
  <c r="G125" i="46"/>
  <c r="G132" i="56" s="1"/>
  <c r="E79" i="56"/>
  <c r="E81" i="56" s="1"/>
  <c r="E14" i="56" s="1"/>
  <c r="G91" i="46"/>
  <c r="G98" i="56" s="1"/>
  <c r="E107" i="46"/>
  <c r="E114" i="56" s="1"/>
  <c r="E124" i="46"/>
  <c r="I122" i="46"/>
  <c r="I129" i="56" s="1"/>
  <c r="I88" i="46"/>
  <c r="I95" i="56" s="1"/>
  <c r="E64" i="56"/>
  <c r="E65" i="56" s="1"/>
  <c r="E143" i="46"/>
  <c r="E150" i="56" s="1"/>
  <c r="G40" i="42"/>
  <c r="G42" i="42" s="1"/>
  <c r="G139" i="46"/>
  <c r="G146" i="56" s="1"/>
  <c r="I143" i="46"/>
  <c r="I150" i="56" s="1"/>
  <c r="I108" i="46"/>
  <c r="I115" i="56" s="1"/>
  <c r="F143" i="46"/>
  <c r="F150" i="56" s="1"/>
  <c r="F108" i="46"/>
  <c r="F115" i="56" s="1"/>
  <c r="I125" i="46"/>
  <c r="I132" i="56" s="1"/>
  <c r="E108" i="46"/>
  <c r="E115" i="56" s="1"/>
  <c r="H143" i="46"/>
  <c r="H150" i="56" s="1"/>
  <c r="E91" i="46"/>
  <c r="E98" i="56" s="1"/>
  <c r="H108" i="46"/>
  <c r="H115" i="56" s="1"/>
  <c r="E125" i="46"/>
  <c r="E132" i="56" s="1"/>
  <c r="H125" i="46"/>
  <c r="H132" i="56" s="1"/>
  <c r="H106" i="46"/>
  <c r="H113" i="56" s="1"/>
  <c r="G106" i="46"/>
  <c r="G113" i="56" s="1"/>
  <c r="I140" i="46"/>
  <c r="I147" i="56" s="1"/>
  <c r="F104" i="46"/>
  <c r="F111" i="56" s="1"/>
  <c r="F139" i="46"/>
  <c r="F146" i="56" s="1"/>
  <c r="F87" i="46"/>
  <c r="F94" i="56" s="1"/>
  <c r="I106" i="46"/>
  <c r="I113" i="56" s="1"/>
  <c r="I141" i="46"/>
  <c r="I148" i="56" s="1"/>
  <c r="F122" i="46"/>
  <c r="F129" i="56" s="1"/>
  <c r="F88" i="46"/>
  <c r="F95" i="56" s="1"/>
  <c r="H139" i="46"/>
  <c r="H146" i="56" s="1"/>
  <c r="H87" i="46"/>
  <c r="H94" i="56" s="1"/>
  <c r="H104" i="46"/>
  <c r="H111" i="56" s="1"/>
  <c r="H121" i="46"/>
  <c r="H128" i="56" s="1"/>
  <c r="I40" i="42"/>
  <c r="I42" i="42" s="1"/>
  <c r="I89" i="46"/>
  <c r="I96" i="56" s="1"/>
  <c r="I123" i="46"/>
  <c r="I130" i="56" s="1"/>
  <c r="G89" i="46"/>
  <c r="G96" i="56" s="1"/>
  <c r="G141" i="46"/>
  <c r="G148" i="56" s="1"/>
  <c r="G123" i="46"/>
  <c r="G130" i="56" s="1"/>
  <c r="H89" i="46"/>
  <c r="H96" i="56" s="1"/>
  <c r="I105" i="46"/>
  <c r="I112" i="56" s="1"/>
  <c r="F140" i="46"/>
  <c r="F147" i="56" s="1"/>
  <c r="F105" i="46"/>
  <c r="F112" i="56" s="1"/>
  <c r="F121" i="46"/>
  <c r="F128" i="56" s="1"/>
  <c r="F64" i="56"/>
  <c r="F65" i="56" s="1"/>
  <c r="F40" i="42"/>
  <c r="F42" i="42" s="1"/>
  <c r="G87" i="46"/>
  <c r="G94" i="56" s="1"/>
  <c r="G104" i="46"/>
  <c r="G111" i="56" s="1"/>
  <c r="G121" i="46"/>
  <c r="G128" i="56" s="1"/>
  <c r="H122" i="46"/>
  <c r="H129" i="56" s="1"/>
  <c r="I139" i="46"/>
  <c r="I146" i="56" s="1"/>
  <c r="H123" i="46"/>
  <c r="H130" i="56" s="1"/>
  <c r="Q79" i="56"/>
  <c r="N79" i="56"/>
  <c r="H88" i="46"/>
  <c r="H95" i="56" s="1"/>
  <c r="H40" i="42"/>
  <c r="G19" i="47" s="1"/>
  <c r="G20" i="47" s="1"/>
  <c r="I87" i="46"/>
  <c r="I94" i="56" s="1"/>
  <c r="E110" i="56"/>
  <c r="H140" i="46"/>
  <c r="H147" i="56" s="1"/>
  <c r="I57" i="46"/>
  <c r="I58" i="46" s="1"/>
  <c r="I62" i="56"/>
  <c r="I64" i="56" s="1"/>
  <c r="I65" i="56" s="1"/>
  <c r="H57" i="46"/>
  <c r="H58" i="46" s="1"/>
  <c r="H62" i="56"/>
  <c r="H64" i="56" s="1"/>
  <c r="H65" i="56" s="1"/>
  <c r="I104" i="46"/>
  <c r="I111" i="56" s="1"/>
  <c r="E145" i="56"/>
  <c r="G105" i="46"/>
  <c r="G112" i="56" s="1"/>
  <c r="F106" i="46"/>
  <c r="F113" i="56" s="1"/>
  <c r="F25" i="42"/>
  <c r="H141" i="46"/>
  <c r="H148" i="56" s="1"/>
  <c r="P79" i="56"/>
  <c r="I121" i="46"/>
  <c r="I128" i="56" s="1"/>
  <c r="E93" i="56"/>
  <c r="G140" i="46"/>
  <c r="G147" i="56" s="1"/>
  <c r="F141" i="46"/>
  <c r="F148" i="56" s="1"/>
  <c r="I25" i="42"/>
  <c r="H105" i="46"/>
  <c r="H112" i="56" s="1"/>
  <c r="O79" i="56"/>
  <c r="I91" i="46"/>
  <c r="I98" i="56" s="1"/>
  <c r="E127" i="56"/>
  <c r="G122" i="46"/>
  <c r="G129" i="56" s="1"/>
  <c r="F123" i="46"/>
  <c r="F130" i="56" s="1"/>
  <c r="G57" i="46"/>
  <c r="G58" i="46" s="1"/>
  <c r="G62" i="56"/>
  <c r="G64" i="56" s="1"/>
  <c r="G65" i="56" s="1"/>
  <c r="G88" i="46"/>
  <c r="G95" i="56" s="1"/>
  <c r="F89" i="46"/>
  <c r="F96" i="56" s="1"/>
  <c r="D144" i="46"/>
  <c r="D18" i="46" s="1"/>
  <c r="L18" i="46" s="1"/>
  <c r="D144" i="56"/>
  <c r="D151" i="56" s="1"/>
  <c r="D18" i="56" s="1"/>
  <c r="D109" i="46"/>
  <c r="D16" i="46" s="1"/>
  <c r="L16" i="46" s="1"/>
  <c r="D109" i="56"/>
  <c r="D116" i="56" s="1"/>
  <c r="D16" i="56" s="1"/>
  <c r="D126" i="46"/>
  <c r="D17" i="46" s="1"/>
  <c r="L17" i="46" s="1"/>
  <c r="D126" i="56"/>
  <c r="D133" i="56" s="1"/>
  <c r="D92" i="46"/>
  <c r="D15" i="46" s="1"/>
  <c r="L15" i="46" s="1"/>
  <c r="D92" i="56"/>
  <c r="D99" i="56" s="1"/>
  <c r="D15" i="56" s="1"/>
  <c r="F57" i="46"/>
  <c r="F58" i="46" s="1"/>
  <c r="H25" i="42"/>
  <c r="G72" i="46"/>
  <c r="G138" i="46"/>
  <c r="G120" i="46"/>
  <c r="G86" i="46"/>
  <c r="G103" i="46"/>
  <c r="F72" i="46"/>
  <c r="F138" i="46"/>
  <c r="F120" i="46"/>
  <c r="F86" i="46"/>
  <c r="F103" i="46"/>
  <c r="H72" i="46"/>
  <c r="H138" i="46"/>
  <c r="H120" i="46"/>
  <c r="H103" i="46"/>
  <c r="H86" i="46"/>
  <c r="I72" i="46"/>
  <c r="I120" i="46"/>
  <c r="I103" i="46"/>
  <c r="I138" i="46"/>
  <c r="I86" i="46"/>
  <c r="I139" i="56"/>
  <c r="G139" i="56"/>
  <c r="E139" i="56"/>
  <c r="F139" i="56"/>
  <c r="I121" i="56"/>
  <c r="E121" i="56"/>
  <c r="G121" i="56"/>
  <c r="F121" i="56"/>
  <c r="F104" i="56"/>
  <c r="E104" i="56"/>
  <c r="I104" i="56"/>
  <c r="G104" i="56"/>
  <c r="I87" i="56"/>
  <c r="G87" i="56"/>
  <c r="F87" i="56"/>
  <c r="M69" i="56"/>
  <c r="G133" i="46"/>
  <c r="G140" i="56" s="1"/>
  <c r="G70" i="56"/>
  <c r="G98" i="46"/>
  <c r="G105" i="56" s="1"/>
  <c r="G115" i="46"/>
  <c r="G122" i="56" s="1"/>
  <c r="G81" i="46"/>
  <c r="G88" i="56" s="1"/>
  <c r="I133" i="46"/>
  <c r="I140" i="56" s="1"/>
  <c r="I70" i="56"/>
  <c r="I81" i="46"/>
  <c r="I88" i="56" s="1"/>
  <c r="I115" i="46"/>
  <c r="I122" i="56" s="1"/>
  <c r="I98" i="46"/>
  <c r="I105" i="56" s="1"/>
  <c r="H70" i="56"/>
  <c r="H133" i="46"/>
  <c r="H137" i="46" s="1"/>
  <c r="H144" i="56" s="1"/>
  <c r="H115" i="46"/>
  <c r="H119" i="46" s="1"/>
  <c r="H126" i="56" s="1"/>
  <c r="H98" i="46"/>
  <c r="H102" i="46" s="1"/>
  <c r="H109" i="56" s="1"/>
  <c r="H81" i="46"/>
  <c r="H85" i="46" s="1"/>
  <c r="F70" i="56"/>
  <c r="F133" i="46"/>
  <c r="F140" i="56" s="1"/>
  <c r="F115" i="46"/>
  <c r="F122" i="56" s="1"/>
  <c r="F98" i="46"/>
  <c r="F105" i="56" s="1"/>
  <c r="F81" i="46"/>
  <c r="F88" i="56" s="1"/>
  <c r="M45" i="62"/>
  <c r="H29" i="47"/>
  <c r="H201" i="56"/>
  <c r="H31" i="46"/>
  <c r="H158" i="46"/>
  <c r="P19" i="56"/>
  <c r="P38" i="56"/>
  <c r="P47" i="56"/>
  <c r="H19" i="56"/>
  <c r="H20" i="56" s="1"/>
  <c r="H194" i="46"/>
  <c r="H182" i="46"/>
  <c r="H10" i="56"/>
  <c r="H11" i="56" s="1"/>
  <c r="G64" i="47"/>
  <c r="H189" i="56"/>
  <c r="G25" i="56"/>
  <c r="G26" i="56" s="1"/>
  <c r="I189" i="56"/>
  <c r="G65" i="47"/>
  <c r="G158" i="46"/>
  <c r="G66" i="47"/>
  <c r="H11" i="46"/>
  <c r="G43" i="47"/>
  <c r="O10" i="56"/>
  <c r="O38" i="56"/>
  <c r="N45" i="62"/>
  <c r="N21" i="56"/>
  <c r="N177" i="56"/>
  <c r="N19" i="56"/>
  <c r="N165" i="56"/>
  <c r="O19" i="56"/>
  <c r="O165" i="56"/>
  <c r="F170" i="46"/>
  <c r="E170" i="46"/>
  <c r="E165" i="56"/>
  <c r="E19" i="56"/>
  <c r="E20" i="56" s="1"/>
  <c r="D19" i="47"/>
  <c r="E42" i="42"/>
  <c r="E43" i="42" s="1"/>
  <c r="F23" i="56"/>
  <c r="F24" i="56" s="1"/>
  <c r="F189" i="56"/>
  <c r="E10" i="46"/>
  <c r="E31" i="46"/>
  <c r="F10" i="56"/>
  <c r="F11" i="56" s="1"/>
  <c r="F38" i="56"/>
  <c r="I182" i="46"/>
  <c r="Q10" i="56"/>
  <c r="Q38" i="56"/>
  <c r="I165" i="56"/>
  <c r="I19" i="56"/>
  <c r="I20" i="56" s="1"/>
  <c r="M47" i="56"/>
  <c r="M12" i="56"/>
  <c r="E201" i="56"/>
  <c r="E25" i="56"/>
  <c r="E26" i="56" s="1"/>
  <c r="E158" i="46"/>
  <c r="E194" i="46"/>
  <c r="I194" i="46"/>
  <c r="N10" i="56"/>
  <c r="N38" i="56"/>
  <c r="G23" i="56"/>
  <c r="G24" i="56" s="1"/>
  <c r="G189" i="56"/>
  <c r="Q165" i="56"/>
  <c r="Q19" i="56"/>
  <c r="G10" i="56"/>
  <c r="G11" i="56" s="1"/>
  <c r="G38" i="56"/>
  <c r="E40" i="46"/>
  <c r="E12" i="46"/>
  <c r="G194" i="46"/>
  <c r="O12" i="56"/>
  <c r="O47" i="56"/>
  <c r="I25" i="56"/>
  <c r="I26" i="56" s="1"/>
  <c r="I201" i="56"/>
  <c r="F25" i="56"/>
  <c r="F26" i="56" s="1"/>
  <c r="F201" i="56"/>
  <c r="I10" i="46"/>
  <c r="I31" i="46"/>
  <c r="G182" i="46"/>
  <c r="F158" i="46"/>
  <c r="E47" i="56"/>
  <c r="E12" i="56"/>
  <c r="E13" i="56" s="1"/>
  <c r="M165" i="56"/>
  <c r="M19" i="56"/>
  <c r="F10" i="46"/>
  <c r="F31" i="46"/>
  <c r="E182" i="46"/>
  <c r="F62" i="47"/>
  <c r="I158" i="46"/>
  <c r="G10" i="46"/>
  <c r="G31" i="46"/>
  <c r="E10" i="56"/>
  <c r="E11" i="56" s="1"/>
  <c r="E38" i="56"/>
  <c r="F194" i="46"/>
  <c r="F12" i="56"/>
  <c r="F13" i="56" s="1"/>
  <c r="F47" i="56"/>
  <c r="I47" i="56"/>
  <c r="I12" i="56"/>
  <c r="I13" i="56" s="1"/>
  <c r="F182" i="46"/>
  <c r="E21" i="56"/>
  <c r="E22" i="56" s="1"/>
  <c r="I10" i="56"/>
  <c r="I11" i="56" s="1"/>
  <c r="I38" i="56"/>
  <c r="F177" i="56"/>
  <c r="F21" i="56"/>
  <c r="F22" i="56" s="1"/>
  <c r="F19" i="56"/>
  <c r="F20" i="56" s="1"/>
  <c r="F165" i="56"/>
  <c r="M10" i="56"/>
  <c r="M38" i="56"/>
  <c r="G165" i="56"/>
  <c r="G19" i="56"/>
  <c r="G20" i="56" s="1"/>
  <c r="K45" i="62"/>
  <c r="E23" i="56"/>
  <c r="E24" i="56" s="1"/>
  <c r="E189" i="56"/>
  <c r="Q176" i="56" l="1"/>
  <c r="Q21" i="56" s="1"/>
  <c r="M21" i="56"/>
  <c r="N47" i="56"/>
  <c r="I170" i="46"/>
  <c r="I19" i="46"/>
  <c r="H170" i="46"/>
  <c r="H19" i="46"/>
  <c r="L20" i="46"/>
  <c r="N170" i="46"/>
  <c r="N19" i="46"/>
  <c r="M170" i="46"/>
  <c r="M19" i="46"/>
  <c r="P176" i="56"/>
  <c r="P21" i="56" s="1"/>
  <c r="O169" i="46"/>
  <c r="G170" i="46"/>
  <c r="G19" i="46"/>
  <c r="Q169" i="46"/>
  <c r="P169" i="46"/>
  <c r="H176" i="56"/>
  <c r="G47" i="56"/>
  <c r="I176" i="56"/>
  <c r="Q12" i="56"/>
  <c r="G12" i="46"/>
  <c r="G176" i="56"/>
  <c r="O170" i="56"/>
  <c r="O176" i="56" s="1"/>
  <c r="D70" i="47"/>
  <c r="E29" i="47"/>
  <c r="F29" i="47"/>
  <c r="L45" i="62"/>
  <c r="D29" i="47"/>
  <c r="F40" i="46"/>
  <c r="G70" i="47"/>
  <c r="G29" i="47"/>
  <c r="I40" i="46"/>
  <c r="H70" i="47"/>
  <c r="F70" i="47"/>
  <c r="G45" i="47"/>
  <c r="G46" i="47"/>
  <c r="H47" i="56"/>
  <c r="H40" i="46"/>
  <c r="E70" i="47"/>
  <c r="E126" i="46"/>
  <c r="E17" i="46" s="1"/>
  <c r="M17" i="46" s="1"/>
  <c r="E109" i="46"/>
  <c r="E16" i="46" s="1"/>
  <c r="D51" i="47" s="1"/>
  <c r="E92" i="46"/>
  <c r="E15" i="46" s="1"/>
  <c r="M15" i="46" s="1"/>
  <c r="E131" i="56"/>
  <c r="E144" i="46"/>
  <c r="E18" i="46" s="1"/>
  <c r="D55" i="47" s="1"/>
  <c r="F19" i="47"/>
  <c r="F20" i="47" s="1"/>
  <c r="G43" i="42"/>
  <c r="H19" i="47"/>
  <c r="H21" i="47" s="1"/>
  <c r="H42" i="42"/>
  <c r="H43" i="42" s="1"/>
  <c r="E19" i="47"/>
  <c r="E75" i="46"/>
  <c r="F142" i="46"/>
  <c r="F149" i="56" s="1"/>
  <c r="F145" i="56"/>
  <c r="I107" i="46"/>
  <c r="I114" i="56" s="1"/>
  <c r="I110" i="56"/>
  <c r="F74" i="46"/>
  <c r="F75" i="46" s="1"/>
  <c r="F79" i="56"/>
  <c r="F81" i="56" s="1"/>
  <c r="I142" i="46"/>
  <c r="I149" i="56" s="1"/>
  <c r="I145" i="56"/>
  <c r="D17" i="56"/>
  <c r="I124" i="46"/>
  <c r="I131" i="56" s="1"/>
  <c r="I127" i="56"/>
  <c r="G107" i="46"/>
  <c r="G114" i="56" s="1"/>
  <c r="G110" i="56"/>
  <c r="F124" i="46"/>
  <c r="F131" i="56" s="1"/>
  <c r="F127" i="56"/>
  <c r="I74" i="46"/>
  <c r="I75" i="46" s="1"/>
  <c r="I79" i="56"/>
  <c r="I81" i="56" s="1"/>
  <c r="G90" i="46"/>
  <c r="G97" i="56" s="1"/>
  <c r="G93" i="56"/>
  <c r="I90" i="46"/>
  <c r="I97" i="56" s="1"/>
  <c r="I93" i="56"/>
  <c r="H90" i="46"/>
  <c r="H97" i="56" s="1"/>
  <c r="H93" i="56"/>
  <c r="H124" i="46"/>
  <c r="H131" i="56" s="1"/>
  <c r="H133" i="56" s="1"/>
  <c r="H127" i="56"/>
  <c r="G74" i="46"/>
  <c r="G75" i="46" s="1"/>
  <c r="G79" i="56"/>
  <c r="G81" i="56" s="1"/>
  <c r="F107" i="46"/>
  <c r="F114" i="56" s="1"/>
  <c r="F110" i="56"/>
  <c r="F90" i="46"/>
  <c r="F97" i="56" s="1"/>
  <c r="F93" i="56"/>
  <c r="H107" i="46"/>
  <c r="H114" i="56" s="1"/>
  <c r="H116" i="56" s="1"/>
  <c r="H110" i="56"/>
  <c r="G142" i="46"/>
  <c r="G149" i="56" s="1"/>
  <c r="G145" i="56"/>
  <c r="H142" i="46"/>
  <c r="H149" i="56" s="1"/>
  <c r="H151" i="56" s="1"/>
  <c r="H145" i="56"/>
  <c r="G124" i="46"/>
  <c r="G131" i="56" s="1"/>
  <c r="G127" i="56"/>
  <c r="H74" i="46"/>
  <c r="H14" i="46" s="1"/>
  <c r="G47" i="47" s="1"/>
  <c r="H79" i="56"/>
  <c r="H81" i="56" s="1"/>
  <c r="M74" i="56"/>
  <c r="M81" i="56" s="1"/>
  <c r="M82" i="56" s="1"/>
  <c r="H92" i="56"/>
  <c r="E109" i="56"/>
  <c r="E116" i="56" s="1"/>
  <c r="E144" i="56"/>
  <c r="E151" i="56" s="1"/>
  <c r="E18" i="56" s="1"/>
  <c r="E92" i="56"/>
  <c r="E99" i="56" s="1"/>
  <c r="E126" i="56"/>
  <c r="E82" i="56"/>
  <c r="F137" i="46"/>
  <c r="G119" i="46"/>
  <c r="G137" i="46"/>
  <c r="I137" i="46"/>
  <c r="F119" i="46"/>
  <c r="G102" i="46"/>
  <c r="I119" i="46"/>
  <c r="F85" i="46"/>
  <c r="I102" i="46"/>
  <c r="F102" i="46"/>
  <c r="G85" i="46"/>
  <c r="I85" i="46"/>
  <c r="P70" i="56"/>
  <c r="P74" i="56" s="1"/>
  <c r="P81" i="56" s="1"/>
  <c r="N70" i="56"/>
  <c r="N74" i="56" s="1"/>
  <c r="N81" i="56" s="1"/>
  <c r="O70" i="56"/>
  <c r="O74" i="56" s="1"/>
  <c r="O81" i="56" s="1"/>
  <c r="H88" i="56"/>
  <c r="H105" i="56"/>
  <c r="Q70" i="56"/>
  <c r="Q74" i="56" s="1"/>
  <c r="Q81" i="56" s="1"/>
  <c r="H122" i="56"/>
  <c r="H140" i="56"/>
  <c r="G62" i="47"/>
  <c r="P11" i="46"/>
  <c r="G44" i="47"/>
  <c r="G63" i="47"/>
  <c r="G67" i="47"/>
  <c r="H62" i="47"/>
  <c r="E64" i="47"/>
  <c r="E66" i="47"/>
  <c r="F11" i="46"/>
  <c r="E43" i="47"/>
  <c r="F13" i="46"/>
  <c r="E45" i="47"/>
  <c r="E13" i="46"/>
  <c r="D45" i="47"/>
  <c r="D66" i="47"/>
  <c r="E11" i="46"/>
  <c r="D43" i="47"/>
  <c r="H43" i="47"/>
  <c r="I11" i="46"/>
  <c r="G11" i="46"/>
  <c r="F43" i="47"/>
  <c r="F63" i="47"/>
  <c r="F66" i="47"/>
  <c r="H45" i="47"/>
  <c r="I13" i="46"/>
  <c r="H64" i="47"/>
  <c r="F43" i="42"/>
  <c r="D62" i="47"/>
  <c r="D64" i="47"/>
  <c r="H66" i="47"/>
  <c r="D20" i="47"/>
  <c r="D21" i="47"/>
  <c r="E62" i="47"/>
  <c r="G13" i="46"/>
  <c r="F45" i="47"/>
  <c r="F64" i="47"/>
  <c r="Q177" i="56" l="1"/>
  <c r="P177" i="56"/>
  <c r="P170" i="46"/>
  <c r="P19" i="46"/>
  <c r="O170" i="46"/>
  <c r="O19" i="46"/>
  <c r="Q170" i="46"/>
  <c r="Q19" i="46"/>
  <c r="H177" i="56"/>
  <c r="H21" i="56"/>
  <c r="H22" i="56" s="1"/>
  <c r="I21" i="56"/>
  <c r="I22" i="56" s="1"/>
  <c r="I177" i="56"/>
  <c r="O177" i="56"/>
  <c r="O21" i="56"/>
  <c r="G21" i="56"/>
  <c r="G22" i="56" s="1"/>
  <c r="G177" i="56"/>
  <c r="F21" i="47"/>
  <c r="H20" i="47"/>
  <c r="E20" i="47"/>
  <c r="G21" i="47"/>
  <c r="I43" i="42"/>
  <c r="E133" i="56"/>
  <c r="E134" i="56" s="1"/>
  <c r="E15" i="56"/>
  <c r="E21" i="47"/>
  <c r="D50" i="47"/>
  <c r="H144" i="46"/>
  <c r="H18" i="46" s="1"/>
  <c r="E93" i="46"/>
  <c r="F14" i="46"/>
  <c r="E47" i="47" s="1"/>
  <c r="E100" i="56"/>
  <c r="E127" i="46"/>
  <c r="M14" i="56"/>
  <c r="M27" i="56" s="1"/>
  <c r="D28" i="47" s="1"/>
  <c r="D35" i="47" s="1"/>
  <c r="H126" i="46"/>
  <c r="H17" i="46" s="1"/>
  <c r="E16" i="56"/>
  <c r="G14" i="46"/>
  <c r="F47" i="47" s="1"/>
  <c r="E117" i="56"/>
  <c r="H99" i="56"/>
  <c r="H15" i="56" s="1"/>
  <c r="M16" i="46"/>
  <c r="E110" i="46"/>
  <c r="H75" i="46"/>
  <c r="I14" i="46"/>
  <c r="H47" i="47" s="1"/>
  <c r="H92" i="46"/>
  <c r="H15" i="46" s="1"/>
  <c r="H109" i="46"/>
  <c r="H110" i="46" s="1"/>
  <c r="E145" i="46"/>
  <c r="M18" i="46"/>
  <c r="E152" i="56"/>
  <c r="G92" i="46"/>
  <c r="G15" i="46" s="1"/>
  <c r="F50" i="47" s="1"/>
  <c r="G92" i="56"/>
  <c r="G99" i="56" s="1"/>
  <c r="G15" i="56" s="1"/>
  <c r="I126" i="46"/>
  <c r="I126" i="56"/>
  <c r="I133" i="56" s="1"/>
  <c r="I17" i="56" s="1"/>
  <c r="F109" i="46"/>
  <c r="F16" i="46" s="1"/>
  <c r="E51" i="47" s="1"/>
  <c r="F109" i="56"/>
  <c r="F116" i="56" s="1"/>
  <c r="F16" i="56" s="1"/>
  <c r="F126" i="46"/>
  <c r="F17" i="46" s="1"/>
  <c r="F126" i="56"/>
  <c r="F133" i="56" s="1"/>
  <c r="F17" i="56" s="1"/>
  <c r="I144" i="46"/>
  <c r="I18" i="46" s="1"/>
  <c r="H55" i="47" s="1"/>
  <c r="I144" i="56"/>
  <c r="I151" i="56" s="1"/>
  <c r="I18" i="56" s="1"/>
  <c r="F144" i="46"/>
  <c r="F18" i="46" s="1"/>
  <c r="E55" i="47" s="1"/>
  <c r="F144" i="56"/>
  <c r="F151" i="56" s="1"/>
  <c r="F18" i="56" s="1"/>
  <c r="F92" i="46"/>
  <c r="F15" i="46" s="1"/>
  <c r="E50" i="47" s="1"/>
  <c r="F92" i="56"/>
  <c r="F99" i="56" s="1"/>
  <c r="F15" i="56" s="1"/>
  <c r="G144" i="46"/>
  <c r="G18" i="46" s="1"/>
  <c r="O18" i="46" s="1"/>
  <c r="G144" i="56"/>
  <c r="G151" i="56" s="1"/>
  <c r="G18" i="56" s="1"/>
  <c r="G109" i="46"/>
  <c r="G109" i="56"/>
  <c r="G116" i="56" s="1"/>
  <c r="G16" i="56" s="1"/>
  <c r="I109" i="46"/>
  <c r="I109" i="56"/>
  <c r="I116" i="56" s="1"/>
  <c r="I92" i="46"/>
  <c r="I92" i="56"/>
  <c r="I99" i="56" s="1"/>
  <c r="I15" i="56" s="1"/>
  <c r="G126" i="46"/>
  <c r="G126" i="56"/>
  <c r="G133" i="56" s="1"/>
  <c r="G17" i="56" s="1"/>
  <c r="D52" i="47"/>
  <c r="O14" i="56"/>
  <c r="O27" i="56" s="1"/>
  <c r="F28" i="47" s="1"/>
  <c r="F35" i="47" s="1"/>
  <c r="O82" i="56"/>
  <c r="H16" i="56"/>
  <c r="H117" i="56"/>
  <c r="F14" i="56"/>
  <c r="F82" i="56"/>
  <c r="H18" i="56"/>
  <c r="H152" i="56"/>
  <c r="N82" i="56"/>
  <c r="N14" i="56"/>
  <c r="N27" i="56" s="1"/>
  <c r="E28" i="47" s="1"/>
  <c r="E35" i="47" s="1"/>
  <c r="H14" i="56"/>
  <c r="H82" i="56"/>
  <c r="H17" i="56"/>
  <c r="H134" i="56"/>
  <c r="I82" i="56"/>
  <c r="I14" i="56"/>
  <c r="P14" i="56"/>
  <c r="P27" i="56" s="1"/>
  <c r="G28" i="47" s="1"/>
  <c r="P82" i="56"/>
  <c r="Q82" i="56"/>
  <c r="Q14" i="56"/>
  <c r="Q27" i="56" s="1"/>
  <c r="H28" i="47" s="1"/>
  <c r="G14" i="56"/>
  <c r="G82" i="56"/>
  <c r="F65" i="47"/>
  <c r="H67" i="47"/>
  <c r="D65" i="47"/>
  <c r="H65" i="47"/>
  <c r="H46" i="47"/>
  <c r="Q13" i="46"/>
  <c r="N11" i="46"/>
  <c r="E44" i="47"/>
  <c r="D63" i="47"/>
  <c r="O13" i="46"/>
  <c r="F46" i="47"/>
  <c r="Q11" i="46"/>
  <c r="H44" i="47"/>
  <c r="O11" i="46"/>
  <c r="F44" i="47"/>
  <c r="D67" i="47"/>
  <c r="E67" i="47"/>
  <c r="F67" i="47"/>
  <c r="H63" i="47"/>
  <c r="E63" i="47"/>
  <c r="M11" i="46"/>
  <c r="D44" i="47"/>
  <c r="M13" i="46"/>
  <c r="D46" i="47"/>
  <c r="N13" i="46"/>
  <c r="E46" i="47"/>
  <c r="E65" i="47"/>
  <c r="E17" i="56" l="1"/>
  <c r="H145" i="46"/>
  <c r="H100" i="56"/>
  <c r="O15" i="46"/>
  <c r="G17" i="46"/>
  <c r="O17" i="46" s="1"/>
  <c r="I110" i="46"/>
  <c r="H127" i="46"/>
  <c r="G145" i="46"/>
  <c r="H16" i="46"/>
  <c r="P16" i="46" s="1"/>
  <c r="F110" i="46"/>
  <c r="G16" i="46"/>
  <c r="F51" i="47" s="1"/>
  <c r="G110" i="46"/>
  <c r="H93" i="46"/>
  <c r="F127" i="46"/>
  <c r="G152" i="56"/>
  <c r="I145" i="46"/>
  <c r="Q18" i="46"/>
  <c r="I127" i="46"/>
  <c r="I134" i="56"/>
  <c r="I17" i="46"/>
  <c r="H52" i="47" s="1"/>
  <c r="G93" i="46"/>
  <c r="F134" i="56"/>
  <c r="G127" i="46"/>
  <c r="I152" i="56"/>
  <c r="G134" i="56"/>
  <c r="F145" i="46"/>
  <c r="F55" i="47"/>
  <c r="G117" i="56"/>
  <c r="G100" i="56"/>
  <c r="N18" i="46"/>
  <c r="I16" i="46"/>
  <c r="H51" i="47" s="1"/>
  <c r="F93" i="46"/>
  <c r="F152" i="56"/>
  <c r="N15" i="46"/>
  <c r="I93" i="46"/>
  <c r="I15" i="46"/>
  <c r="Q15" i="46" s="1"/>
  <c r="F100" i="56"/>
  <c r="I100" i="56"/>
  <c r="I117" i="56"/>
  <c r="I16" i="56"/>
  <c r="N16" i="46"/>
  <c r="F117" i="56"/>
  <c r="E52" i="47"/>
  <c r="N17" i="46"/>
  <c r="E37" i="47"/>
  <c r="F31" i="47"/>
  <c r="E31" i="47"/>
  <c r="P17" i="46"/>
  <c r="G52" i="47"/>
  <c r="H35" i="47"/>
  <c r="H31" i="47"/>
  <c r="P18" i="46"/>
  <c r="G55" i="47"/>
  <c r="G31" i="47"/>
  <c r="G35" i="47"/>
  <c r="G50" i="47"/>
  <c r="P15" i="46"/>
  <c r="F37" i="47"/>
  <c r="M20" i="46"/>
  <c r="F52" i="47" l="1"/>
  <c r="Q17" i="46"/>
  <c r="G51" i="47"/>
  <c r="O16" i="46"/>
  <c r="O20" i="46" s="1"/>
  <c r="Q16" i="46"/>
  <c r="H50" i="47"/>
  <c r="N20" i="46"/>
  <c r="P20" i="46"/>
  <c r="H37" i="47"/>
  <c r="G37" i="47"/>
  <c r="Q20" i="46" l="1"/>
  <c r="C29" i="47"/>
  <c r="G30" i="47" s="1"/>
  <c r="E30" i="47" l="1"/>
  <c r="H30" i="47"/>
  <c r="D31" i="47"/>
  <c r="F30" i="47"/>
  <c r="D30" i="47"/>
  <c r="C35" i="47"/>
  <c r="H36" i="47" l="1"/>
  <c r="G36" i="47"/>
  <c r="F36" i="47"/>
  <c r="D36" i="47"/>
  <c r="D37" i="47"/>
  <c r="E36"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sharedStrings.xml><?xml version="1.0" encoding="utf-8"?>
<sst xmlns="http://schemas.openxmlformats.org/spreadsheetml/2006/main" count="5041" uniqueCount="2316">
  <si>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</si>
  <si>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</si>
  <si>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</si>
  <si>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</si>
  <si>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</si>
  <si>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</si>
  <si>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</si>
  <si>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</si>
  <si>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</si>
  <si>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</si>
  <si>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</si>
  <si>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</si>
  <si>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</si>
  <si>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</si>
  <si>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</si>
  <si>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</si>
  <si>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</si>
  <si>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</si>
  <si>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</si>
  <si>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</si>
  <si>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</si>
  <si>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</si>
  <si>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</si>
  <si>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</si>
  <si>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</si>
  <si>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</si>
  <si>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</si>
  <si>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</si>
  <si>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</si>
  <si>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</si>
  <si>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</si>
  <si>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</si>
  <si>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</si>
  <si>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</si>
  <si>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</si>
  <si>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</si>
  <si>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</si>
  <si>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</si>
  <si>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</si>
  <si>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</si>
  <si>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</si>
  <si>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</si>
  <si>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</si>
  <si>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</si>
  <si>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</si>
  <si>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</si>
  <si>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</si>
  <si>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</si>
  <si>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</si>
  <si>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</si>
  <si>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</si>
  <si>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</si>
  <si>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</si>
  <si>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</si>
  <si>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</si>
  <si>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</si>
  <si>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</si>
  <si>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</si>
  <si>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</si>
  <si>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</si>
  <si>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</si>
  <si>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</si>
  <si>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</si>
  <si>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</si>
  <si>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</si>
  <si>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</si>
  <si>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</si>
  <si>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</si>
  <si>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</si>
  <si>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</si>
  <si>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</si>
  <si>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</si>
  <si>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</si>
  <si>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</si>
  <si>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</si>
  <si>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</si>
  <si>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</si>
  <si>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</si>
  <si>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</si>
  <si>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</si>
  <si>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</si>
  <si>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</si>
  <si>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</si>
  <si>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</si>
  <si>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</si>
  <si>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</si>
  <si>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</si>
  <si>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</si>
  <si>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</si>
  <si>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</si>
  <si>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</si>
  <si>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</si>
  <si>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</si>
  <si>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</si>
  <si>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</si>
  <si>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</si>
  <si>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</si>
  <si>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</si>
  <si>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</si>
  <si>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</si>
  <si>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</si>
  <si>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</si>
  <si>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</si>
  <si>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</si>
  <si>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</si>
  <si>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</si>
  <si>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</si>
  <si>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</si>
  <si>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</si>
  <si>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</si>
  <si>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</si>
  <si>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</si>
  <si>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</si>
  <si>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</si>
  <si>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</si>
  <si>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</si>
  <si>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</si>
  <si>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</si>
  <si>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</si>
  <si>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</si>
  <si>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</si>
  <si>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</si>
  <si>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</si>
  <si>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</si>
  <si>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</si>
  <si>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</si>
  <si>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</si>
  <si>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</si>
  <si>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</si>
  <si>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</si>
  <si>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</si>
  <si>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</si>
  <si>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</si>
  <si>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</si>
  <si>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</si>
  <si>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</si>
  <si>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</si>
  <si>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</si>
  <si>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</si>
  <si>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</si>
  <si>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</si>
  <si>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</si>
  <si>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</si>
  <si>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</si>
  <si>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</si>
  <si>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</si>
  <si>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</si>
  <si>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</si>
  <si>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</si>
  <si>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</si>
  <si>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</si>
  <si>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</si>
  <si>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</si>
  <si>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</si>
  <si>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</si>
  <si>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</si>
  <si>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</si>
  <si>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</si>
  <si>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</si>
  <si>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</si>
  <si>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</si>
  <si>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</si>
  <si>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</si>
  <si>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</si>
  <si>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</si>
  <si>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</si>
  <si>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</si>
  <si>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</si>
  <si>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</si>
  <si>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</si>
  <si>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</si>
  <si>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</si>
  <si>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</si>
  <si>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</si>
  <si>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</si>
  <si>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</si>
  <si>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</si>
  <si>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</si>
  <si>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</si>
  <si>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</si>
  <si>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</si>
  <si>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</si>
  <si>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</si>
  <si>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</si>
  <si>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</si>
  <si>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</si>
  <si>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</si>
  <si>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</si>
  <si>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</si>
  <si>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</si>
  <si>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</si>
  <si>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</si>
  <si>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</si>
  <si>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</si>
  <si>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</si>
  <si>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</si>
  <si>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</si>
  <si>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</si>
  <si>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</si>
  <si>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</si>
  <si>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</si>
  <si>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</si>
  <si>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</si>
  <si>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</si>
  <si>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</si>
  <si>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</si>
  <si>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</si>
  <si>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</si>
  <si>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</si>
  <si>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</si>
  <si>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</si>
  <si>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</si>
  <si>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</si>
  <si>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</si>
  <si>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</si>
  <si>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</si>
  <si>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</si>
  <si>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</si>
  <si>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</si>
  <si>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</si>
  <si>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</si>
  <si>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</si>
  <si>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</si>
  <si>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</si>
  <si>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</si>
  <si>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</si>
  <si>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</si>
  <si>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</si>
  <si>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</si>
  <si>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</si>
  <si>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</si>
  <si>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</si>
  <si>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</si>
  <si>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</si>
  <si>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</si>
  <si>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</si>
  <si>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</si>
  <si>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</si>
  <si>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</si>
  <si>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</si>
  <si>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</si>
  <si>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</si>
  <si>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</si>
  <si>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</si>
  <si>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</si>
  <si>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</si>
  <si>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</si>
  <si>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</si>
  <si>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</si>
  <si>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</si>
  <si>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</si>
  <si>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</si>
  <si>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</si>
  <si>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</si>
  <si>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</si>
  <si>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</si>
  <si>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</si>
  <si>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</si>
  <si>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</si>
  <si>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</si>
  <si>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</si>
  <si>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</si>
  <si>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</si>
  <si>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</si>
  <si>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</si>
  <si>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</si>
  <si>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</si>
  <si>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</si>
  <si>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</si>
  <si>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</si>
  <si>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</si>
  <si>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</si>
  <si>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</si>
  <si>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</si>
  <si>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</si>
  <si>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</si>
  <si>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</si>
  <si>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</si>
  <si>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</si>
  <si>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</si>
  <si>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</si>
  <si>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</si>
  <si>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</si>
  <si>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</si>
  <si>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</si>
  <si>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</si>
  <si>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</si>
  <si>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</si>
  <si>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</si>
  <si>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</si>
  <si>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</si>
  <si>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</si>
  <si>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</si>
  <si>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</si>
  <si>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</si>
  <si>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</si>
  <si>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</si>
  <si>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</si>
  <si>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</si>
  <si>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</si>
  <si>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</si>
  <si>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</si>
  <si>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</si>
  <si>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</si>
  <si>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</si>
  <si>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</si>
  <si>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</si>
  <si>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</si>
  <si>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</si>
  <si>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</si>
  <si>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</si>
  <si>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</si>
  <si>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</si>
  <si>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</si>
  <si>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</si>
  <si>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</si>
  <si>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</si>
  <si>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</si>
  <si>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</si>
  <si>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</si>
  <si>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</si>
  <si>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</si>
  <si>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</si>
  <si>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</si>
  <si>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</si>
  <si>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</si>
  <si>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</si>
  <si>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</si>
  <si>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</si>
  <si>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</si>
  <si>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</si>
  <si>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</si>
  <si>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</si>
  <si>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</si>
  <si>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</si>
  <si>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</si>
  <si>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</si>
  <si>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</si>
  <si>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</si>
  <si>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</si>
  <si>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</si>
  <si>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</si>
  <si>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</si>
  <si>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</si>
  <si>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</si>
  <si>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</si>
  <si>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</si>
  <si>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</si>
  <si>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</si>
  <si>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</si>
  <si>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</si>
  <si>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</si>
  <si>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</si>
  <si>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</si>
  <si>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</si>
  <si>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</si>
  <si>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</si>
  <si>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</si>
  <si>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</si>
  <si>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</si>
  <si>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</si>
  <si>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</si>
  <si>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</si>
  <si>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</si>
  <si>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</si>
  <si>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</si>
  <si>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</si>
  <si>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</si>
  <si>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</si>
  <si>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</si>
  <si>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</si>
  <si>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</si>
  <si>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</si>
  <si>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</si>
  <si>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</si>
  <si>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</si>
  <si>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</si>
  <si>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</si>
  <si>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</si>
  <si>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</si>
  <si>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</si>
  <si>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</si>
  <si>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</si>
  <si>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</si>
  <si>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</si>
  <si>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</si>
  <si>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</si>
  <si>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</si>
  <si>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</si>
  <si>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</si>
  <si>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</si>
  <si>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</si>
  <si>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</si>
  <si>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</si>
  <si>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</si>
  <si>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</si>
  <si>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</si>
  <si>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</si>
  <si>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</si>
  <si>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</si>
  <si>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</si>
  <si>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</si>
  <si>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</si>
  <si>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</si>
  <si>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</si>
  <si>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</si>
  <si>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</si>
  <si>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</si>
  <si>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</si>
  <si>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</si>
  <si>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</si>
  <si>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</si>
  <si>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</si>
  <si>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</si>
  <si>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</si>
  <si>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</si>
  <si>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</si>
  <si>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</si>
  <si>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</si>
  <si>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</si>
  <si>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</si>
  <si>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</si>
  <si>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</si>
  <si>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</si>
  <si>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</si>
  <si>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</si>
  <si>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</si>
  <si>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</si>
  <si>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</si>
  <si>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</si>
  <si>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</si>
  <si>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</si>
  <si>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</si>
  <si>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</si>
  <si>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</si>
  <si>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</si>
  <si>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</si>
  <si>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</si>
  <si>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</si>
  <si>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</si>
  <si>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</si>
  <si>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</si>
  <si>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</si>
  <si>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</si>
  <si>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</si>
  <si>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</si>
  <si>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</si>
  <si>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</si>
  <si>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</si>
  <si>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</si>
  <si>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</si>
  <si>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</si>
  <si>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</si>
  <si>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</si>
  <si>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</si>
  <si>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</si>
  <si>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</si>
  <si>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</si>
  <si>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</si>
  <si>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</si>
  <si>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</si>
  <si>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</si>
  <si>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</si>
  <si>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</si>
  <si>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</si>
  <si>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</si>
  <si>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</si>
  <si>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</si>
  <si>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</si>
  <si>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</si>
  <si>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</si>
  <si>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</si>
  <si>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</si>
  <si>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</si>
  <si>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</si>
  <si>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</si>
  <si>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</si>
  <si>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</si>
  <si>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</si>
  <si>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</si>
  <si>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</si>
  <si>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</si>
  <si>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</si>
  <si>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</si>
  <si>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</si>
  <si>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</si>
  <si>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</si>
  <si>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</si>
  <si>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</si>
  <si>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</si>
  <si>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</si>
  <si>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</si>
  <si>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</si>
  <si>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</si>
  <si>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</si>
  <si>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</si>
  <si>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</si>
  <si>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</si>
  <si>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</si>
  <si>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</si>
  <si>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</si>
  <si>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</si>
  <si>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</si>
  <si>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</si>
  <si>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</si>
  <si>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</si>
  <si>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</si>
  <si>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</si>
  <si>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</si>
  <si>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</si>
  <si>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</si>
  <si>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</si>
  <si>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</si>
  <si>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</si>
  <si>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</si>
  <si>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</si>
  <si>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</si>
  <si>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</si>
  <si>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</si>
  <si>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</si>
  <si>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</si>
  <si>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</si>
  <si>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</si>
  <si>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</si>
  <si>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</si>
  <si>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</si>
  <si>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</si>
  <si>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</si>
  <si>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</si>
  <si>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</si>
  <si>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</si>
  <si>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</si>
  <si>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</si>
  <si>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</si>
  <si>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</si>
  <si>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</si>
  <si>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</si>
  <si>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</si>
  <si>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</si>
  <si>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</si>
  <si>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</si>
  <si>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</si>
  <si>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</si>
  <si>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</si>
  <si>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</si>
  <si>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</si>
  <si>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</si>
  <si>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</si>
  <si>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</si>
  <si>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</si>
  <si>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</si>
  <si>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</si>
  <si>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</si>
  <si>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</si>
  <si>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</si>
  <si>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</si>
  <si>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</si>
  <si>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</si>
  <si>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</si>
  <si>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</si>
  <si>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</si>
  <si>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</si>
  <si>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</si>
  <si>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</si>
  <si>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</si>
  <si>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</si>
  <si>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</si>
  <si>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</si>
  <si>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</si>
  <si>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</si>
  <si>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</si>
  <si>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</si>
  <si>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</si>
  <si>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</si>
  <si>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</si>
  <si>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</si>
  <si>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</si>
  <si>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</si>
  <si>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</si>
  <si>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</si>
  <si>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</si>
  <si>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</si>
  <si>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</si>
  <si>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</si>
  <si>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</si>
  <si>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</si>
  <si>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</si>
  <si>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</si>
  <si>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</si>
  <si>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</si>
  <si>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</si>
  <si>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</si>
  <si>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</si>
  <si>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</si>
  <si>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</si>
  <si>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</si>
  <si>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</si>
  <si>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</si>
  <si>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</si>
  <si>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</si>
  <si>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Eligible population - adjust locally if required</t>
  </si>
  <si>
    <t>Eligible population adjusted for forecast disease rate change</t>
  </si>
  <si>
    <t>Interventions</t>
  </si>
  <si>
    <t>length of a cycle (days)</t>
  </si>
  <si>
    <t>Day(s) in cycle taken</t>
  </si>
  <si>
    <t>Number of days per cycle</t>
  </si>
  <si>
    <t>cycles 
year 1</t>
  </si>
  <si>
    <t>cycles 
year 2</t>
  </si>
  <si>
    <t>1,8</t>
  </si>
  <si>
    <t>Pack details</t>
  </si>
  <si>
    <t>Dose and cost</t>
  </si>
  <si>
    <t>Drug</t>
  </si>
  <si>
    <t>Admin method</t>
  </si>
  <si>
    <t>Pack type</t>
  </si>
  <si>
    <t>Strength (mg)</t>
  </si>
  <si>
    <t>Quantity in pack</t>
  </si>
  <si>
    <t>Total pack contents (mg)</t>
  </si>
  <si>
    <t>Dose per administration</t>
  </si>
  <si>
    <t>Price</t>
  </si>
  <si>
    <t>VAT rate applicable</t>
  </si>
  <si>
    <t>Source</t>
  </si>
  <si>
    <t>IV</t>
  </si>
  <si>
    <t>vial</t>
  </si>
  <si>
    <t>Average weight (kg)</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</si>
  <si>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</si>
  <si>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</si>
  <si>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</si>
  <si>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</si>
  <si>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Current, year 0</t>
  </si>
  <si>
    <t>year 1</t>
  </si>
  <si>
    <t>year 2</t>
  </si>
  <si>
    <t>year 3</t>
  </si>
  <si>
    <t>year 4</t>
  </si>
  <si>
    <t>year 5</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</si>
  <si>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</si>
  <si>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</si>
  <si>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</si>
  <si>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</si>
  <si>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</si>
  <si>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</si>
  <si>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</si>
  <si>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</si>
  <si>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</si>
  <si>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</si>
  <si>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</si>
  <si>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</si>
  <si>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</si>
  <si>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</si>
  <si>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</si>
  <si>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Staff grade</t>
  </si>
  <si>
    <t>Hourly cost</t>
  </si>
  <si>
    <t>specialty appointments</t>
  </si>
  <si>
    <t>Number of first attendances</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</si>
  <si>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</si>
  <si>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</si>
  <si>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</si>
  <si>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</si>
  <si>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</si>
  <si>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</si>
  <si>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</si>
  <si>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</si>
  <si>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</si>
  <si>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</si>
  <si>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</si>
  <si>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supporting specialty x</t>
  </si>
  <si>
    <t>Appointments with x specialty</t>
  </si>
  <si>
    <t>per patient/year</t>
  </si>
  <si>
    <t>Band 6 Mid</t>
  </si>
  <si>
    <t>Genomic tests</t>
  </si>
  <si>
    <t>Band 8a Mid</t>
  </si>
  <si>
    <t>Notes</t>
  </si>
  <si>
    <t>Preparation time before and post administration based on consensus of expert clinical opinions.  Band 7 nurse assumed, amend where necessary</t>
  </si>
  <si>
    <t>Adverse events, annual costs and rates</t>
  </si>
  <si>
    <t>Annual rate of events</t>
  </si>
  <si>
    <t>Event</t>
  </si>
  <si>
    <t>Cost of event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</si>
  <si>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</si>
  <si>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</si>
  <si>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</si>
  <si>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</si>
  <si>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</si>
  <si>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</si>
  <si>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</si>
  <si>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</si>
  <si>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Average cycles per year per patient</t>
  </si>
  <si>
    <t xml:space="preserve">Year 1 </t>
  </si>
  <si>
    <t>Drug cost</t>
  </si>
  <si>
    <t>Dosage and cost</t>
  </si>
  <si>
    <t>Drug name</t>
  </si>
  <si>
    <t>Dose (mg)</t>
  </si>
  <si>
    <r>
      <t>BSA (m</t>
    </r>
    <r>
      <rPr>
        <vertAlign val="superscript"/>
        <sz val="11"/>
        <rFont val="Calibri"/>
        <family val="2"/>
        <scheme val="minor"/>
      </rPr>
      <t>2</t>
    </r>
    <r>
      <rPr>
        <sz val="11"/>
        <rFont val="Calibri"/>
        <family val="2"/>
        <scheme val="minor"/>
      </rPr>
      <t>)</t>
    </r>
  </si>
  <si>
    <t>Weight (kg)</t>
  </si>
  <si>
    <t>Frequency per cycle (days)</t>
  </si>
  <si>
    <t>Number of cycles</t>
  </si>
  <si>
    <t>Total dosage required (mg)</t>
  </si>
  <si>
    <t>Total number of packs required</t>
  </si>
  <si>
    <t>Cost per pack</t>
  </si>
  <si>
    <t>VAT rate</t>
  </si>
  <si>
    <t>Annual cost</t>
  </si>
  <si>
    <t>n/a</t>
  </si>
  <si>
    <t>&lt;spare row&gt;</t>
  </si>
  <si>
    <t>All components</t>
  </si>
  <si>
    <t>Administration cost</t>
  </si>
  <si>
    <t>Treatment option</t>
  </si>
  <si>
    <t>HRG code</t>
  </si>
  <si>
    <t>HRG description</t>
  </si>
  <si>
    <t>No. times per cycle</t>
  </si>
  <si>
    <t>Tariff</t>
  </si>
  <si>
    <t>SB12Z</t>
  </si>
  <si>
    <t>Dose per admin (mg)</t>
  </si>
  <si>
    <t>Appointments with specialist</t>
  </si>
  <si>
    <t>First attendance</t>
  </si>
  <si>
    <t>Follow up attendance</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</si>
  <si>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</si>
  <si>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</si>
  <si>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</si>
  <si>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</si>
  <si>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</si>
  <si>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</si>
  <si>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</si>
  <si>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</si>
  <si>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</si>
  <si>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</si>
  <si>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</si>
  <si>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</si>
  <si>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</si>
  <si>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Total resource impact</t>
  </si>
  <si>
    <t>Capacity impact, activity</t>
  </si>
  <si>
    <t>Capacity impact on activity</t>
  </si>
  <si>
    <t>Capacity impact on nursing staffing</t>
  </si>
  <si>
    <t>Capacity impact on pharmacy</t>
  </si>
  <si>
    <t>Capacity impact on x service</t>
  </si>
  <si>
    <t>Capacity impact on pathology/ radiology / genomics testing</t>
  </si>
  <si>
    <t>Capacity impact due to adverse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</si>
  <si>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</si>
  <si>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</si>
  <si>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</si>
  <si>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</si>
  <si>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</si>
  <si>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</si>
  <si>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</si>
  <si>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</si>
  <si>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</si>
  <si>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</si>
  <si>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</si>
  <si>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</si>
  <si>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</si>
  <si>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</si>
  <si>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</si>
  <si>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</si>
  <si>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</si>
  <si>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</si>
  <si>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</si>
  <si>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</si>
  <si>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</si>
  <si>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</si>
  <si>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</si>
  <si>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</si>
  <si>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</si>
  <si>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</si>
  <si>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</si>
  <si>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administrations - change in number to current practice</t>
  </si>
  <si>
    <t>Nursing patient preparation time</t>
  </si>
  <si>
    <t>Nursing patient preparation - change in number to current practice</t>
  </si>
  <si>
    <t>Post administration nursing time</t>
  </si>
  <si>
    <t>Nursing post administration - change in number to current practice</t>
  </si>
  <si>
    <t>Pharmacy</t>
  </si>
  <si>
    <t>Pharmacy support</t>
  </si>
  <si>
    <t>Pharmacy support activities - change in number to current practice</t>
  </si>
  <si>
    <t>X specialty</t>
  </si>
  <si>
    <t>Appointments with supporting specialty x</t>
  </si>
  <si>
    <t>Appointments with x specialty - change to current practice</t>
  </si>
  <si>
    <t>Pathology tests</t>
  </si>
  <si>
    <t>Pathology tests - change in number to current practice</t>
  </si>
  <si>
    <t>Genomic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</si>
  <si>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</si>
  <si>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</si>
  <si>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</si>
  <si>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</si>
  <si>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</si>
  <si>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</si>
  <si>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</si>
  <si>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Employer NI threshold</t>
  </si>
  <si>
    <t>Employer NI contribution</t>
  </si>
  <si>
    <t>Employer Pension contribution</t>
  </si>
  <si>
    <t>Apprenticeship levy</t>
  </si>
  <si>
    <t>Band</t>
  </si>
  <si>
    <t>Pay scale</t>
  </si>
  <si>
    <t xml:space="preserve">Employers NI </t>
  </si>
  <si>
    <t>Employer Pension</t>
  </si>
  <si>
    <t>Total salary cost incl. oncosts</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</si>
  <si>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</si>
  <si>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</si>
  <si>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</si>
  <si>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</si>
  <si>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</si>
  <si>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</si>
  <si>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</si>
  <si>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</si>
  <si>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</si>
  <si>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</si>
  <si>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</si>
  <si>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</si>
  <si>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</si>
  <si>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</si>
  <si>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</si>
  <si>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</si>
  <si>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</si>
  <si>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</si>
  <si>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</si>
  <si>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</si>
  <si>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</si>
  <si>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</si>
  <si>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</si>
  <si>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</si>
  <si>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</si>
  <si>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</si>
  <si>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</si>
  <si>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</si>
  <si>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</si>
  <si>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</si>
  <si>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</si>
  <si>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</si>
  <si>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</si>
  <si>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</si>
  <si>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</si>
  <si>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</si>
  <si>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</si>
  <si>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</si>
  <si>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</si>
  <si>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</si>
  <si>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</si>
  <si>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</si>
  <si>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</si>
  <si>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</si>
  <si>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</si>
  <si>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</si>
  <si>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</si>
  <si>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</si>
  <si>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</si>
  <si>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</si>
  <si>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</si>
  <si>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</si>
  <si>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</si>
  <si>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</si>
  <si>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</si>
  <si>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</si>
  <si>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</si>
  <si>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</si>
  <si>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</si>
  <si>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</si>
  <si>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</si>
  <si>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</si>
  <si>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</si>
  <si>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</si>
  <si>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</si>
  <si>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</si>
  <si>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</si>
  <si>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</si>
  <si>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</si>
  <si>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</si>
  <si>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</si>
  <si>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</si>
  <si>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</si>
  <si>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</si>
  <si>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</si>
  <si>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</si>
  <si>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</si>
  <si>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</si>
  <si>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</si>
  <si>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</si>
  <si>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</si>
  <si>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</si>
  <si>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</si>
  <si>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</si>
  <si>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</si>
  <si>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</si>
  <si>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</si>
  <si>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</si>
  <si>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</si>
  <si>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</si>
  <si>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</si>
  <si>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</si>
  <si>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</si>
  <si>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</si>
  <si>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</si>
  <si>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</si>
  <si>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</si>
  <si>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</si>
  <si>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</si>
  <si>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</si>
  <si>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</si>
  <si>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</si>
  <si>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</si>
  <si>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</si>
  <si>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</si>
  <si>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</si>
  <si>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</si>
  <si>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</si>
  <si>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</si>
  <si>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</si>
  <si>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</si>
  <si>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</si>
  <si>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</si>
  <si>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</si>
  <si>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</si>
  <si>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</si>
  <si>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</si>
  <si>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</si>
  <si>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</si>
  <si>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</si>
  <si>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</si>
  <si>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</si>
  <si>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</si>
  <si>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</si>
  <si>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</si>
  <si>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</si>
  <si>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</si>
  <si>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</si>
  <si>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</si>
  <si>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</si>
  <si>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</si>
  <si>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</si>
  <si>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</si>
  <si>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</si>
  <si>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</si>
  <si>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</si>
  <si>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</si>
  <si>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</si>
  <si>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</si>
  <si>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</si>
  <si>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</si>
  <si>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</si>
  <si>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</si>
  <si>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</si>
  <si>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</si>
  <si>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</si>
  <si>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</si>
  <si>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</si>
  <si>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</si>
  <si>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</si>
  <si>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</si>
  <si>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</si>
  <si>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</si>
  <si>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</si>
  <si>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</si>
  <si>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</si>
  <si>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</si>
  <si>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</si>
  <si>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</si>
  <si>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</si>
  <si>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</si>
  <si>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</si>
  <si>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</si>
  <si>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</si>
  <si>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</si>
  <si>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</si>
  <si>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</si>
  <si>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</si>
  <si>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</si>
  <si>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</si>
  <si>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</si>
  <si>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</si>
  <si>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</si>
  <si>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</si>
  <si>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</si>
  <si>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</si>
  <si>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</si>
  <si>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</si>
  <si>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</si>
  <si>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</si>
  <si>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</si>
  <si>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</si>
  <si>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</si>
  <si>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</si>
  <si>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</si>
  <si>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</si>
  <si>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</si>
  <si>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</si>
  <si>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</si>
  <si>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</si>
  <si>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</si>
  <si>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</si>
  <si>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</si>
  <si>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</si>
  <si>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</si>
  <si>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</si>
  <si>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</si>
  <si>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</si>
  <si>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</si>
  <si>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</si>
  <si>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</si>
  <si>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</si>
  <si>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</si>
  <si>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</si>
  <si>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</si>
  <si>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</si>
  <si>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</si>
  <si>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</si>
  <si>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</si>
  <si>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</si>
  <si>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</si>
  <si>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</si>
  <si>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</si>
  <si>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</si>
  <si>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</si>
  <si>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</si>
  <si>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</si>
  <si>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</si>
  <si>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</si>
  <si>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</si>
  <si>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</si>
  <si>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</si>
  <si>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</si>
  <si>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</si>
  <si>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</si>
  <si>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</si>
  <si>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</si>
  <si>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</si>
  <si>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</si>
  <si>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</si>
  <si>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</si>
  <si>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</si>
  <si>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</si>
  <si>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</si>
  <si>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</si>
  <si>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</si>
  <si>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</si>
  <si>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</si>
  <si>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</si>
  <si>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</si>
  <si>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</si>
  <si>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</si>
  <si>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</si>
  <si>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</si>
  <si>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</si>
  <si>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</si>
  <si>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</si>
  <si>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</si>
  <si>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</si>
  <si>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</si>
  <si>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</si>
  <si>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</si>
  <si>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</si>
  <si>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</si>
  <si>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</si>
  <si>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</si>
  <si>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</si>
  <si>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</si>
  <si>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</si>
  <si>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</si>
  <si>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</si>
  <si>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</si>
  <si>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</si>
  <si>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</si>
  <si>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</si>
  <si>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</si>
  <si>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</si>
  <si>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</si>
  <si>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</si>
  <si>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</si>
  <si>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</si>
  <si>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</si>
  <si>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</si>
  <si>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</si>
  <si>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</si>
  <si>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</si>
  <si>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</si>
  <si>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</si>
  <si>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</si>
  <si>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</si>
  <si>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</si>
  <si>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</si>
  <si>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</si>
  <si>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</si>
  <si>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</si>
  <si>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</si>
  <si>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</si>
  <si>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</si>
  <si>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</si>
  <si>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</si>
  <si>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</si>
  <si>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</si>
  <si>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</si>
  <si>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</si>
  <si>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</si>
  <si>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</si>
  <si>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</si>
  <si>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</si>
  <si>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</si>
  <si>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</si>
  <si>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</si>
  <si>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</si>
  <si>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</si>
  <si>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</si>
  <si>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</si>
  <si>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</si>
  <si>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</si>
  <si>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</si>
  <si>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</si>
  <si>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</si>
  <si>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</si>
  <si>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</si>
  <si>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</si>
  <si>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</si>
  <si>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</si>
  <si>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</si>
  <si>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</si>
  <si>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</si>
  <si>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</si>
  <si>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</si>
  <si>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</si>
  <si>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</si>
  <si>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</si>
  <si>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</si>
  <si>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</si>
  <si>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</si>
  <si>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</si>
  <si>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</si>
  <si>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</si>
  <si>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</si>
  <si>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</si>
  <si>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</si>
  <si>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</si>
  <si>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</si>
  <si>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</si>
  <si>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</si>
  <si>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</si>
  <si>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</si>
  <si>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</si>
  <si>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</si>
  <si>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</si>
  <si>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</si>
  <si>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</si>
  <si>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</si>
  <si>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</si>
  <si>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</si>
  <si>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</si>
  <si>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</si>
  <si>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</si>
  <si>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</si>
  <si>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</si>
  <si>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</si>
  <si>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</si>
  <si>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</si>
  <si>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</si>
  <si>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</si>
  <si>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</si>
  <si>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</si>
  <si>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</si>
  <si>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</si>
  <si>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</si>
  <si>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</si>
  <si>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</si>
  <si>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</si>
  <si>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</si>
  <si>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</si>
  <si>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</si>
  <si>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</si>
  <si>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</si>
  <si>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</si>
  <si>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</si>
  <si>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</si>
  <si>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</si>
  <si>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</si>
  <si>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</si>
  <si>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</si>
  <si>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</si>
  <si>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</si>
  <si>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</si>
  <si>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</si>
  <si>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</si>
  <si>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</si>
  <si>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</si>
  <si>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</si>
  <si>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</si>
  <si>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</si>
  <si>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</si>
  <si>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</si>
  <si>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</si>
  <si>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</si>
  <si>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</si>
  <si>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</si>
  <si>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</si>
  <si>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</si>
  <si>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</si>
  <si>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</si>
  <si>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</si>
  <si>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</si>
  <si>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</si>
  <si>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</si>
  <si>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</si>
  <si>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</si>
  <si>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</si>
  <si>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</si>
  <si>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</si>
  <si>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</si>
  <si>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</si>
  <si>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</si>
  <si>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</si>
  <si>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</si>
  <si>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</si>
  <si>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</si>
  <si>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</si>
  <si>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</si>
  <si>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</si>
  <si>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</si>
  <si>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</si>
  <si>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</si>
  <si>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</si>
  <si>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</si>
  <si>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</si>
  <si>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</si>
  <si>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</si>
  <si>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</si>
  <si>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</si>
  <si>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</si>
  <si>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</si>
  <si>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</si>
  <si>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</si>
  <si>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</si>
  <si>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</si>
  <si>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</si>
  <si>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</si>
  <si>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</si>
  <si>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</si>
  <si>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</si>
  <si>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</si>
  <si>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</si>
  <si>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</si>
  <si>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</si>
  <si>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</si>
  <si>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</si>
  <si>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</si>
  <si>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</si>
  <si>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</si>
  <si>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</si>
  <si>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</si>
  <si>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</si>
  <si>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</si>
  <si>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</si>
  <si>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</si>
  <si>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</si>
  <si>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</si>
  <si>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</si>
  <si>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</si>
  <si>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</si>
  <si>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</si>
  <si>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</si>
  <si>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</si>
  <si>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</si>
  <si>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</si>
  <si>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</si>
  <si>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</si>
  <si>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</si>
  <si>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</si>
  <si>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</si>
  <si>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</si>
  <si>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</si>
  <si>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</si>
  <si>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</si>
  <si>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</si>
  <si>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</si>
  <si>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</si>
  <si>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</si>
  <si>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</si>
  <si>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</si>
  <si>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</si>
  <si>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</si>
  <si>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</si>
  <si>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</si>
  <si>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</si>
  <si>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</si>
  <si>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</si>
  <si>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</si>
  <si>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</si>
  <si>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</si>
  <si>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</si>
  <si>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</si>
  <si>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</si>
  <si>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</si>
  <si>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</si>
  <si>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</si>
  <si>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</si>
  <si>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</si>
  <si>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</si>
  <si>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</si>
  <si>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</si>
  <si>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</si>
  <si>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</si>
  <si>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</si>
  <si>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</si>
  <si>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</si>
  <si>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</si>
  <si>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</si>
  <si>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</si>
  <si>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</si>
  <si>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</si>
  <si>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</si>
  <si>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</si>
  <si>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</si>
  <si>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</si>
  <si>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</si>
  <si>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</si>
  <si>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</si>
  <si>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</si>
  <si>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</si>
  <si>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</si>
  <si>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</si>
  <si>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</si>
  <si>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</si>
  <si>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</si>
  <si>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</si>
  <si>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</si>
  <si>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</si>
  <si>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</si>
  <si>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</si>
  <si>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</si>
  <si>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</si>
  <si>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</si>
  <si>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</si>
  <si>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</si>
  <si>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</si>
  <si>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</si>
  <si>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</si>
  <si>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</si>
  <si>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</si>
  <si>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</si>
  <si>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</si>
  <si>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</si>
  <si>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</si>
  <si>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</si>
  <si>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</si>
  <si>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</si>
  <si>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</si>
  <si>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</si>
  <si>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</si>
  <si>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</si>
  <si>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</si>
  <si>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</si>
  <si>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</si>
  <si>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</si>
  <si>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</si>
  <si>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</si>
  <si>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</si>
  <si>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</si>
  <si>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</si>
  <si>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</si>
  <si>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</si>
  <si>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</si>
  <si>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</si>
  <si>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</si>
  <si>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</si>
  <si>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</si>
  <si>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</si>
  <si>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</si>
  <si>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</si>
  <si>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</si>
  <si>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</si>
  <si>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</si>
  <si>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</si>
  <si>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</si>
  <si>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</si>
  <si>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</si>
  <si>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</si>
  <si>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</si>
  <si>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</si>
  <si>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</si>
  <si>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</si>
  <si>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</si>
  <si>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</si>
  <si>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</si>
  <si>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</si>
  <si>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</si>
  <si>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</si>
  <si>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</si>
  <si>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</si>
  <si>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</si>
  <si>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</si>
  <si>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</si>
  <si>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</si>
  <si>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</si>
  <si>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</si>
  <si>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</si>
  <si>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</si>
  <si>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</si>
  <si>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</si>
  <si>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</si>
  <si>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</si>
  <si>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</si>
  <si>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</si>
  <si>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</si>
  <si>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</si>
  <si>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</si>
  <si>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</si>
  <si>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</si>
  <si>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</si>
  <si>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</si>
  <si>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</si>
  <si>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</si>
  <si>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</si>
  <si>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</si>
  <si>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</si>
  <si>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</si>
  <si>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</si>
  <si>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</si>
  <si>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</si>
  <si>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</si>
  <si>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</si>
  <si>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</si>
  <si>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</si>
  <si>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</si>
  <si>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</si>
  <si>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</si>
  <si>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</si>
  <si>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</si>
  <si>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</si>
  <si>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</si>
  <si>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</si>
  <si>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</si>
  <si>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</si>
  <si>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</si>
  <si>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</si>
  <si>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</si>
  <si>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</si>
  <si>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</si>
  <si>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</si>
  <si>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</si>
  <si>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</si>
  <si>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</si>
  <si>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</si>
  <si>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</si>
  <si>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</si>
  <si>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</si>
  <si>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</si>
  <si>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</si>
  <si>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</si>
  <si>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</si>
  <si>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</si>
  <si>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</si>
  <si>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</si>
  <si>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</si>
  <si>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</si>
  <si>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</si>
  <si>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</si>
  <si>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</si>
  <si>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</si>
  <si>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</si>
  <si>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</si>
  <si>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</si>
  <si>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</si>
  <si>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</si>
  <si>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</si>
  <si>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</si>
  <si>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</si>
  <si>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</si>
  <si>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</si>
  <si>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</si>
  <si>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</si>
  <si>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</si>
  <si>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</si>
  <si>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</si>
  <si>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</si>
  <si>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</si>
  <si>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</si>
  <si>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</si>
  <si>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</si>
  <si>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</si>
  <si>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</si>
  <si>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</si>
  <si>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</si>
  <si>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</si>
  <si>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</si>
  <si>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</si>
  <si>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</si>
  <si>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</si>
  <si>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</si>
  <si>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</si>
  <si>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</si>
  <si>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</si>
  <si>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</si>
  <si>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</si>
  <si>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</si>
  <si>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</si>
  <si>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</si>
  <si>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</si>
  <si>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</si>
  <si>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</si>
  <si>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</si>
  <si>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</si>
  <si>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</si>
  <si>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</si>
  <si>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</si>
  <si>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</si>
  <si>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</si>
  <si>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</si>
  <si>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</si>
  <si>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</si>
  <si>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</si>
  <si>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</si>
  <si>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</si>
  <si>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</si>
  <si>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</si>
  <si>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</si>
  <si>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</si>
  <si>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</si>
  <si>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</si>
  <si>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</si>
  <si>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</si>
  <si>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</si>
  <si>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</si>
  <si>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</si>
  <si>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</si>
  <si>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</si>
  <si>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</si>
  <si>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</si>
  <si>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</si>
  <si>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</si>
  <si>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</si>
  <si>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</si>
  <si>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</si>
  <si>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</si>
  <si>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</si>
  <si>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</si>
  <si>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</si>
  <si>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</si>
  <si>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</si>
  <si>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</si>
  <si>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</si>
  <si>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</si>
  <si>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</si>
  <si>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</si>
  <si>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</si>
  <si>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</si>
  <si>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</si>
  <si>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</si>
  <si>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</si>
  <si>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</si>
  <si>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</si>
  <si>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</si>
  <si>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</si>
  <si>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</si>
  <si>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</si>
  <si>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</si>
  <si>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</si>
  <si>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</si>
  <si>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</si>
  <si>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</si>
  <si>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</si>
  <si>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</si>
  <si>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</si>
  <si>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</si>
  <si>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</si>
  <si>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</si>
  <si>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</si>
  <si>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</si>
  <si>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</si>
  <si>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</si>
  <si>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</si>
  <si>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</si>
  <si>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</si>
  <si>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</si>
  <si>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</si>
  <si>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</si>
  <si>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</si>
  <si>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</si>
  <si>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</si>
  <si>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</si>
  <si>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</si>
  <si>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</si>
  <si>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</si>
  <si>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</si>
  <si>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</si>
  <si>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</si>
  <si>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</si>
  <si>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</si>
  <si>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</si>
  <si>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</si>
  <si>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</si>
  <si>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</si>
  <si>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</si>
  <si>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</si>
  <si>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</si>
  <si>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</si>
  <si>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</si>
  <si>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</si>
  <si>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</si>
  <si>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</si>
  <si>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</si>
  <si>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</si>
  <si>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</si>
  <si>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</si>
  <si>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</si>
  <si>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</si>
  <si>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</si>
  <si>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</si>
  <si>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</si>
  <si>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</si>
  <si>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</si>
  <si>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</si>
  <si>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</si>
  <si>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</si>
  <si>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</si>
  <si>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</si>
  <si>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</si>
  <si>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</si>
  <si>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</si>
  <si>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</si>
  <si>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</si>
  <si>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</si>
  <si>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</si>
  <si>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</si>
  <si>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</si>
  <si>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</si>
  <si>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</si>
  <si>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</si>
  <si>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</si>
  <si>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</si>
  <si>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</si>
  <si>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</si>
  <si>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</si>
  <si>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</si>
  <si>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</si>
  <si>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</si>
  <si>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</si>
  <si>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</si>
  <si>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</si>
  <si>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</si>
  <si>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</si>
  <si>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</si>
  <si>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</si>
  <si>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</si>
  <si>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</si>
  <si>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</si>
  <si>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</si>
  <si>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</si>
  <si>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</si>
  <si>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</si>
  <si>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</si>
  <si>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</si>
  <si>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</si>
  <si>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</si>
  <si>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</si>
  <si>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</si>
  <si>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</si>
  <si>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</si>
  <si>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</si>
  <si>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</si>
  <si>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</si>
  <si>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</si>
  <si>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</si>
  <si>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</si>
  <si>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</si>
  <si>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</si>
  <si>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</si>
  <si>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</si>
  <si>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</si>
  <si>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</si>
  <si>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</si>
  <si>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</si>
  <si>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</si>
  <si>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</si>
  <si>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</si>
  <si>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</si>
  <si>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</si>
  <si>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</si>
  <si>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</si>
  <si>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</si>
  <si>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</si>
  <si>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</si>
  <si>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</si>
  <si>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</si>
  <si>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</si>
  <si>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</si>
  <si>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</si>
  <si>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</si>
  <si>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</si>
  <si>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</si>
  <si>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</si>
  <si>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</si>
  <si>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</si>
  <si>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</si>
  <si>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</si>
  <si>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</si>
  <si>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</si>
  <si>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</si>
  <si>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</si>
  <si>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</si>
  <si>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</si>
  <si>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</si>
  <si>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</si>
  <si>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</si>
  <si>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</si>
  <si>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</si>
  <si>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</si>
  <si>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</si>
  <si>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</si>
  <si>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</si>
  <si>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</si>
  <si>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</si>
  <si>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</si>
  <si>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</si>
  <si>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</si>
  <si>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</si>
  <si>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</si>
  <si>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</si>
  <si>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</si>
  <si>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</si>
  <si>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</si>
  <si>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</si>
  <si>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</si>
  <si>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</si>
  <si>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</si>
  <si>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</si>
  <si>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</si>
  <si>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</si>
  <si>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</si>
  <si>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</si>
  <si>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</si>
  <si>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</si>
  <si>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</si>
  <si>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</si>
  <si>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</si>
  <si>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</si>
  <si>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</si>
  <si>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</si>
  <si>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</si>
  <si>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</si>
  <si>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</si>
  <si>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</si>
  <si>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</si>
  <si>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</si>
  <si>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</si>
  <si>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</si>
  <si>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</si>
  <si>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</si>
  <si>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</si>
  <si>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</si>
  <si>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</si>
  <si>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</si>
  <si>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</si>
  <si>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</si>
  <si>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</si>
  <si>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</si>
  <si>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</si>
  <si>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</si>
  <si>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</si>
  <si>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</si>
  <si>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</si>
  <si>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</si>
  <si>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</si>
  <si>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</si>
  <si>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</si>
  <si>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</si>
  <si>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</si>
  <si>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</si>
  <si>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</si>
  <si>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</si>
  <si>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</si>
  <si>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</si>
  <si>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</si>
  <si>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</si>
  <si>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</si>
  <si>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</si>
  <si>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</si>
  <si>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</si>
  <si>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</si>
  <si>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</si>
  <si>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</si>
  <si>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</si>
  <si>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</si>
  <si>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</si>
  <si>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</si>
  <si>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</si>
  <si>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</si>
  <si>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</si>
  <si>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</si>
  <si>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</si>
  <si>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</si>
  <si>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</si>
  <si>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</si>
  <si>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</si>
  <si>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</si>
  <si>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</si>
  <si>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</si>
  <si>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</si>
  <si>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</si>
  <si>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</si>
  <si>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</si>
  <si>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</si>
  <si>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</si>
  <si>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</si>
  <si>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</si>
  <si>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</si>
  <si>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</si>
  <si>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</si>
  <si>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</si>
  <si>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</si>
  <si>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</si>
  <si>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</si>
  <si>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</si>
  <si>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</si>
  <si>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</si>
  <si>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</si>
  <si>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</si>
  <si>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</si>
  <si>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</si>
  <si>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</si>
  <si>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</si>
  <si>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</si>
  <si>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</si>
  <si>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</si>
  <si>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</si>
  <si>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</si>
  <si>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</si>
  <si>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</si>
  <si>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</si>
  <si>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</si>
  <si>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</si>
  <si>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</si>
  <si>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</si>
  <si>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</si>
  <si>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</si>
  <si>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</si>
  <si>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</si>
  <si>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</si>
  <si>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</si>
  <si>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</si>
  <si>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</si>
  <si>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</si>
  <si>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</si>
  <si>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</si>
  <si>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</si>
  <si>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</si>
  <si>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</si>
  <si>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</si>
  <si>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</si>
  <si>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</si>
  <si>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</si>
  <si>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</si>
  <si>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</si>
  <si>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</si>
  <si>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</si>
  <si>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</si>
  <si>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</si>
  <si>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</si>
  <si>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</si>
  <si>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</si>
  <si>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</si>
  <si>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</si>
  <si>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</si>
  <si>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</si>
  <si>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</si>
  <si>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</si>
  <si>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</si>
  <si>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</si>
  <si>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</si>
  <si>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</si>
  <si>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</si>
  <si>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</si>
  <si>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</si>
  <si>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</si>
  <si>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</si>
  <si>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</si>
  <si>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</si>
  <si>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</si>
  <si>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</si>
  <si>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</si>
  <si>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</si>
  <si>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</si>
  <si>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</si>
  <si>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</si>
  <si>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</si>
  <si>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</si>
  <si>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</si>
  <si>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</si>
  <si>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</si>
  <si>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</si>
  <si>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</si>
  <si>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</si>
  <si>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</si>
  <si>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</si>
  <si>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</si>
  <si>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</si>
  <si>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</si>
  <si>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</si>
  <si>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</si>
  <si>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</si>
  <si>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</si>
  <si>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</si>
  <si>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</si>
  <si>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</si>
  <si>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</si>
  <si>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</si>
  <si>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</si>
  <si>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</si>
  <si>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</si>
  <si>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</si>
  <si>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</si>
  <si>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</si>
  <si>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</si>
  <si>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</si>
  <si>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</si>
  <si>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</si>
  <si>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</si>
  <si>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</si>
  <si>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</si>
  <si>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</si>
  <si>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</si>
  <si>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</si>
  <si>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</si>
  <si>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</si>
  <si>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</si>
  <si>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</si>
  <si>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</si>
  <si>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</si>
  <si>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</si>
  <si>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</si>
  <si>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</si>
  <si>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</si>
  <si>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</si>
  <si>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</si>
  <si>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</si>
  <si>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</si>
  <si>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</si>
  <si>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</si>
  <si>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</si>
  <si>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</si>
  <si>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</si>
  <si>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</si>
  <si>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</si>
  <si>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</si>
  <si>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</si>
  <si>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</si>
  <si>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</si>
  <si>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</si>
  <si>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</si>
  <si>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</si>
  <si>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</si>
  <si>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</si>
  <si>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</si>
  <si>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</si>
  <si>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</si>
  <si>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</si>
  <si>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</si>
  <si>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</si>
  <si>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</si>
  <si>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</si>
  <si>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</si>
  <si>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</si>
  <si>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</si>
  <si>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</si>
  <si>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</si>
  <si>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</si>
  <si>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</si>
  <si>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</si>
  <si>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</si>
  <si>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</si>
  <si>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</si>
  <si>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</si>
  <si>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</si>
  <si>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</si>
  <si>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</si>
  <si>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</si>
  <si>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</si>
  <si>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</si>
  <si>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</si>
  <si>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</si>
  <si>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</si>
  <si>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</si>
  <si>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</si>
  <si>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</si>
  <si>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</si>
  <si>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</si>
  <si>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</si>
  <si>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</si>
  <si>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</si>
  <si>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</si>
  <si>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</si>
  <si>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</si>
  <si>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</si>
  <si>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</si>
  <si>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</si>
  <si>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</si>
  <si>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</si>
  <si>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</si>
  <si>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</si>
  <si>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</si>
  <si>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</si>
  <si>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</si>
  <si>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</si>
  <si>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</si>
  <si>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</si>
  <si>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</si>
  <si>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</si>
  <si>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</si>
  <si>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</si>
  <si>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</si>
  <si>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</si>
  <si>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</si>
  <si>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</si>
  <si>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</si>
  <si>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</si>
  <si>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</si>
  <si>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</si>
  <si>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</si>
  <si>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</si>
  <si>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</si>
  <si>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</si>
  <si>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</si>
  <si>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</si>
  <si>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</si>
  <si>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</si>
  <si>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</si>
  <si>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</si>
  <si>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</si>
  <si>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</si>
  <si>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</si>
  <si>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</si>
  <si>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</si>
  <si>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</si>
  <si>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</si>
  <si>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</si>
  <si>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</si>
  <si>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</si>
  <si>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</si>
  <si>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</si>
  <si>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</si>
  <si>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</si>
  <si>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</si>
  <si>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</si>
  <si>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</si>
  <si>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</si>
  <si>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</si>
  <si>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</si>
  <si>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</si>
  <si>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</si>
  <si>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</si>
  <si>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</si>
  <si>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</si>
  <si>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</si>
  <si>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</si>
  <si>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</si>
  <si>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</si>
  <si>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</si>
  <si>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</si>
  <si>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</si>
  <si>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</si>
  <si>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</si>
  <si>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</si>
  <si>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</si>
  <si>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</si>
  <si>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</si>
  <si>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</si>
  <si>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</si>
  <si>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</si>
  <si>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</si>
  <si>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</si>
  <si>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</si>
  <si>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</si>
  <si>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</si>
  <si>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</si>
  <si>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</si>
  <si>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</si>
  <si>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</si>
  <si>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</si>
  <si>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</si>
  <si>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</si>
  <si>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</si>
  <si>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</si>
  <si>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</si>
  <si>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</si>
  <si>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</si>
  <si>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</si>
  <si>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</si>
  <si>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</si>
  <si>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</si>
  <si>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</si>
  <si>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</si>
  <si>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</si>
  <si>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</si>
  <si>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</si>
  <si>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</si>
  <si>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</si>
  <si>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</si>
  <si>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</si>
  <si>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</si>
  <si>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</si>
  <si>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</si>
  <si>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</si>
  <si>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</si>
  <si>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</si>
  <si>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</si>
  <si>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</si>
  <si>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</si>
  <si>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</si>
  <si>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</si>
  <si>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</si>
  <si>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</si>
  <si>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</si>
  <si>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</si>
  <si>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</si>
  <si>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</si>
  <si>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</si>
  <si>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</si>
  <si>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</si>
  <si>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</si>
  <si>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</si>
  <si>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</si>
  <si>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</si>
  <si>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</si>
  <si>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</si>
  <si>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</si>
  <si>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</si>
  <si>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</si>
  <si>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</si>
  <si>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</si>
  <si>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</si>
  <si>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</si>
  <si>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</si>
  <si>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</si>
  <si>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</si>
  <si>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</si>
  <si>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</si>
  <si>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</si>
  <si>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</si>
  <si>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</si>
  <si>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</si>
  <si>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</si>
  <si>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</si>
  <si>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</si>
  <si>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</si>
  <si>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</si>
  <si>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</si>
  <si>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</si>
  <si>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</si>
  <si>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</si>
  <si>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</si>
  <si>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</si>
  <si>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</si>
  <si>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</si>
  <si>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RIA to use these</t>
  </si>
  <si>
    <t>sheet cell e18</t>
  </si>
  <si>
    <t xml:space="preserve">Estimated 2025 value.  This is current year. </t>
  </si>
  <si>
    <t>AfC Salary with 2025/26 pay award</t>
  </si>
  <si>
    <t xml:space="preserve">Appren 
ticeship 
levy </t>
  </si>
  <si>
    <t>Select required payscale using the drop down in the blue cell</t>
  </si>
  <si>
    <t>Amend blue cells where required to relect local values</t>
  </si>
  <si>
    <t>% of hours that are directly clinical (exclude admin time)</t>
  </si>
  <si>
    <t>Payscale rate</t>
  </si>
  <si>
    <t>Drop down look up list</t>
  </si>
  <si>
    <t>Hourly rate used in costing</t>
  </si>
  <si>
    <t xml:space="preserve"> Annual hours worked calculations</t>
  </si>
  <si>
    <t>Less SPA sessions (4 hour sessions)</t>
  </si>
  <si>
    <t>% that is direct patient care</t>
  </si>
  <si>
    <t>Enhancements 
Mon-Fri</t>
  </si>
  <si>
    <t>Annual working hours 
(based on data in column V)</t>
  </si>
  <si>
    <t>Select HCAS rate on the payscales worksheet</t>
  </si>
  <si>
    <t>Administration cost as per NHS England 2025/26 NHS Payment Scheme</t>
  </si>
  <si>
    <t>Based on 2025/26 NHS Payment Scheme</t>
  </si>
  <si>
    <t>Capacity and health events avoided financial impact</t>
  </si>
  <si>
    <t>Capacity items</t>
  </si>
  <si>
    <t>Health events avoided</t>
  </si>
  <si>
    <t>Cash items, capacity and health events avoided</t>
  </si>
  <si>
    <t>Hours used to calculate hourly rate</t>
  </si>
  <si>
    <t xml:space="preserve">      For information</t>
  </si>
  <si>
    <t xml:space="preserve">Total events - details are on the events tab </t>
  </si>
  <si>
    <t>Treatment options</t>
  </si>
  <si>
    <t>number of events</t>
  </si>
  <si>
    <t>per patient per year</t>
  </si>
  <si>
    <t>Incidence of bladder cancer</t>
  </si>
  <si>
    <t>Cancer registrations, Table 3 2022, C65-C67. Published Oct'24</t>
  </si>
  <si>
    <t>Proportion of people with bladder cancer who have urothelial cancer</t>
  </si>
  <si>
    <t>Cancer research UK</t>
  </si>
  <si>
    <t>Proportion of people who have unresectable (stage III) or metastatic (stage IV) urothelial cancer</t>
  </si>
  <si>
    <t>Proportion of Cancer Cases by Stage at Diagnosis in England, Cancer Research</t>
  </si>
  <si>
    <t>Proportion of people who are cisplatin eligible</t>
  </si>
  <si>
    <t>Split as per co submission &amp; NHSE</t>
  </si>
  <si>
    <t>Proportion of people who are cisplatin ineligible</t>
  </si>
  <si>
    <t>Enfortumab vedotin with pembrolizumab - enfortumab vedotin</t>
  </si>
  <si>
    <t>Enfortumab vedotin with pembrolizumab -  pembrolizumab</t>
  </si>
  <si>
    <t>Gemcitabine + cisplatin - gemcitabine</t>
  </si>
  <si>
    <t>Gemcitabine + cisplatin - cisplatin</t>
  </si>
  <si>
    <t>Gemcitabine + carboplatin - gemcitabine</t>
  </si>
  <si>
    <t>Gemcitabine + carboplatin - carboplatin</t>
  </si>
  <si>
    <t>Enfortumab vedotin</t>
  </si>
  <si>
    <t>Gemcitabine &amp; cisplatin for cisplatin eligible patients</t>
  </si>
  <si>
    <t>Gemcitabine &amp; carboplatin for cisplatin ineligible patients</t>
  </si>
  <si>
    <t>Pembrolizumab</t>
  </si>
  <si>
    <t>Gemcitabine</t>
  </si>
  <si>
    <t>Carboplatin</t>
  </si>
  <si>
    <t>Avelumab</t>
  </si>
  <si>
    <t>Paclitaxel</t>
  </si>
  <si>
    <t>Number of cycles for local input</t>
  </si>
  <si>
    <t>Treatment</t>
  </si>
  <si>
    <t>Blood count</t>
  </si>
  <si>
    <t>Hepatic function</t>
  </si>
  <si>
    <t>Adrenal function</t>
  </si>
  <si>
    <t>Renal function</t>
  </si>
  <si>
    <t>Thyroid function</t>
  </si>
  <si>
    <t>Neurologic function</t>
  </si>
  <si>
    <t>Gemcitabine + cisplatin</t>
  </si>
  <si>
    <t>Gemcitabine + carboplatin</t>
  </si>
  <si>
    <t>Unit cost (£)</t>
  </si>
  <si>
    <t>Monitoring costs</t>
  </si>
  <si>
    <t>Enfortumab vedotin - 20mg</t>
  </si>
  <si>
    <t>Enfortumab vedotin - 30mg</t>
  </si>
  <si>
    <t>Local input</t>
  </si>
  <si>
    <t>Company submission</t>
  </si>
  <si>
    <t>eMIT</t>
  </si>
  <si>
    <t>Subsequent treatments</t>
  </si>
  <si>
    <t>1,8,15</t>
  </si>
  <si>
    <t>Acute kidney injury</t>
  </si>
  <si>
    <t>Anaemia</t>
  </si>
  <si>
    <t>Fatigue</t>
  </si>
  <si>
    <t>Hyperglycaemia</t>
  </si>
  <si>
    <t>Hyponatraemia</t>
  </si>
  <si>
    <t>Neutropenia</t>
  </si>
  <si>
    <t>Neutrophil count decreased</t>
  </si>
  <si>
    <t>Platelet count decreased</t>
  </si>
  <si>
    <t>Rash maculo-papular</t>
  </si>
  <si>
    <t>Thrombocytopenia</t>
  </si>
  <si>
    <t>Urinary tract infection</t>
  </si>
  <si>
    <t>Peripheral neuropathy (grade 2)</t>
  </si>
  <si>
    <t>Peripheral neuropathy (grade 3+)</t>
  </si>
  <si>
    <t>LA07H-P (TA525) 14</t>
  </si>
  <si>
    <t>SA09G-K (TA788)16</t>
  </si>
  <si>
    <t>WH52A, non-elective long-stay (TA788)16</t>
  </si>
  <si>
    <t>KC05G-N  (Brown 2013)33</t>
  </si>
  <si>
    <t>Same as hyperglycaemia, KC05G-N (TA858)34</t>
  </si>
  <si>
    <t>WJ11Z (Brown 2013)33</t>
  </si>
  <si>
    <t>Assumed same as neutropenia  (Brown 2013)33</t>
  </si>
  <si>
    <t>JD07B-K (TA788) 16</t>
  </si>
  <si>
    <t>SA12G-K</t>
  </si>
  <si>
    <t>LA04H-S (TA788) 16</t>
  </si>
  <si>
    <t>This is based on the company submission</t>
  </si>
  <si>
    <t>Assumed same cost in absence of evidence, WF01A-B (TA772),35 physiotherapy community service (10 sessions), 9 Gabapentin 300mg for 42 days from eMIT36</t>
  </si>
  <si>
    <t>Gemcitabine &amp; cisplatin</t>
  </si>
  <si>
    <t>Gemcitabine &amp; carboplatin</t>
  </si>
  <si>
    <t>Enfortumab vedotin - year 1</t>
  </si>
  <si>
    <t>Enfortumab vedotin - year 2</t>
  </si>
  <si>
    <t>SB13Z Deliver more complex parenteral chemotherapy at first Attendance (year 1)</t>
  </si>
  <si>
    <t>SB15Z Deliver Subsequent Elements of a Chemotherapy Cycle (year 1)</t>
  </si>
  <si>
    <t>SB15Z</t>
  </si>
  <si>
    <t>SB13Z</t>
  </si>
  <si>
    <t>SB13Z Deliver more complex parenteral chemotherapy at first Attendance (year 2)</t>
  </si>
  <si>
    <t>SB15Z Deliver Subsequent Elements of a Chemotherapy Cycle (year 2)</t>
  </si>
  <si>
    <t>Enfortumab vedotin &amp; pembrolizumab - year 1</t>
  </si>
  <si>
    <t>Enfortumab vedotin &amp; pembrolizumab - year 2</t>
  </si>
  <si>
    <t>Number of packs required per admin</t>
  </si>
  <si>
    <t>Total number of packs</t>
  </si>
  <si>
    <t>Cisplatin</t>
  </si>
  <si>
    <t>SB15Z Deliver Subsequent Elements of a Chemotherapy Cycle</t>
  </si>
  <si>
    <t>SB12Z Deliver simple parenteral chemotherapy at first Attendance (year 1)</t>
  </si>
  <si>
    <t>Relative dose intensity (%)</t>
  </si>
  <si>
    <t>Relative dose intensity</t>
  </si>
  <si>
    <t>SB13Z Deliver more complex parenteral chemotherapy at first Attendance</t>
  </si>
  <si>
    <t>Year 1 annual cost</t>
  </si>
  <si>
    <t>Year 2 annual cost</t>
  </si>
  <si>
    <t>SB12Z Deliver simple parenteral chemotherapy at first Attendance</t>
  </si>
  <si>
    <t>Atezolizumab</t>
  </si>
  <si>
    <t>Maintenance treatment</t>
  </si>
  <si>
    <t>Number of administrations per cycle</t>
  </si>
  <si>
    <t xml:space="preserve">Enfortumab vedotin </t>
  </si>
  <si>
    <t xml:space="preserve">Gemcitabine &amp; carboplatin </t>
  </si>
  <si>
    <t>Follow up - change in number of attendances current practice</t>
  </si>
  <si>
    <t>Nursing administrations - change in hours to current practice</t>
  </si>
  <si>
    <t>Nursing - administration hours</t>
  </si>
  <si>
    <t>People choosing enfortumab vedotin</t>
  </si>
  <si>
    <t>Proportion of people receiving first line treatment</t>
  </si>
  <si>
    <t>NHS Hospital Trusts</t>
  </si>
  <si>
    <t>NHS England</t>
  </si>
  <si>
    <t>90 days</t>
  </si>
  <si>
    <t>First line</t>
  </si>
  <si>
    <t>Cancer</t>
  </si>
  <si>
    <t>Urothelial cancer</t>
  </si>
  <si>
    <t>Pharmacy support for local input</t>
  </si>
  <si>
    <t>Enfortumab vedotin with pembrolizumab for untreated unresectable or metastatic urothelial cancer when platinum-based chemotherapy is suitable</t>
  </si>
  <si>
    <t>Enfortumab vedotin with pembrolizumab for untreated</t>
  </si>
  <si>
    <t>when platinum-based chemotherapy is suitable</t>
  </si>
  <si>
    <t xml:space="preserve">unresectable or metastatic urothelial cancer </t>
  </si>
  <si>
    <t>day</t>
  </si>
  <si>
    <t>Drug costs from Gov.UK electronic market information tool (eMIT): online [accessed 18.08.25]</t>
  </si>
  <si>
    <t>Monitoring tests</t>
  </si>
  <si>
    <t>Number of events for user to local input due to CIC information</t>
  </si>
  <si>
    <t>Monitoring tests - change in number to current practice</t>
  </si>
  <si>
    <t>PBC 02X, Cancers and Tumours</t>
  </si>
  <si>
    <t>Estimated uptake for is a midpoint between NHSE and company submission. Atezolizumab market share for local input</t>
  </si>
  <si>
    <t>See tables below for the calculations for each treatment option</t>
  </si>
  <si>
    <t>An annual per person percentage likelihood rate of each event occurring is shown</t>
  </si>
  <si>
    <t>Blood counts</t>
  </si>
  <si>
    <t>Avelumab monitoring events for local input</t>
  </si>
  <si>
    <t xml:space="preserve">Gemcitabine &amp; cisplatin </t>
  </si>
  <si>
    <t>Total monitoring cost</t>
  </si>
  <si>
    <t>SB13Z Deliver Complex Chemotherapy, including Prolonged Infusional Treatment, at First Attendance</t>
  </si>
  <si>
    <t>Enfortumab dosage 1.25mg/kg (up to a maximum of 125 mg for people ≥100 kg) template assumes an average dose of 95mg split between 3 30mg and 1 20mg vials based on an average weight of 75.9kg this can be amended locally</t>
  </si>
  <si>
    <t>Pembrolizumab dosed 200mg every 3 weeks or 400mg every 6 weeks administered as an IV over 30 minutes. People assumed to be administered pembrolizumab after Enfortumab vedotin when given on the same day</t>
  </si>
  <si>
    <t>Monitoring costs by cycle</t>
  </si>
  <si>
    <r>
      <rPr>
        <sz val="11"/>
        <color rgb="FF000000"/>
        <rFont val="Calibri"/>
        <scheme val="minor"/>
      </rPr>
      <t>Calculated from % assumptions.</t>
    </r>
    <r>
      <rPr>
        <b/>
        <sz val="11"/>
        <color rgb="FF000000"/>
        <rFont val="Calibri"/>
        <scheme val="minor"/>
      </rPr>
      <t xml:space="preserve"> Adjust locally if required</t>
    </r>
  </si>
  <si>
    <t>Maintenance treatments</t>
  </si>
  <si>
    <t>Total monitoring cost per cycle</t>
  </si>
  <si>
    <t>Average Slot length for appointments</t>
  </si>
  <si>
    <t>Enfortumab vedotin with pembrolizumab - year 1</t>
  </si>
  <si>
    <t>Enfortumab vedotin with pembrolizumab - year 2</t>
  </si>
  <si>
    <t>Enfortumab vedotin with pembrolizumab</t>
  </si>
  <si>
    <t>Annual drug cost per patient by year of treatment</t>
  </si>
  <si>
    <t>Average cycles and administration per patient by year of treatment</t>
  </si>
  <si>
    <t>Average administrations per year per patient</t>
  </si>
  <si>
    <t>IV / subcut</t>
  </si>
  <si>
    <t>Midpoint between NHSE and Company estimates can be amended locally by percentage or number of patients by year</t>
  </si>
  <si>
    <t>Subsequent treatment rates are unavailable as these are marked as CIC and must be input locally input and treatment assumed to take place in the following year</t>
  </si>
  <si>
    <t>Number of cycles are marked as CIC and must be locally input</t>
  </si>
  <si>
    <t>Thyroid dysfunction</t>
  </si>
  <si>
    <t>Clinical expert opinion requires local input and was not factored into economic model</t>
  </si>
  <si>
    <t>TA1097</t>
  </si>
  <si>
    <t>Published: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</si>
</sst>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_-&quot;£&quot;* #,##0_-;\-&quot;£&quot;* #,##0_-;_-&quot;£&quot;* &quot;-&quot;??_-;_-@_-"/>
    <numFmt numFmtId="175" formatCode="#,##0.0"/>
  </numFmts>
  <fonts count="8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trike/>
      <sz val="11"/>
      <color theme="1"/>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b/>
      <sz val="12"/>
      <color theme="0"/>
      <name val="Calibri"/>
      <family val="2"/>
    </font>
    <font>
      <b/>
      <sz val="12"/>
      <name val="Calibri"/>
      <family val="2"/>
    </font>
    <font>
      <sz val="11"/>
      <color rgb="FF000000"/>
      <name val="Calibri"/>
      <family val="2"/>
      <scheme val="minor"/>
    </font>
    <font>
      <b/>
      <sz val="11"/>
      <color rgb="FF000000"/>
      <name val="Arial"/>
      <family val="2"/>
    </font>
    <font>
      <sz val="11"/>
      <color rgb="FF000000"/>
      <name val="Arial"/>
      <family val="2"/>
    </font>
    <font>
      <b/>
      <u/>
      <sz val="11"/>
      <name val="Calibri"/>
      <family val="2"/>
      <scheme val="minor"/>
    </font>
    <font>
      <b/>
      <sz val="11"/>
      <color rgb="FF000000"/>
      <name val="Calibri"/>
      <family val="2"/>
      <scheme val="minor"/>
    </font>
    <font>
      <b/>
      <sz val="22"/>
      <color theme="1"/>
      <name val="Calibri"/>
      <family val="2"/>
      <scheme val="minor"/>
    </font>
    <font>
      <b/>
      <sz val="22"/>
      <color rgb="FF000000"/>
      <name val="Calibri"/>
      <family val="2"/>
      <scheme val="minor"/>
    </font>
    <font>
      <b/>
      <sz val="18"/>
      <color theme="1"/>
      <name val="Calibri"/>
      <family val="2"/>
      <scheme val="minor"/>
    </font>
    <font>
      <sz val="22"/>
      <color theme="0"/>
      <name val="Calibri"/>
      <family val="2"/>
      <scheme val="minor"/>
    </font>
    <font>
      <b/>
      <sz val="11"/>
      <color rgb="FF000000"/>
      <name val="Calibri"/>
      <family val="2"/>
    </font>
    <font>
      <sz val="11"/>
      <color rgb="FF000000"/>
      <name val="Calibri"/>
      <scheme val="minor"/>
    </font>
    <font>
      <b/>
      <sz val="11"/>
      <color rgb="FF000000"/>
      <name val="Calibri"/>
      <scheme val="minor"/>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rgb="FFD9D9D9"/>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1059">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0"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1"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5"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0" fontId="0" fillId="45" borderId="0" xfId="0" applyFill="1"/>
    <xf numFmtId="0" fontId="48"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39" fillId="45"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4"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48" fillId="24" borderId="17" xfId="0" applyFont="1" applyFill="1" applyBorder="1" applyAlignment="1">
      <alignment horizontal="right"/>
    </xf>
    <xf numFmtId="165" fontId="27" fillId="0" borderId="0" xfId="0" applyNumberFormat="1" applyFont="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59" fillId="39" borderId="11" xfId="0" applyFont="1" applyFill="1" applyBorder="1" applyAlignment="1">
      <alignment horizontal="center" vertical="center" wrapText="1"/>
    </xf>
    <xf numFmtId="0" fontId="59" fillId="0" borderId="0" xfId="0" applyFont="1" applyAlignment="1">
      <alignment horizontal="center" vertical="center"/>
    </xf>
    <xf numFmtId="0" fontId="60" fillId="46"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4"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1" fillId="37" borderId="20" xfId="0" applyFont="1" applyFill="1" applyBorder="1" applyAlignment="1">
      <alignment horizontal="left"/>
    </xf>
    <xf numFmtId="0" fontId="0" fillId="41" borderId="17" xfId="0" applyFill="1" applyBorder="1"/>
    <xf numFmtId="0" fontId="0" fillId="45"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5" borderId="12" xfId="0" applyFont="1" applyFill="1" applyBorder="1" applyAlignment="1">
      <alignment horizontal="left"/>
    </xf>
    <xf numFmtId="0" fontId="39" fillId="45"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39" fillId="45" borderId="10" xfId="0" applyFont="1"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4"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5"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9"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59" fillId="24" borderId="0" xfId="0" applyFont="1" applyFill="1" applyAlignment="1">
      <alignment horizontal="center" vertical="center"/>
    </xf>
    <xf numFmtId="0" fontId="59"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59" fillId="24" borderId="14" xfId="0" applyFont="1" applyFill="1" applyBorder="1" applyAlignment="1">
      <alignment horizontal="center" vertical="center"/>
    </xf>
    <xf numFmtId="0" fontId="27" fillId="24" borderId="14" xfId="0" applyFont="1" applyFill="1" applyBorder="1"/>
    <xf numFmtId="0" fontId="0" fillId="24" borderId="33"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2" fillId="0" borderId="0" xfId="0" applyFont="1" applyAlignment="1">
      <alignment vertical="center"/>
    </xf>
    <xf numFmtId="0" fontId="44" fillId="0" borderId="0" xfId="82" applyFont="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7"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7" borderId="11" xfId="0" applyNumberFormat="1" applyFont="1" applyFill="1" applyBorder="1" applyAlignment="1">
      <alignment horizontal="center"/>
    </xf>
    <xf numFmtId="0" fontId="29" fillId="47"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5" xfId="0" applyFill="1" applyBorder="1" applyAlignment="1">
      <alignment horizontal="center"/>
    </xf>
    <xf numFmtId="3" fontId="0" fillId="39" borderId="31" xfId="0" applyNumberFormat="1" applyFill="1" applyBorder="1" applyAlignment="1">
      <alignment horizontal="right"/>
    </xf>
    <xf numFmtId="0" fontId="54" fillId="24" borderId="17" xfId="0" applyFont="1" applyFill="1" applyBorder="1"/>
    <xf numFmtId="0" fontId="54"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7"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8" fontId="0" fillId="39" borderId="11" xfId="0" applyNumberFormat="1" applyFill="1" applyBorder="1" applyProtection="1">
      <protection locked="0"/>
    </xf>
    <xf numFmtId="9" fontId="0" fillId="39" borderId="35"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3"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2" fontId="46" fillId="39" borderId="12" xfId="82" applyNumberFormat="1" applyFont="1" applyFill="1" applyBorder="1" applyProtection="1">
      <protection locked="0"/>
    </xf>
    <xf numFmtId="0" fontId="46" fillId="0" borderId="21" xfId="82" applyFont="1" applyBorder="1"/>
    <xf numFmtId="165" fontId="48" fillId="39" borderId="19" xfId="82" applyNumberFormat="1" applyFont="1" applyFill="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4" xfId="0" applyNumberFormat="1" applyBorder="1"/>
    <xf numFmtId="9" fontId="27" fillId="0" borderId="34"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4" fillId="44" borderId="0" xfId="0" applyFont="1" applyFill="1"/>
    <xf numFmtId="0" fontId="64" fillId="44" borderId="20" xfId="0" applyFont="1" applyFill="1" applyBorder="1" applyAlignment="1">
      <alignment horizontal="center"/>
    </xf>
    <xf numFmtId="4" fontId="64" fillId="44" borderId="20" xfId="0" applyNumberFormat="1" applyFont="1" applyFill="1" applyBorder="1"/>
    <xf numFmtId="164" fontId="64" fillId="44" borderId="20" xfId="0" applyNumberFormat="1" applyFont="1" applyFill="1" applyBorder="1"/>
    <xf numFmtId="0" fontId="64" fillId="44" borderId="20" xfId="0" applyFont="1" applyFill="1" applyBorder="1"/>
    <xf numFmtId="0" fontId="64" fillId="44" borderId="17" xfId="0" applyFont="1" applyFill="1" applyBorder="1"/>
    <xf numFmtId="0" fontId="48" fillId="44" borderId="12" xfId="0" applyFont="1" applyFill="1" applyBorder="1" applyAlignment="1">
      <alignment horizontal="left" vertical="center"/>
    </xf>
    <xf numFmtId="0" fontId="65" fillId="24" borderId="40" xfId="0" applyFont="1" applyFill="1" applyBorder="1" applyAlignment="1">
      <alignment horizontal="center" vertical="center"/>
    </xf>
    <xf numFmtId="0" fontId="40" fillId="24" borderId="39" xfId="0" applyFont="1" applyFill="1" applyBorder="1" applyAlignment="1">
      <alignment vertical="center"/>
    </xf>
    <xf numFmtId="169" fontId="46" fillId="0" borderId="23" xfId="57" applyNumberFormat="1" applyFont="1" applyFill="1" applyBorder="1" applyProtection="1"/>
    <xf numFmtId="0" fontId="66"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1" xfId="0" applyFont="1" applyFill="1" applyBorder="1" applyAlignment="1">
      <alignment horizontal="center"/>
    </xf>
    <xf numFmtId="0" fontId="44" fillId="24" borderId="42" xfId="82" applyFont="1" applyFill="1" applyBorder="1" applyAlignment="1">
      <alignment horizontal="center"/>
    </xf>
    <xf numFmtId="0" fontId="44" fillId="24" borderId="42" xfId="110" applyFont="1" applyFill="1" applyBorder="1" applyAlignment="1">
      <alignment horizontal="center" wrapText="1"/>
    </xf>
    <xf numFmtId="3" fontId="44" fillId="24" borderId="42" xfId="110" applyNumberFormat="1" applyFont="1" applyFill="1" applyBorder="1" applyAlignment="1">
      <alignment horizontal="center" wrapText="1"/>
    </xf>
    <xf numFmtId="0" fontId="44" fillId="24" borderId="43" xfId="110" applyFont="1" applyFill="1" applyBorder="1" applyAlignment="1">
      <alignment horizontal="center" wrapText="1"/>
    </xf>
    <xf numFmtId="0" fontId="44" fillId="24" borderId="41" xfId="0" applyFont="1" applyFill="1" applyBorder="1" applyAlignment="1">
      <alignment horizontal="center" wrapText="1"/>
    </xf>
    <xf numFmtId="0" fontId="0" fillId="0" borderId="44" xfId="0" applyBorder="1" applyAlignment="1">
      <alignment horizontal="center"/>
    </xf>
    <xf numFmtId="169" fontId="46" fillId="0" borderId="19" xfId="57" applyNumberFormat="1" applyFont="1" applyFill="1" applyBorder="1" applyProtection="1"/>
    <xf numFmtId="9" fontId="0" fillId="0" borderId="24" xfId="0" applyNumberFormat="1" applyBorder="1"/>
    <xf numFmtId="0" fontId="0" fillId="0" borderId="45" xfId="0" applyBorder="1" applyAlignment="1">
      <alignment horizontal="center"/>
    </xf>
    <xf numFmtId="0" fontId="0" fillId="0" borderId="15" xfId="0" applyBorder="1"/>
    <xf numFmtId="169" fontId="46" fillId="39" borderId="34" xfId="57" applyNumberFormat="1" applyFont="1" applyFill="1" applyBorder="1" applyAlignment="1" applyProtection="1">
      <alignment horizontal="right"/>
    </xf>
    <xf numFmtId="169" fontId="46" fillId="39" borderId="34" xfId="57" applyNumberFormat="1" applyFont="1" applyFill="1" applyBorder="1" applyProtection="1"/>
    <xf numFmtId="10" fontId="46" fillId="39" borderId="34"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67" fillId="48" borderId="0" xfId="0" applyFont="1" applyFill="1" applyAlignment="1">
      <alignment horizontal="left" vertical="center"/>
    </xf>
    <xf numFmtId="0" fontId="39" fillId="48" borderId="0" xfId="0" applyFont="1" applyFill="1" applyAlignment="1">
      <alignment horizontal="left" vertical="center"/>
    </xf>
    <xf numFmtId="0" fontId="68" fillId="48" borderId="0" xfId="0" applyFont="1" applyFill="1"/>
    <xf numFmtId="0" fontId="69" fillId="25" borderId="0" xfId="0" applyFont="1" applyFill="1"/>
    <xf numFmtId="0" fontId="69" fillId="0" borderId="0" xfId="0" applyFont="1"/>
    <xf numFmtId="0" fontId="69"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0"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6" xfId="0" applyFont="1" applyBorder="1"/>
    <xf numFmtId="0" fontId="0" fillId="0" borderId="37" xfId="0" applyBorder="1" applyAlignment="1">
      <alignment horizontal="center" wrapText="1"/>
    </xf>
    <xf numFmtId="0" fontId="29" fillId="0" borderId="36" xfId="0" applyFont="1" applyBorder="1" applyAlignment="1">
      <alignment horizontal="center"/>
    </xf>
    <xf numFmtId="0" fontId="0" fillId="0" borderId="38"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0"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0"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9"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9"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9"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9" fillId="25" borderId="0" xfId="0" applyNumberFormat="1" applyFont="1" applyFill="1"/>
    <xf numFmtId="0" fontId="29" fillId="25" borderId="0" xfId="0" applyFont="1" applyFill="1" applyAlignment="1">
      <alignment horizontal="right"/>
    </xf>
    <xf numFmtId="0" fontId="69" fillId="25" borderId="0" xfId="0" applyFont="1" applyFill="1" applyAlignment="1">
      <alignment horizontal="right"/>
    </xf>
    <xf numFmtId="9" fontId="29" fillId="49" borderId="0" xfId="92" applyFont="1" applyFill="1"/>
    <xf numFmtId="173" fontId="71" fillId="25" borderId="0" xfId="92" applyNumberFormat="1" applyFont="1" applyFill="1" applyAlignment="1">
      <alignment horizontal="right"/>
    </xf>
    <xf numFmtId="9" fontId="71" fillId="25" borderId="0" xfId="92" applyFont="1" applyFill="1" applyAlignment="1">
      <alignment horizontal="right"/>
    </xf>
    <xf numFmtId="0" fontId="71"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9" fillId="0" borderId="0" xfId="0" applyNumberFormat="1" applyFont="1"/>
    <xf numFmtId="165" fontId="69" fillId="24" borderId="0" xfId="0" applyNumberFormat="1" applyFont="1" applyFill="1"/>
    <xf numFmtId="0" fontId="4" fillId="24" borderId="0" xfId="0" applyFont="1" applyFill="1" applyAlignment="1">
      <alignment horizontal="left" vertical="center" wrapText="1"/>
    </xf>
    <xf numFmtId="3" fontId="69" fillId="24" borderId="0" xfId="0" applyNumberFormat="1" applyFont="1" applyFill="1"/>
    <xf numFmtId="0" fontId="32" fillId="50" borderId="0" xfId="0" applyFont="1" applyFill="1" applyAlignment="1">
      <alignment horizontal="left"/>
    </xf>
    <xf numFmtId="0" fontId="29" fillId="50"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2"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46" fillId="0" borderId="18" xfId="82" applyFont="1" applyBorder="1"/>
    <xf numFmtId="0" fontId="0" fillId="39" borderId="32" xfId="0" applyFill="1" applyBorder="1" applyAlignment="1" applyProtection="1">
      <alignment horizontal="right"/>
      <protection locked="0"/>
    </xf>
    <xf numFmtId="0" fontId="50" fillId="0" borderId="0" xfId="72" applyFont="1" applyFill="1" applyBorder="1" applyAlignment="1" applyProtection="1">
      <alignment horizontal="left"/>
    </xf>
    <xf numFmtId="0" fontId="73"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0" fontId="0" fillId="45" borderId="11" xfId="0"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0" fillId="42" borderId="11" xfId="0" applyFill="1" applyBorder="1" applyAlignment="1">
      <alignment wrapText="1"/>
    </xf>
    <xf numFmtId="3" fontId="0" fillId="42" borderId="17" xfId="0" applyNumberFormat="1" applyFill="1" applyBorder="1"/>
    <xf numFmtId="0" fontId="54" fillId="0" borderId="18" xfId="0" applyFont="1" applyBorder="1"/>
    <xf numFmtId="0" fontId="53"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170" fontId="27" fillId="0" borderId="11" xfId="93" applyNumberFormat="1" applyFont="1" applyFill="1" applyBorder="1"/>
    <xf numFmtId="0" fontId="0" fillId="0" borderId="46" xfId="0" applyBorder="1"/>
    <xf numFmtId="0" fontId="48" fillId="0" borderId="10" xfId="82" applyFont="1" applyBorder="1" applyAlignment="1">
      <alignment horizontal="center"/>
    </xf>
    <xf numFmtId="0" fontId="2" fillId="0" borderId="21" xfId="82" applyBorder="1"/>
    <xf numFmtId="171" fontId="6" fillId="47"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1" borderId="0" xfId="0" applyFont="1" applyFill="1" applyAlignment="1">
      <alignment horizontal="center"/>
    </xf>
    <xf numFmtId="0" fontId="29" fillId="51" borderId="11" xfId="0" applyFont="1" applyFill="1" applyBorder="1" applyAlignment="1">
      <alignment horizontal="center" wrapText="1"/>
    </xf>
    <xf numFmtId="170" fontId="29" fillId="51"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7" borderId="0" xfId="0" applyFont="1" applyFill="1"/>
    <xf numFmtId="3" fontId="42" fillId="52" borderId="0" xfId="0" applyNumberFormat="1" applyFont="1" applyFill="1"/>
    <xf numFmtId="0" fontId="70" fillId="52" borderId="0" xfId="0" applyFont="1" applyFill="1"/>
    <xf numFmtId="0" fontId="42" fillId="52" borderId="0" xfId="0" applyFont="1" applyFill="1"/>
    <xf numFmtId="0" fontId="42" fillId="52" borderId="0" xfId="0" applyFont="1" applyFill="1" applyAlignment="1">
      <alignment horizontal="left"/>
    </xf>
    <xf numFmtId="0" fontId="0" fillId="0" borderId="17" xfId="0" applyBorder="1" applyAlignment="1">
      <alignment wrapText="1"/>
    </xf>
    <xf numFmtId="0" fontId="0" fillId="0" borderId="0" xfId="0" quotePrefix="1"/>
    <xf numFmtId="3" fontId="44" fillId="28" borderId="11" xfId="0" applyNumberFormat="1" applyFont="1" applyFill="1" applyBorder="1"/>
    <xf numFmtId="3" fontId="44" fillId="39"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6" xfId="92" applyNumberFormat="1" applyFont="1" applyFill="1" applyBorder="1"/>
    <xf numFmtId="0" fontId="44" fillId="28" borderId="12" xfId="0" applyFont="1" applyFill="1" applyBorder="1"/>
    <xf numFmtId="10" fontId="0" fillId="28" borderId="17"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47" xfId="0" applyBorder="1" applyAlignment="1">
      <alignment horizontal="right"/>
    </xf>
    <xf numFmtId="0" fontId="0" fillId="0" borderId="47"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48" xfId="0" applyFill="1" applyBorder="1" applyProtection="1">
      <protection locked="0"/>
    </xf>
    <xf numFmtId="166" fontId="46" fillId="0" borderId="12" xfId="56" applyNumberFormat="1" applyFont="1" applyFill="1" applyBorder="1" applyProtection="1">
      <protection locked="0"/>
    </xf>
    <xf numFmtId="0" fontId="46" fillId="0" borderId="11" xfId="82" applyFont="1" applyBorder="1" applyAlignment="1" applyProtection="1">
      <alignment horizontal="right"/>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0" fontId="28" fillId="0" borderId="18" xfId="72" applyBorder="1" applyAlignment="1" applyProtection="1"/>
    <xf numFmtId="9" fontId="53"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6" fillId="0" borderId="14" xfId="0" applyFont="1" applyBorder="1" applyAlignment="1">
      <alignment vertical="center"/>
    </xf>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4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47" xfId="82" applyFont="1" applyBorder="1"/>
    <xf numFmtId="0" fontId="0" fillId="24" borderId="47" xfId="0" applyFill="1" applyBorder="1"/>
    <xf numFmtId="0" fontId="0" fillId="24" borderId="46"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0"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47" xfId="0" applyFont="1" applyFill="1" applyBorder="1" applyAlignment="1">
      <alignment horizontal="left"/>
    </xf>
    <xf numFmtId="0" fontId="29" fillId="26" borderId="47" xfId="0" applyFont="1" applyFill="1" applyBorder="1"/>
    <xf numFmtId="0" fontId="29" fillId="26" borderId="46" xfId="0" applyFont="1" applyFill="1" applyBorder="1"/>
    <xf numFmtId="0" fontId="32" fillId="30" borderId="47" xfId="0" applyFont="1" applyFill="1" applyBorder="1" applyAlignment="1">
      <alignment vertical="center" wrapText="1"/>
    </xf>
    <xf numFmtId="0" fontId="32" fillId="30" borderId="46" xfId="0" applyFont="1" applyFill="1" applyBorder="1" applyAlignment="1">
      <alignment vertical="center" wrapText="1"/>
    </xf>
    <xf numFmtId="0" fontId="32" fillId="27" borderId="47" xfId="0" applyFont="1" applyFill="1" applyBorder="1"/>
    <xf numFmtId="0" fontId="32" fillId="27" borderId="46" xfId="0" applyFont="1" applyFill="1" applyBorder="1"/>
    <xf numFmtId="0" fontId="6" fillId="0" borderId="46" xfId="0" applyFont="1" applyBorder="1"/>
    <xf numFmtId="0" fontId="29" fillId="0" borderId="46" xfId="0" applyFont="1" applyBorder="1"/>
    <xf numFmtId="0" fontId="29" fillId="0" borderId="47" xfId="0" applyFont="1" applyBorder="1"/>
    <xf numFmtId="0" fontId="7" fillId="0" borderId="46" xfId="0" applyFont="1" applyBorder="1"/>
    <xf numFmtId="3" fontId="7" fillId="0" borderId="46" xfId="0" applyNumberFormat="1" applyFont="1" applyBorder="1"/>
    <xf numFmtId="3" fontId="32" fillId="0" borderId="47" xfId="0" applyNumberFormat="1" applyFont="1" applyBorder="1"/>
    <xf numFmtId="3" fontId="32" fillId="0" borderId="46" xfId="0" applyNumberFormat="1" applyFont="1" applyBorder="1"/>
    <xf numFmtId="3" fontId="7" fillId="0" borderId="47" xfId="0" applyNumberFormat="1" applyFont="1" applyBorder="1"/>
    <xf numFmtId="3" fontId="6" fillId="0" borderId="46" xfId="0" applyNumberFormat="1" applyFont="1" applyBorder="1"/>
    <xf numFmtId="3" fontId="29" fillId="0" borderId="47" xfId="0" applyNumberFormat="1" applyFont="1" applyBorder="1"/>
    <xf numFmtId="3" fontId="29" fillId="0" borderId="46" xfId="0" applyNumberFormat="1" applyFont="1" applyBorder="1"/>
    <xf numFmtId="3" fontId="6" fillId="0" borderId="47" xfId="0" applyNumberFormat="1" applyFont="1" applyBorder="1"/>
    <xf numFmtId="0" fontId="6" fillId="0" borderId="47" xfId="0" applyFont="1" applyBorder="1"/>
    <xf numFmtId="173" fontId="32" fillId="25" borderId="47" xfId="92" applyNumberFormat="1" applyFont="1" applyFill="1" applyBorder="1"/>
    <xf numFmtId="9" fontId="0" fillId="0" borderId="47" xfId="0" applyNumberFormat="1" applyBorder="1" applyAlignment="1">
      <alignment horizontal="right"/>
    </xf>
    <xf numFmtId="0" fontId="39" fillId="0" borderId="46" xfId="82" applyFont="1" applyBorder="1"/>
    <xf numFmtId="0" fontId="39" fillId="37" borderId="47" xfId="0" applyFont="1" applyFill="1" applyBorder="1" applyAlignment="1">
      <alignment horizontal="center" wrapText="1"/>
    </xf>
    <xf numFmtId="0" fontId="0" fillId="24" borderId="46" xfId="0" applyFill="1" applyBorder="1" applyAlignment="1">
      <alignment horizontal="center" wrapText="1"/>
    </xf>
    <xf numFmtId="0" fontId="44" fillId="40" borderId="46" xfId="0" applyFont="1" applyFill="1" applyBorder="1"/>
    <xf numFmtId="165" fontId="44" fillId="45" borderId="46" xfId="0" applyNumberFormat="1" applyFont="1" applyFill="1" applyBorder="1"/>
    <xf numFmtId="0" fontId="0" fillId="45" borderId="46" xfId="0" applyFill="1" applyBorder="1"/>
    <xf numFmtId="165" fontId="44" fillId="42" borderId="46" xfId="0" applyNumberFormat="1" applyFont="1" applyFill="1" applyBorder="1"/>
    <xf numFmtId="0" fontId="0" fillId="42" borderId="46" xfId="0" applyFill="1" applyBorder="1"/>
    <xf numFmtId="0" fontId="44" fillId="0" borderId="47" xfId="0" applyFont="1" applyBorder="1" applyAlignment="1">
      <alignment horizontal="right"/>
    </xf>
    <xf numFmtId="0" fontId="29" fillId="47" borderId="11" xfId="0" applyFont="1" applyFill="1" applyBorder="1" applyAlignment="1">
      <alignment horizontal="left"/>
    </xf>
    <xf numFmtId="0" fontId="28" fillId="24" borderId="0" xfId="72" applyFill="1" applyAlignment="1" applyProtection="1"/>
    <xf numFmtId="0" fontId="46" fillId="0" borderId="19" xfId="82" applyFont="1" applyBorder="1"/>
    <xf numFmtId="0" fontId="46" fillId="0" borderId="13" xfId="82" applyFont="1" applyBorder="1"/>
    <xf numFmtId="0" fontId="48" fillId="0" borderId="22" xfId="82" applyFont="1" applyBorder="1"/>
    <xf numFmtId="171" fontId="29" fillId="29" borderId="11" xfId="92" applyNumberFormat="1" applyFont="1" applyFill="1" applyBorder="1"/>
    <xf numFmtId="171" fontId="29" fillId="47" borderId="11" xfId="92" applyNumberFormat="1" applyFont="1" applyFill="1" applyBorder="1"/>
    <xf numFmtId="0" fontId="44" fillId="24" borderId="50" xfId="0" applyFont="1" applyFill="1" applyBorder="1" applyAlignment="1">
      <alignment horizontal="center" wrapText="1"/>
    </xf>
    <xf numFmtId="9" fontId="0" fillId="39" borderId="19" xfId="92" applyFont="1" applyFill="1" applyBorder="1"/>
    <xf numFmtId="9" fontId="0" fillId="39" borderId="28" xfId="92" applyFont="1" applyFill="1" applyBorder="1"/>
    <xf numFmtId="0" fontId="0" fillId="39" borderId="0" xfId="0" applyFill="1"/>
    <xf numFmtId="9" fontId="0" fillId="39" borderId="0" xfId="0" applyNumberFormat="1" applyFill="1"/>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44" fillId="0" borderId="0" xfId="0" applyFont="1" applyAlignment="1">
      <alignment vertical="center"/>
    </xf>
    <xf numFmtId="0" fontId="0" fillId="0" borderId="11" xfId="0" applyBorder="1" applyAlignment="1">
      <alignment horizontal="center"/>
    </xf>
    <xf numFmtId="0" fontId="44" fillId="47" borderId="43" xfId="0" applyFont="1" applyFill="1" applyBorder="1" applyAlignment="1">
      <alignment horizontal="center" wrapText="1"/>
    </xf>
    <xf numFmtId="3" fontId="0" fillId="39" borderId="44" xfId="0" applyNumberFormat="1" applyFill="1" applyBorder="1"/>
    <xf numFmtId="164" fontId="0" fillId="0" borderId="24" xfId="0" applyNumberFormat="1" applyBorder="1" applyAlignment="1" applyProtection="1">
      <alignment horizontal="right" vertical="center"/>
      <protection locked="0"/>
    </xf>
    <xf numFmtId="3" fontId="0" fillId="39" borderId="23" xfId="0" applyNumberFormat="1" applyFill="1" applyBorder="1"/>
    <xf numFmtId="3" fontId="0" fillId="39" borderId="27" xfId="0" applyNumberFormat="1" applyFill="1" applyBorder="1"/>
    <xf numFmtId="164" fontId="0" fillId="0" borderId="26" xfId="0" applyNumberFormat="1" applyBorder="1" applyAlignment="1" applyProtection="1">
      <alignment horizontal="right" vertical="center"/>
      <protection locked="0"/>
    </xf>
    <xf numFmtId="9" fontId="0" fillId="0" borderId="44"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24" borderId="51" xfId="0" applyFont="1" applyFill="1" applyBorder="1" applyAlignment="1">
      <alignment horizontal="center" wrapText="1"/>
    </xf>
    <xf numFmtId="0" fontId="44" fillId="24" borderId="52" xfId="0" applyFont="1" applyFill="1" applyBorder="1" applyAlignment="1">
      <alignment horizontal="center" wrapText="1"/>
    </xf>
    <xf numFmtId="0" fontId="0" fillId="24" borderId="38" xfId="0" applyFill="1" applyBorder="1"/>
    <xf numFmtId="0" fontId="44" fillId="24" borderId="36" xfId="0" applyFont="1" applyFill="1" applyBorder="1"/>
    <xf numFmtId="165" fontId="0" fillId="0" borderId="53" xfId="56" applyNumberFormat="1" applyFont="1" applyBorder="1"/>
    <xf numFmtId="0" fontId="0" fillId="0" borderId="11" xfId="82" applyFont="1" applyBorder="1"/>
    <xf numFmtId="0" fontId="27" fillId="0" borderId="11" xfId="82" applyFont="1" applyBorder="1"/>
    <xf numFmtId="0" fontId="44" fillId="24" borderId="54" xfId="0" applyFont="1" applyFill="1" applyBorder="1"/>
    <xf numFmtId="0" fontId="0" fillId="24" borderId="55" xfId="0" applyFill="1" applyBorder="1"/>
    <xf numFmtId="0" fontId="0" fillId="24" borderId="56" xfId="0" applyFill="1" applyBorder="1"/>
    <xf numFmtId="0" fontId="75" fillId="25" borderId="0" xfId="82" applyFont="1" applyFill="1"/>
    <xf numFmtId="0" fontId="44" fillId="0" borderId="0" xfId="0" applyFont="1" applyAlignment="1">
      <alignment wrapText="1"/>
    </xf>
    <xf numFmtId="10" fontId="27" fillId="0" borderId="0" xfId="92" applyNumberFormat="1" applyFont="1" applyFill="1" applyBorder="1"/>
    <xf numFmtId="0" fontId="0" fillId="0" borderId="53" xfId="0" applyBorder="1"/>
    <xf numFmtId="9" fontId="0" fillId="0" borderId="0" xfId="0" applyNumberFormat="1" applyAlignment="1">
      <alignment horizontal="right"/>
    </xf>
    <xf numFmtId="0" fontId="28" fillId="0" borderId="12" xfId="72" applyBorder="1" applyAlignment="1" applyProtection="1"/>
    <xf numFmtId="0" fontId="28" fillId="0" borderId="22" xfId="72" applyBorder="1" applyAlignment="1" applyProtection="1"/>
    <xf numFmtId="0" fontId="77" fillId="0" borderId="11" xfId="0" applyFont="1" applyBorder="1"/>
    <xf numFmtId="168" fontId="0" fillId="24" borderId="11" xfId="0" applyNumberFormat="1" applyFill="1" applyBorder="1" applyProtection="1">
      <protection locked="0"/>
    </xf>
    <xf numFmtId="0" fontId="80" fillId="0" borderId="0" xfId="82" applyFont="1"/>
    <xf numFmtId="0" fontId="78" fillId="0" borderId="0" xfId="0" applyFont="1" applyAlignment="1">
      <alignment vertical="center" wrapText="1"/>
    </xf>
    <xf numFmtId="8" fontId="79" fillId="0" borderId="0" xfId="0" applyNumberFormat="1" applyFont="1" applyAlignment="1">
      <alignment vertical="center" wrapText="1"/>
    </xf>
    <xf numFmtId="0" fontId="79" fillId="0" borderId="0" xfId="0" applyFont="1" applyAlignment="1">
      <alignment vertical="center" wrapText="1"/>
    </xf>
    <xf numFmtId="166" fontId="46" fillId="25" borderId="0" xfId="56" applyNumberFormat="1" applyFont="1" applyFill="1" applyBorder="1" applyProtection="1">
      <protection locked="0"/>
    </xf>
    <xf numFmtId="9" fontId="53" fillId="25" borderId="0" xfId="92" applyFont="1" applyFill="1" applyBorder="1" applyProtection="1">
      <protection locked="0"/>
    </xf>
    <xf numFmtId="166" fontId="46" fillId="0" borderId="12" xfId="56" applyNumberFormat="1" applyFont="1" applyFill="1" applyBorder="1" applyAlignment="1" applyProtection="1">
      <alignment horizontal="right"/>
      <protection locked="0"/>
    </xf>
    <xf numFmtId="0" fontId="0" fillId="25" borderId="0" xfId="0" applyFill="1" applyAlignment="1">
      <alignment horizontal="left"/>
    </xf>
    <xf numFmtId="0" fontId="0" fillId="25" borderId="0" xfId="0" applyFill="1" applyProtection="1">
      <protection locked="0"/>
    </xf>
    <xf numFmtId="0" fontId="0" fillId="25" borderId="0" xfId="0" applyFill="1" applyAlignment="1" applyProtection="1">
      <alignment horizontal="right"/>
      <protection locked="0"/>
    </xf>
    <xf numFmtId="0" fontId="44" fillId="24" borderId="11" xfId="0" applyFont="1" applyFill="1" applyBorder="1"/>
    <xf numFmtId="0" fontId="74" fillId="25" borderId="0" xfId="82" applyFont="1" applyFill="1" applyAlignment="1">
      <alignment horizontal="center"/>
    </xf>
    <xf numFmtId="0" fontId="6" fillId="25" borderId="0" xfId="82" applyFont="1" applyFill="1"/>
    <xf numFmtId="0" fontId="48" fillId="24" borderId="20" xfId="82" applyFont="1" applyFill="1" applyBorder="1" applyAlignment="1">
      <alignment horizontal="center" wrapText="1"/>
    </xf>
    <xf numFmtId="10" fontId="48" fillId="0" borderId="47" xfId="92" applyNumberFormat="1" applyFont="1" applyFill="1" applyBorder="1"/>
    <xf numFmtId="165" fontId="46" fillId="0" borderId="19" xfId="82" applyNumberFormat="1" applyFont="1" applyBorder="1" applyProtection="1">
      <protection locked="0"/>
    </xf>
    <xf numFmtId="166" fontId="46" fillId="24" borderId="10" xfId="56" applyNumberFormat="1" applyFont="1" applyFill="1" applyBorder="1" applyProtection="1">
      <protection locked="0"/>
    </xf>
    <xf numFmtId="0" fontId="46" fillId="24" borderId="10" xfId="82" applyFont="1" applyFill="1" applyBorder="1" applyAlignment="1" applyProtection="1">
      <alignment horizontal="right"/>
      <protection locked="0"/>
    </xf>
    <xf numFmtId="0" fontId="46" fillId="24" borderId="10" xfId="82" applyFont="1" applyFill="1" applyBorder="1" applyProtection="1">
      <protection locked="0"/>
    </xf>
    <xf numFmtId="1" fontId="46" fillId="24" borderId="10" xfId="82" applyNumberFormat="1" applyFont="1" applyFill="1" applyBorder="1" applyProtection="1">
      <protection locked="0"/>
    </xf>
    <xf numFmtId="164" fontId="46" fillId="24" borderId="10" xfId="82" applyNumberFormat="1" applyFont="1" applyFill="1" applyBorder="1" applyProtection="1">
      <protection locked="0"/>
    </xf>
    <xf numFmtId="9" fontId="46" fillId="24" borderId="21" xfId="82" applyNumberFormat="1" applyFont="1" applyFill="1" applyBorder="1" applyProtection="1">
      <protection locked="0"/>
    </xf>
    <xf numFmtId="0" fontId="48" fillId="24" borderId="13" xfId="82" applyFont="1" applyFill="1" applyBorder="1" applyAlignment="1">
      <alignment horizontal="center"/>
    </xf>
    <xf numFmtId="0" fontId="48" fillId="24" borderId="15" xfId="82" applyFont="1" applyFill="1" applyBorder="1" applyAlignment="1">
      <alignment horizontal="center" wrapText="1"/>
    </xf>
    <xf numFmtId="0" fontId="48" fillId="24" borderId="15" xfId="82" applyFont="1" applyFill="1" applyBorder="1" applyAlignment="1">
      <alignment horizontal="center"/>
    </xf>
    <xf numFmtId="0" fontId="48" fillId="24" borderId="13" xfId="82" applyFont="1" applyFill="1" applyBorder="1" applyAlignment="1">
      <alignment horizontal="center" wrapText="1"/>
    </xf>
    <xf numFmtId="0" fontId="46" fillId="0" borderId="22" xfId="82" applyFont="1" applyBorder="1" applyProtection="1">
      <protection locked="0"/>
    </xf>
    <xf numFmtId="0" fontId="46" fillId="0" borderId="19" xfId="82" applyFont="1" applyBorder="1" applyAlignment="1" applyProtection="1">
      <alignment horizontal="center"/>
      <protection locked="0"/>
    </xf>
    <xf numFmtId="166" fontId="46" fillId="0" borderId="19" xfId="56" applyNumberFormat="1" applyFont="1" applyFill="1" applyBorder="1" applyProtection="1">
      <protection locked="0"/>
    </xf>
    <xf numFmtId="0" fontId="46" fillId="0" borderId="19" xfId="82" applyFont="1" applyBorder="1" applyAlignment="1" applyProtection="1">
      <alignment horizontal="right"/>
      <protection locked="0"/>
    </xf>
    <xf numFmtId="0" fontId="46" fillId="0" borderId="19" xfId="82" applyFont="1" applyBorder="1" applyProtection="1">
      <protection locked="0"/>
    </xf>
    <xf numFmtId="1" fontId="46" fillId="0" borderId="19" xfId="82" applyNumberFormat="1" applyFont="1" applyBorder="1" applyProtection="1">
      <protection locked="0"/>
    </xf>
    <xf numFmtId="164" fontId="46" fillId="0" borderId="22" xfId="82" applyNumberFormat="1" applyFont="1" applyBorder="1" applyProtection="1">
      <protection locked="0"/>
    </xf>
    <xf numFmtId="9" fontId="46" fillId="0" borderId="19" xfId="82" applyNumberFormat="1" applyFont="1" applyBorder="1" applyProtection="1">
      <protection locked="0"/>
    </xf>
    <xf numFmtId="0" fontId="48" fillId="24" borderId="20" xfId="82" applyFont="1" applyFill="1" applyBorder="1" applyAlignment="1">
      <alignment horizontal="center"/>
    </xf>
    <xf numFmtId="0" fontId="46" fillId="25" borderId="12" xfId="82" applyFont="1" applyFill="1" applyBorder="1" applyProtection="1">
      <protection locked="0"/>
    </xf>
    <xf numFmtId="166" fontId="6" fillId="39" borderId="20" xfId="56" applyNumberFormat="1" applyFont="1" applyFill="1" applyBorder="1"/>
    <xf numFmtId="0" fontId="46" fillId="39" borderId="12" xfId="82" applyFont="1" applyFill="1" applyBorder="1" applyAlignment="1">
      <alignment horizontal="left"/>
    </xf>
    <xf numFmtId="0" fontId="48" fillId="39" borderId="20" xfId="82" applyFont="1" applyFill="1" applyBorder="1" applyAlignment="1">
      <alignment horizontal="center" wrapText="1"/>
    </xf>
    <xf numFmtId="0" fontId="53" fillId="39" borderId="17" xfId="82" applyFont="1" applyFill="1" applyBorder="1" applyAlignment="1" applyProtection="1">
      <alignment horizontal="right"/>
      <protection locked="0"/>
    </xf>
    <xf numFmtId="0" fontId="46" fillId="25" borderId="11" xfId="82" applyFont="1" applyFill="1" applyBorder="1" applyAlignment="1" applyProtection="1">
      <alignment horizontal="center"/>
      <protection locked="0"/>
    </xf>
    <xf numFmtId="166" fontId="46" fillId="25" borderId="11" xfId="56" applyNumberFormat="1" applyFont="1" applyFill="1" applyBorder="1" applyProtection="1">
      <protection locked="0"/>
    </xf>
    <xf numFmtId="0" fontId="46" fillId="25" borderId="11" xfId="82" applyFont="1" applyFill="1" applyBorder="1" applyProtection="1">
      <protection locked="0"/>
    </xf>
    <xf numFmtId="164" fontId="46" fillId="25" borderId="12" xfId="82" applyNumberFormat="1" applyFont="1" applyFill="1" applyBorder="1" applyProtection="1">
      <protection locked="0"/>
    </xf>
    <xf numFmtId="9" fontId="46" fillId="25" borderId="11" xfId="82" applyNumberFormat="1" applyFont="1" applyFill="1" applyBorder="1" applyProtection="1">
      <protection locked="0"/>
    </xf>
    <xf numFmtId="165" fontId="46" fillId="25" borderId="11" xfId="82" applyNumberFormat="1" applyFont="1" applyFill="1" applyBorder="1" applyProtection="1">
      <protection locked="0"/>
    </xf>
    <xf numFmtId="1" fontId="46" fillId="25" borderId="19" xfId="82" applyNumberFormat="1" applyFont="1" applyFill="1" applyBorder="1" applyProtection="1">
      <protection locked="0"/>
    </xf>
    <xf numFmtId="1" fontId="46" fillId="25" borderId="11" xfId="82" applyNumberFormat="1" applyFont="1" applyFill="1" applyBorder="1" applyProtection="1">
      <protection locked="0"/>
    </xf>
    <xf numFmtId="0" fontId="46" fillId="0" borderId="12" xfId="82" applyFont="1" applyBorder="1" applyAlignment="1" applyProtection="1">
      <alignment horizontal="center"/>
      <protection locked="0"/>
    </xf>
    <xf numFmtId="10" fontId="46" fillId="0" borderId="12" xfId="82" applyNumberFormat="1" applyFont="1" applyBorder="1" applyProtection="1">
      <protection locked="0"/>
    </xf>
    <xf numFmtId="43" fontId="46" fillId="0" borderId="11" xfId="82" applyNumberFormat="1" applyFont="1" applyBorder="1" applyProtection="1">
      <protection locked="0"/>
    </xf>
    <xf numFmtId="0" fontId="46" fillId="0" borderId="12" xfId="82" applyFont="1" applyBorder="1" applyAlignment="1" applyProtection="1">
      <alignment horizontal="right"/>
      <protection locked="0"/>
    </xf>
    <xf numFmtId="0" fontId="46" fillId="25" borderId="0" xfId="82" applyFont="1" applyFill="1" applyAlignment="1">
      <alignment horizontal="center"/>
    </xf>
    <xf numFmtId="0" fontId="48" fillId="24" borderId="11" xfId="82" applyFont="1" applyFill="1" applyBorder="1" applyAlignment="1">
      <alignment wrapText="1"/>
    </xf>
    <xf numFmtId="166" fontId="46" fillId="39" borderId="12" xfId="56" applyNumberFormat="1" applyFont="1" applyFill="1" applyBorder="1" applyAlignment="1" applyProtection="1">
      <alignment horizontal="center"/>
      <protection locked="0"/>
    </xf>
    <xf numFmtId="166" fontId="6" fillId="25" borderId="0" xfId="56" applyNumberFormat="1" applyFont="1" applyFill="1" applyBorder="1"/>
    <xf numFmtId="0" fontId="6" fillId="25" borderId="0" xfId="82" applyFont="1" applyFill="1" applyAlignment="1">
      <alignment horizontal="center"/>
    </xf>
    <xf numFmtId="165" fontId="27" fillId="0" borderId="53" xfId="0" applyNumberFormat="1" applyFont="1" applyBorder="1"/>
    <xf numFmtId="9" fontId="46" fillId="24" borderId="21" xfId="82" applyNumberFormat="1" applyFont="1" applyFill="1" applyBorder="1" applyAlignment="1" applyProtection="1">
      <alignment horizontal="right"/>
      <protection locked="0"/>
    </xf>
    <xf numFmtId="0" fontId="46" fillId="0" borderId="21" xfId="82" applyFont="1" applyBorder="1" applyAlignment="1">
      <alignment horizontal="right"/>
    </xf>
    <xf numFmtId="0" fontId="81" fillId="53" borderId="11" xfId="0" applyFont="1" applyFill="1" applyBorder="1" applyAlignment="1">
      <alignment vertical="center" wrapText="1"/>
    </xf>
    <xf numFmtId="0" fontId="81" fillId="25" borderId="0" xfId="0" applyFont="1" applyFill="1" applyAlignment="1">
      <alignment vertical="center" wrapText="1"/>
    </xf>
    <xf numFmtId="0" fontId="0" fillId="25" borderId="0" xfId="0" applyFill="1" applyAlignment="1">
      <alignment horizontal="center"/>
    </xf>
    <xf numFmtId="174" fontId="0" fillId="25" borderId="0" xfId="0" applyNumberFormat="1" applyFill="1"/>
    <xf numFmtId="9" fontId="0" fillId="25" borderId="0" xfId="0" applyNumberFormat="1" applyFill="1" applyAlignment="1" applyProtection="1">
      <alignment horizontal="right"/>
      <protection locked="0"/>
    </xf>
    <xf numFmtId="9" fontId="0" fillId="24" borderId="35" xfId="0" applyNumberFormat="1" applyFill="1" applyBorder="1" applyAlignment="1" applyProtection="1">
      <alignment horizontal="right"/>
      <protection locked="0"/>
    </xf>
    <xf numFmtId="9" fontId="0" fillId="24" borderId="30" xfId="0" applyNumberFormat="1" applyFill="1" applyBorder="1" applyAlignment="1" applyProtection="1">
      <alignment horizontal="right"/>
      <protection locked="0"/>
    </xf>
    <xf numFmtId="0" fontId="82" fillId="0" borderId="14" xfId="0" applyFont="1" applyBorder="1"/>
    <xf numFmtId="0" fontId="83" fillId="0" borderId="14" xfId="0" applyFont="1" applyBorder="1" applyAlignment="1">
      <alignment vertical="center"/>
    </xf>
    <xf numFmtId="0" fontId="84" fillId="0" borderId="14" xfId="0" applyFont="1" applyBorder="1"/>
    <xf numFmtId="0" fontId="85" fillId="37" borderId="14" xfId="0" applyFont="1" applyFill="1" applyBorder="1"/>
    <xf numFmtId="165" fontId="27" fillId="0" borderId="20" xfId="0" applyNumberFormat="1" applyFont="1" applyBorder="1"/>
    <xf numFmtId="9" fontId="0" fillId="25" borderId="0" xfId="0" applyNumberFormat="1" applyFill="1"/>
    <xf numFmtId="168" fontId="0" fillId="25" borderId="10" xfId="0" applyNumberFormat="1" applyFill="1" applyBorder="1" applyProtection="1">
      <protection locked="0"/>
    </xf>
    <xf numFmtId="1" fontId="0" fillId="0" borderId="0" xfId="0" applyNumberFormat="1"/>
    <xf numFmtId="0" fontId="81" fillId="24" borderId="11" xfId="0" applyFont="1" applyFill="1" applyBorder="1" applyAlignment="1">
      <alignment vertical="center" wrapText="1"/>
    </xf>
    <xf numFmtId="2" fontId="0" fillId="25" borderId="0" xfId="0" applyNumberFormat="1" applyFill="1"/>
    <xf numFmtId="0" fontId="48" fillId="25" borderId="0" xfId="82" applyFont="1" applyFill="1" applyAlignment="1">
      <alignment horizontal="center" wrapText="1"/>
    </xf>
    <xf numFmtId="0" fontId="44" fillId="40" borderId="12" xfId="0" applyFont="1" applyFill="1" applyBorder="1" applyAlignment="1">
      <alignment horizontal="left"/>
    </xf>
    <xf numFmtId="4" fontId="0" fillId="0" borderId="11" xfId="0" applyNumberFormat="1" applyBorder="1"/>
    <xf numFmtId="165" fontId="27" fillId="24" borderId="11" xfId="0" applyNumberFormat="1" applyFont="1" applyFill="1" applyBorder="1" applyAlignment="1">
      <alignment wrapText="1"/>
    </xf>
    <xf numFmtId="3" fontId="27" fillId="24" borderId="11" xfId="0" applyNumberFormat="1" applyFont="1" applyFill="1" applyBorder="1" applyAlignment="1">
      <alignment wrapText="1"/>
    </xf>
    <xf numFmtId="3" fontId="48" fillId="24" borderId="17" xfId="0" applyNumberFormat="1" applyFont="1" applyFill="1" applyBorder="1" applyAlignment="1">
      <alignment horizontal="left" vertical="center" wrapText="1"/>
    </xf>
    <xf numFmtId="3" fontId="48" fillId="24" borderId="11" xfId="0" applyNumberFormat="1" applyFont="1" applyFill="1" applyBorder="1" applyAlignment="1">
      <alignment horizontal="left" vertical="center" wrapText="1"/>
    </xf>
    <xf numFmtId="3" fontId="39" fillId="43" borderId="0" xfId="0" applyNumberFormat="1" applyFont="1" applyFill="1"/>
    <xf numFmtId="3" fontId="39" fillId="43" borderId="20" xfId="0" applyNumberFormat="1" applyFont="1" applyFill="1" applyBorder="1"/>
    <xf numFmtId="3" fontId="44" fillId="24" borderId="11" xfId="0" applyNumberFormat="1" applyFont="1" applyFill="1" applyBorder="1" applyAlignment="1">
      <alignment horizontal="center" wrapText="1"/>
    </xf>
    <xf numFmtId="3" fontId="64" fillId="44" borderId="20" xfId="0" applyNumberFormat="1" applyFont="1" applyFill="1" applyBorder="1" applyAlignment="1">
      <alignment horizontal="center"/>
    </xf>
    <xf numFmtId="3" fontId="39" fillId="44" borderId="20" xfId="0" applyNumberFormat="1" applyFont="1" applyFill="1" applyBorder="1"/>
    <xf numFmtId="3" fontId="0" fillId="24" borderId="17" xfId="0" applyNumberFormat="1" applyFill="1" applyBorder="1"/>
    <xf numFmtId="3" fontId="0" fillId="24" borderId="0" xfId="0" applyNumberFormat="1" applyFill="1"/>
    <xf numFmtId="3" fontId="0" fillId="24" borderId="20" xfId="0" applyNumberFormat="1" applyFill="1" applyBorder="1"/>
    <xf numFmtId="3" fontId="0" fillId="24" borderId="11" xfId="0" applyNumberFormat="1" applyFill="1" applyBorder="1"/>
    <xf numFmtId="164" fontId="46" fillId="24" borderId="11" xfId="0" applyNumberFormat="1" applyFont="1" applyFill="1" applyBorder="1"/>
    <xf numFmtId="165" fontId="46" fillId="24" borderId="11" xfId="82" applyNumberFormat="1" applyFont="1" applyFill="1" applyBorder="1" applyAlignment="1">
      <alignment horizontal="right" wrapText="1"/>
    </xf>
    <xf numFmtId="0" fontId="48" fillId="24" borderId="20" xfId="82" applyFont="1" applyFill="1" applyBorder="1"/>
    <xf numFmtId="0" fontId="48" fillId="24" borderId="53" xfId="82" applyFont="1" applyFill="1" applyBorder="1" applyAlignment="1">
      <alignment horizontal="center"/>
    </xf>
    <xf numFmtId="166" fontId="46" fillId="0" borderId="21" xfId="56" applyNumberFormat="1" applyFont="1" applyFill="1" applyBorder="1" applyProtection="1">
      <protection locked="0"/>
    </xf>
    <xf numFmtId="0" fontId="41" fillId="0" borderId="47" xfId="0" applyFont="1" applyBorder="1"/>
    <xf numFmtId="0" fontId="45" fillId="0" borderId="47" xfId="82" applyFont="1" applyBorder="1"/>
    <xf numFmtId="0" fontId="48" fillId="24" borderId="36" xfId="82" applyFont="1" applyFill="1" applyBorder="1"/>
    <xf numFmtId="0" fontId="46" fillId="24" borderId="37" xfId="82" applyFont="1" applyFill="1" applyBorder="1"/>
    <xf numFmtId="0" fontId="46" fillId="24" borderId="38" xfId="82" applyFont="1" applyFill="1" applyBorder="1"/>
    <xf numFmtId="0" fontId="48" fillId="24" borderId="45" xfId="82" applyFont="1" applyFill="1" applyBorder="1" applyAlignment="1">
      <alignment horizontal="center" wrapText="1"/>
    </xf>
    <xf numFmtId="0" fontId="48" fillId="24" borderId="57" xfId="82" applyFont="1" applyFill="1" applyBorder="1" applyAlignment="1">
      <alignment horizontal="center" wrapText="1"/>
    </xf>
    <xf numFmtId="0" fontId="48" fillId="24" borderId="58" xfId="82" applyFont="1" applyFill="1" applyBorder="1" applyAlignment="1">
      <alignment horizontal="center" wrapText="1"/>
    </xf>
    <xf numFmtId="0" fontId="48" fillId="24" borderId="59" xfId="82" applyFont="1" applyFill="1" applyBorder="1" applyAlignment="1">
      <alignment horizontal="center" wrapText="1"/>
    </xf>
    <xf numFmtId="0" fontId="46" fillId="0" borderId="44" xfId="82" applyFont="1" applyBorder="1" applyAlignment="1" applyProtection="1">
      <alignment horizontal="center"/>
      <protection locked="0"/>
    </xf>
    <xf numFmtId="166" fontId="46" fillId="0" borderId="24" xfId="56" applyNumberFormat="1" applyFont="1" applyFill="1" applyBorder="1" applyProtection="1">
      <protection locked="0"/>
    </xf>
    <xf numFmtId="0" fontId="46" fillId="0" borderId="23" xfId="82" applyFont="1" applyBorder="1" applyAlignment="1" applyProtection="1">
      <alignment horizontal="center"/>
      <protection locked="0"/>
    </xf>
    <xf numFmtId="166" fontId="46" fillId="0" borderId="34" xfId="56" applyNumberFormat="1" applyFont="1" applyFill="1" applyBorder="1" applyProtection="1">
      <protection locked="0"/>
    </xf>
    <xf numFmtId="0" fontId="46" fillId="0" borderId="27" xfId="82" applyFont="1" applyBorder="1" applyAlignment="1" applyProtection="1">
      <alignment horizontal="center"/>
      <protection locked="0"/>
    </xf>
    <xf numFmtId="0" fontId="46" fillId="0" borderId="28" xfId="82" applyFont="1" applyBorder="1" applyAlignment="1" applyProtection="1">
      <alignment horizontal="center"/>
      <protection locked="0"/>
    </xf>
    <xf numFmtId="166" fontId="46" fillId="0" borderId="28" xfId="56" applyNumberFormat="1" applyFont="1" applyFill="1" applyBorder="1" applyProtection="1">
      <protection locked="0"/>
    </xf>
    <xf numFmtId="166" fontId="46" fillId="0" borderId="26" xfId="56" applyNumberFormat="1" applyFont="1" applyFill="1" applyBorder="1" applyProtection="1">
      <protection locked="0"/>
    </xf>
    <xf numFmtId="0" fontId="46" fillId="24" borderId="0" xfId="82" applyFont="1" applyFill="1" applyAlignment="1" applyProtection="1">
      <alignment horizontal="center"/>
      <protection locked="0"/>
    </xf>
    <xf numFmtId="166" fontId="46" fillId="24" borderId="0" xfId="56" applyNumberFormat="1" applyFont="1" applyFill="1" applyBorder="1" applyProtection="1">
      <protection locked="0"/>
    </xf>
    <xf numFmtId="0" fontId="46" fillId="0" borderId="60" xfId="82" applyFont="1" applyBorder="1" applyAlignment="1" applyProtection="1">
      <alignment horizontal="center"/>
      <protection locked="0"/>
    </xf>
    <xf numFmtId="0" fontId="46" fillId="0" borderId="61" xfId="82" applyFont="1" applyBorder="1" applyAlignment="1" applyProtection="1">
      <alignment horizontal="center"/>
      <protection locked="0"/>
    </xf>
    <xf numFmtId="166" fontId="46" fillId="0" borderId="61" xfId="56" applyNumberFormat="1" applyFont="1" applyFill="1" applyBorder="1" applyProtection="1">
      <protection locked="0"/>
    </xf>
    <xf numFmtId="166" fontId="46" fillId="0" borderId="62" xfId="56" applyNumberFormat="1" applyFont="1" applyFill="1" applyBorder="1" applyProtection="1">
      <protection locked="0"/>
    </xf>
    <xf numFmtId="175" fontId="46" fillId="0" borderId="11" xfId="82" applyNumberFormat="1" applyFont="1" applyBorder="1" applyProtection="1">
      <protection locked="0"/>
    </xf>
    <xf numFmtId="168" fontId="46" fillId="25" borderId="11" xfId="82" applyNumberFormat="1" applyFont="1" applyFill="1" applyBorder="1" applyProtection="1">
      <protection locked="0"/>
    </xf>
    <xf numFmtId="166" fontId="46" fillId="0" borderId="12" xfId="56" applyNumberFormat="1" applyFont="1" applyBorder="1" applyProtection="1">
      <protection locked="0"/>
    </xf>
    <xf numFmtId="166" fontId="46" fillId="0" borderId="11" xfId="56" applyNumberFormat="1" applyFont="1" applyBorder="1" applyProtection="1">
      <protection locked="0"/>
    </xf>
    <xf numFmtId="175" fontId="46" fillId="25" borderId="11" xfId="82" applyNumberFormat="1" applyFont="1" applyFill="1" applyBorder="1" applyProtection="1">
      <protection locked="0"/>
    </xf>
    <xf numFmtId="164" fontId="0" fillId="0" borderId="0" xfId="0" applyNumberFormat="1"/>
    <xf numFmtId="164" fontId="28" fillId="0" borderId="0" xfId="72" applyNumberFormat="1" applyBorder="1" applyAlignment="1" applyProtection="1"/>
    <xf numFmtId="164" fontId="53" fillId="39" borderId="11" xfId="82" applyNumberFormat="1" applyFont="1" applyFill="1" applyBorder="1" applyProtection="1">
      <protection locked="0"/>
    </xf>
    <xf numFmtId="0" fontId="0" fillId="0" borderId="0" xfId="0" applyProtection="1">
      <protection locked="0"/>
    </xf>
    <xf numFmtId="4" fontId="0" fillId="0" borderId="17" xfId="0" applyNumberFormat="1" applyBorder="1"/>
    <xf numFmtId="3" fontId="0" fillId="25" borderId="11" xfId="0" applyNumberFormat="1" applyFill="1" applyBorder="1" applyProtection="1">
      <protection locked="0"/>
    </xf>
    <xf numFmtId="0" fontId="0" fillId="25" borderId="11" xfId="0" applyFill="1" applyBorder="1"/>
    <xf numFmtId="3" fontId="0" fillId="25" borderId="11" xfId="0" applyNumberFormat="1" applyFill="1" applyBorder="1"/>
    <xf numFmtId="0" fontId="46" fillId="39" borderId="12" xfId="82" applyFont="1" applyFill="1" applyBorder="1" applyAlignment="1">
      <alignment horizontal="right" wrapText="1"/>
    </xf>
    <xf numFmtId="0" fontId="46" fillId="25" borderId="0" xfId="82" applyFont="1" applyFill="1"/>
    <xf numFmtId="0" fontId="28" fillId="25" borderId="0" xfId="72" applyFill="1" applyAlignment="1" applyProtection="1">
      <alignment vertical="top"/>
    </xf>
    <xf numFmtId="0" fontId="50" fillId="25" borderId="0" xfId="72" applyFont="1" applyFill="1" applyAlignment="1" applyProtection="1">
      <alignment vertical="top"/>
    </xf>
    <xf numFmtId="4" fontId="0" fillId="45" borderId="10" xfId="0" applyNumberFormat="1" applyFill="1" applyBorder="1"/>
    <xf numFmtId="0" fontId="39" fillId="44" borderId="47" xfId="0" applyFont="1" applyFill="1" applyBorder="1"/>
    <xf numFmtId="0" fontId="86" fillId="0" borderId="11" xfId="0" applyFont="1" applyBorder="1" applyAlignment="1">
      <alignment vertical="center" wrapText="1"/>
    </xf>
    <xf numFmtId="0" fontId="36" fillId="0" borderId="11" xfId="0" applyFont="1" applyBorder="1" applyAlignment="1">
      <alignment vertical="center" wrapText="1"/>
    </xf>
    <xf numFmtId="8" fontId="36" fillId="25" borderId="11" xfId="0" applyNumberFormat="1" applyFont="1" applyFill="1" applyBorder="1" applyAlignment="1" applyProtection="1">
      <alignment vertical="center" wrapText="1"/>
      <protection locked="0"/>
    </xf>
    <xf numFmtId="0" fontId="36" fillId="39" borderId="11" xfId="0" applyFont="1" applyFill="1" applyBorder="1" applyAlignment="1" applyProtection="1">
      <alignment vertical="center" wrapText="1"/>
      <protection locked="0"/>
    </xf>
    <xf numFmtId="166" fontId="0" fillId="0" borderId="0" xfId="56" applyNumberFormat="1" applyFont="1"/>
    <xf numFmtId="0" fontId="44" fillId="0" borderId="11" xfId="0" applyFont="1" applyBorder="1" applyAlignment="1">
      <alignment horizontal="left" wrapText="1"/>
    </xf>
    <xf numFmtId="0" fontId="44" fillId="0" borderId="11" xfId="0" applyFont="1" applyBorder="1" applyAlignment="1">
      <alignment wrapText="1"/>
    </xf>
    <xf numFmtId="0" fontId="44" fillId="25" borderId="11" xfId="0" applyFont="1" applyFill="1" applyBorder="1" applyAlignment="1">
      <alignment wrapText="1"/>
    </xf>
    <xf numFmtId="164" fontId="36" fillId="25" borderId="11" xfId="0" applyNumberFormat="1" applyFont="1" applyFill="1" applyBorder="1" applyAlignment="1">
      <alignment vertical="center" wrapText="1"/>
    </xf>
    <xf numFmtId="0" fontId="36" fillId="25" borderId="11" xfId="0" applyFont="1" applyFill="1" applyBorder="1" applyAlignment="1" applyProtection="1">
      <alignment vertical="center" wrapText="1"/>
      <protection locked="0"/>
    </xf>
    <xf numFmtId="0" fontId="44" fillId="0" borderId="11" xfId="0" applyFont="1" applyBorder="1" applyAlignment="1">
      <alignment horizontal="center" vertical="center" wrapText="1"/>
    </xf>
    <xf numFmtId="0" fontId="44" fillId="25" borderId="11" xfId="0" applyFont="1" applyFill="1" applyBorder="1" applyAlignment="1">
      <alignment horizontal="center" vertical="center" wrapText="1"/>
    </xf>
    <xf numFmtId="0" fontId="77" fillId="0" borderId="0" xfId="0" applyFont="1"/>
    <xf numFmtId="0" fontId="46" fillId="25" borderId="0" xfId="82" applyFont="1" applyFill="1" applyAlignment="1" applyProtection="1">
      <alignment horizontal="center"/>
      <protection locked="0"/>
    </xf>
    <xf numFmtId="166" fontId="46" fillId="25" borderId="0" xfId="56" applyNumberFormat="1" applyFont="1" applyFill="1" applyBorder="1" applyAlignment="1" applyProtection="1">
      <alignment horizontal="right"/>
      <protection locked="0"/>
    </xf>
    <xf numFmtId="164" fontId="53" fillId="25" borderId="0" xfId="82" applyNumberFormat="1" applyFont="1" applyFill="1" applyProtection="1">
      <protection locked="0"/>
    </xf>
    <xf numFmtId="0" fontId="53" fillId="0" borderId="0" xfId="72" applyFont="1" applyFill="1" applyAlignment="1" applyProtection="1">
      <alignment vertical="top"/>
    </xf>
    <xf numFmtId="0" fontId="77" fillId="0" borderId="20" xfId="0" applyFont="1" applyBorder="1"/>
    <xf numFmtId="164" fontId="46" fillId="0" borderId="18" xfId="0" applyNumberFormat="1" applyFont="1" applyBorder="1"/>
    <xf numFmtId="0" fontId="36" fillId="0" borderId="11" xfId="0" applyFont="1" applyBorder="1" applyAlignment="1">
      <alignment horizontal="center" vertical="center" wrapText="1"/>
    </xf>
    <xf numFmtId="3" fontId="0" fillId="39" borderId="11" xfId="0" applyNumberFormat="1" applyFill="1" applyBorder="1" applyProtection="1">
      <protection locked="0"/>
    </xf>
    <xf numFmtId="0" fontId="0" fillId="25" borderId="10" xfId="0" applyFill="1" applyBorder="1" applyAlignment="1" applyProtection="1">
      <alignment horizontal="right"/>
      <protection locked="0"/>
    </xf>
    <xf numFmtId="0" fontId="0" fillId="24" borderId="14" xfId="0" applyFill="1" applyBorder="1" applyProtection="1">
      <protection locked="0"/>
    </xf>
    <xf numFmtId="0" fontId="0" fillId="24" borderId="63" xfId="0" applyFill="1" applyBorder="1" applyAlignment="1" applyProtection="1">
      <alignment horizontal="right"/>
      <protection locked="0"/>
    </xf>
    <xf numFmtId="0" fontId="0" fillId="24" borderId="15" xfId="0" applyFill="1" applyBorder="1" applyAlignment="1" applyProtection="1">
      <alignment horizontal="right"/>
      <protection locked="0"/>
    </xf>
    <xf numFmtId="168" fontId="0" fillId="24" borderId="15" xfId="0" applyNumberFormat="1" applyFill="1" applyBorder="1" applyProtection="1">
      <protection locked="0"/>
    </xf>
    <xf numFmtId="168" fontId="0" fillId="25" borderId="0" xfId="0" applyNumberFormat="1" applyFill="1" applyProtection="1">
      <protection locked="0"/>
    </xf>
    <xf numFmtId="9" fontId="0" fillId="39" borderId="11" xfId="0" applyNumberFormat="1" applyFill="1" applyBorder="1" applyProtection="1">
      <protection locked="0"/>
    </xf>
    <xf numFmtId="0" fontId="0" fillId="24" borderId="11" xfId="0" applyFill="1" applyBorder="1" applyAlignment="1" applyProtection="1">
      <alignment horizontal="center" wrapText="1"/>
      <protection locked="0"/>
    </xf>
    <xf numFmtId="0" fontId="0" fillId="24" borderId="12" xfId="0" applyFill="1" applyBorder="1" applyAlignment="1" applyProtection="1">
      <alignment horizontal="center" wrapText="1"/>
      <protection locked="0"/>
    </xf>
    <xf numFmtId="164" fontId="36" fillId="39" borderId="11" xfId="0" applyNumberFormat="1" applyFont="1" applyFill="1" applyBorder="1" applyAlignment="1" applyProtection="1">
      <alignment vertical="center" wrapText="1"/>
      <protection locked="0"/>
    </xf>
    <xf numFmtId="165" fontId="0" fillId="39" borderId="12" xfId="0" applyNumberFormat="1" applyFill="1" applyBorder="1" applyProtection="1">
      <protection locked="0"/>
    </xf>
    <xf numFmtId="0" fontId="0" fillId="0" borderId="17" xfId="0" applyBorder="1" applyAlignment="1">
      <alignment horizontal="left"/>
    </xf>
    <xf numFmtId="0" fontId="0" fillId="0" borderId="20" xfId="0" applyBorder="1" applyAlignment="1">
      <alignment horizontal="left"/>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44" fillId="24" borderId="12" xfId="0" applyFont="1" applyFill="1" applyBorder="1" applyAlignment="1">
      <alignment horizontal="center"/>
    </xf>
    <xf numFmtId="0" fontId="44" fillId="24" borderId="20" xfId="0" applyFont="1" applyFill="1" applyBorder="1" applyAlignment="1">
      <alignment horizontal="center"/>
    </xf>
    <xf numFmtId="0" fontId="44" fillId="24" borderId="17" xfId="0" applyFont="1" applyFill="1" applyBorder="1" applyAlignment="1">
      <alignment horizontal="center"/>
    </xf>
    <xf numFmtId="2" fontId="44" fillId="24" borderId="11" xfId="0" applyNumberFormat="1" applyFont="1" applyFill="1" applyBorder="1" applyAlignment="1">
      <alignment horizontal="center"/>
    </xf>
    <xf numFmtId="0" fontId="74" fillId="24" borderId="12" xfId="82" applyFont="1" applyFill="1" applyBorder="1" applyAlignment="1">
      <alignment horizontal="center"/>
    </xf>
    <xf numFmtId="0" fontId="74" fillId="24" borderId="20" xfId="82" applyFont="1" applyFill="1" applyBorder="1" applyAlignment="1">
      <alignment horizontal="center"/>
    </xf>
    <xf numFmtId="0" fontId="74" fillId="24" borderId="17" xfId="82" applyFont="1" applyFill="1" applyBorder="1" applyAlignment="1">
      <alignment horizontal="center"/>
    </xf>
    <xf numFmtId="0" fontId="74" fillId="24" borderId="11" xfId="82" applyFont="1" applyFill="1" applyBorder="1" applyAlignment="1">
      <alignment horizontal="center"/>
    </xf>
    <xf numFmtId="0" fontId="0" fillId="0" borderId="11" xfId="0" applyBorder="1" applyAlignment="1">
      <alignment horizontal="left" wrapText="1"/>
    </xf>
    <xf numFmtId="0" fontId="76" fillId="25" borderId="12" xfId="82" applyFont="1" applyFill="1" applyBorder="1" applyAlignment="1">
      <alignment horizontal="center"/>
    </xf>
    <xf numFmtId="0" fontId="76" fillId="25" borderId="20" xfId="82" applyFont="1" applyFill="1" applyBorder="1" applyAlignment="1">
      <alignment horizontal="center"/>
    </xf>
    <xf numFmtId="0" fontId="76" fillId="25" borderId="17" xfId="82" applyFont="1" applyFill="1" applyBorder="1" applyAlignment="1">
      <alignment horizontal="center"/>
    </xf>
    <xf numFmtId="0" fontId="48" fillId="24" borderId="12" xfId="0" applyFont="1" applyFill="1" applyBorder="1" applyAlignment="1">
      <alignment horizontal="center" vertical="center"/>
    </xf>
    <xf numFmtId="0" fontId="48" fillId="24" borderId="20" xfId="0" applyFont="1" applyFill="1" applyBorder="1" applyAlignment="1">
      <alignment horizontal="center" vertical="center"/>
    </xf>
    <xf numFmtId="0" fontId="48" fillId="24" borderId="17" xfId="0" applyFont="1" applyFill="1" applyBorder="1" applyAlignment="1">
      <alignment horizontal="center" vertical="center"/>
    </xf>
    <xf numFmtId="0" fontId="0" fillId="39" borderId="11" xfId="82" applyFont="1" applyFill="1" applyBorder="1" applyAlignment="1">
      <alignment vertical="top" wrapText="1"/>
    </xf>
    <xf numFmtId="0" fontId="0" fillId="39" borderId="11" xfId="0" applyFill="1" applyBorder="1" applyAlignment="1">
      <alignment wrapText="1"/>
    </xf>
    <xf numFmtId="0" fontId="0" fillId="39" borderId="12" xfId="0" applyFill="1" applyBorder="1" applyAlignment="1">
      <alignment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rukcancerintelligence.shinyapps.io/EarlyDiagnosis/"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estimates/bulletins/populationestimatesforenglandandwales/mid2023" TargetMode="External"/><Relationship Id="rId7" Type="http://schemas.openxmlformats.org/officeDocument/2006/relationships/hyperlink" Target="https://digital.nhs.uk/data-and-information/publications/statistical/cancer-registration-statistics/england-2022" TargetMode="External"/><Relationship Id="rId12" Type="http://schemas.openxmlformats.org/officeDocument/2006/relationships/vmlDrawing" Target="../drawings/vmlDrawing2.vml"/><Relationship Id="rId2" Type="http://schemas.openxmlformats.org/officeDocument/2006/relationships/hyperlink" Target="https://pmc.ncbi.nlm.nih.gov/articles/PMC2812484/" TargetMode="External"/><Relationship Id="rId1" Type="http://schemas.openxmlformats.org/officeDocument/2006/relationships/hyperlink" Target="https://pmc.ncbi.nlm.nih.gov/articles/PMC2812484/" TargetMode="External"/><Relationship Id="rId6" Type="http://schemas.openxmlformats.org/officeDocument/2006/relationships/hyperlink" Target="https://digital.nhs.uk/data-and-information/publications/statistical/patients-registered-at-a-gp-practice/february-2025" TargetMode="External"/><Relationship Id="rId11" Type="http://schemas.openxmlformats.org/officeDocument/2006/relationships/printerSettings" Target="../printerSettings/printerSettings4.bin"/><Relationship Id="rId5" Type="http://schemas.openxmlformats.org/officeDocument/2006/relationships/hyperlink" Target="https://www.ons.gov.uk/peoplepopulationandcommunity/populationandmigration/populationprojections/bulletins/nationalpopulationprojections/2022based" TargetMode="External"/><Relationship Id="rId10" Type="http://schemas.openxmlformats.org/officeDocument/2006/relationships/hyperlink" Target="https://digital.nhs.uk/data-and-information/publications/statistical/health-survey-for-england/2021/health-survey-for-england-2021-data-tables" TargetMode="External"/><Relationship Id="rId4" Type="http://schemas.openxmlformats.org/officeDocument/2006/relationships/hyperlink" Target="https://www.nisra.gov.uk/publications/2023-mid-year-population-estimates-northern-ireland" TargetMode="External"/><Relationship Id="rId9" Type="http://schemas.openxmlformats.org/officeDocument/2006/relationships/hyperlink" Target="https://www.cancerresearchuk.org/about-cancer/bladder-cancer/types-stages-grades/typ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5" Type="http://schemas.openxmlformats.org/officeDocument/2006/relationships/hyperlink" Target="https://www.england.nhs.uk/pay-syst/national-tariff/national-tariff-payment-system/" TargetMode="External"/><Relationship Id="rId10" Type="http://schemas.openxmlformats.org/officeDocument/2006/relationships/printerSettings" Target="../printerSettings/printerSettings7.bin"/><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gov.uk/government/publications/drugs-and-pharmaceutical-electronic-market-information-emi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C9" zoomScale="75" zoomScaleNormal="75" workbookViewId="0">
      <selection activeCell="C1344" sqref="A1344:XFD1344"/>
    </sheetView>
  </sheetViews>
  <sheetFormatPr defaultColWidth="9.140625" defaultRowHeight="14.25" x14ac:dyDescent="0.2"/>
  <cols>
    <col min="1" max="1" width="24.42578125" style="10" customWidth="1"/>
    <col min="2" max="2" width="49.42578125" style="10" customWidth="1"/>
    <col min="3" max="3" width="63.5703125" style="14" customWidth="1"/>
    <col min="4" max="4" width="20.42578125" style="10" customWidth="1"/>
    <col min="5" max="12" width="21" style="10" customWidth="1"/>
    <col min="13" max="13" width="16.42578125" style="10" customWidth="1"/>
    <col min="14" max="14" width="15.5703125" style="10" customWidth="1"/>
    <col min="15" max="15" width="14.140625" style="10" customWidth="1"/>
    <col min="16" max="16" width="10.85546875" style="10" customWidth="1"/>
    <col min="17" max="17" width="15.140625" style="11" customWidth="1"/>
    <col min="18" max="18" width="20.140625" style="11" customWidth="1"/>
    <col min="19" max="42" width="10.85546875" style="11" customWidth="1"/>
    <col min="43" max="50" width="10.85546875" style="12" customWidth="1"/>
    <col min="51" max="105" width="10.85546875" style="1" customWidth="1"/>
    <col min="106" max="106" width="11.42578125" style="1" customWidth="1"/>
    <col min="107" max="193" width="10.85546875" style="10" customWidth="1"/>
    <col min="194" max="194" width="10.42578125" style="10" customWidth="1"/>
    <col min="195" max="16384" width="9.140625" style="10"/>
  </cols>
  <sheetData>
    <row r="1" spans="2:106" ht="15" x14ac:dyDescent="0.25">
      <c r="C1" s="657" t="s">
        <v>0</v>
      </c>
    </row>
    <row r="2" spans="2:106" ht="15" x14ac:dyDescent="0.25">
      <c r="B2" s="9" t="s">
        <v>1</v>
      </c>
    </row>
    <row r="3" spans="2:106" x14ac:dyDescent="0.2">
      <c r="B3" s="84" t="s">
        <v>2</v>
      </c>
      <c r="C3" s="779"/>
      <c r="D3" s="780"/>
      <c r="E3" s="780"/>
      <c r="F3" s="780"/>
      <c r="G3" s="781"/>
    </row>
    <row r="4" spans="2:106" ht="15" x14ac:dyDescent="0.25">
      <c r="B4" s="85"/>
      <c r="C4" s="86"/>
      <c r="D4" s="7"/>
      <c r="E4" s="7"/>
      <c r="F4" s="7"/>
      <c r="G4" s="87"/>
      <c r="L4" s="9" t="s">
        <v>3</v>
      </c>
      <c r="M4" s="9" t="s">
        <v>3</v>
      </c>
      <c r="N4" s="9" t="s">
        <v>4</v>
      </c>
      <c r="O4" s="9" t="s">
        <v>4</v>
      </c>
      <c r="P4" s="9" t="s">
        <v>5</v>
      </c>
      <c r="R4" s="156" t="s">
        <v>6</v>
      </c>
      <c r="S4" s="156" t="s">
        <v>7</v>
      </c>
      <c r="T4" s="156" t="s">
        <v>8</v>
      </c>
      <c r="V4" s="156" t="s">
        <v>9</v>
      </c>
    </row>
    <row r="5" spans="2:106" ht="28.5" x14ac:dyDescent="0.2">
      <c r="B5" s="88" t="s">
        <v>10</v>
      </c>
      <c r="C5" s="86"/>
      <c r="D5" s="7"/>
      <c r="E5" s="7"/>
      <c r="F5" s="7"/>
      <c r="G5" s="87"/>
      <c r="L5" s="15" t="s">
        <v>11</v>
      </c>
      <c r="M5" s="15" t="s">
        <v>12</v>
      </c>
      <c r="N5" s="15" t="s">
        <v>13</v>
      </c>
      <c r="O5" s="15" t="s">
        <v>14</v>
      </c>
      <c r="P5" s="18"/>
      <c r="Q5" s="16"/>
      <c r="R5" s="15" t="s">
        <v>14</v>
      </c>
      <c r="S5" s="126" t="s">
        <v>15</v>
      </c>
      <c r="V5" s="127">
        <v>4</v>
      </c>
    </row>
    <row r="6" spans="2:106" ht="15" x14ac:dyDescent="0.25">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2" t="s">
        <v>19</v>
      </c>
      <c r="S6" s="126" t="s">
        <v>20</v>
      </c>
      <c r="V6" s="127">
        <v>5</v>
      </c>
    </row>
    <row r="7" spans="2:106" x14ac:dyDescent="0.2">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2" t="s">
        <v>23</v>
      </c>
      <c r="S7" s="356"/>
      <c r="V7" s="127">
        <v>6</v>
      </c>
    </row>
    <row r="8" spans="2:106" ht="19.7" customHeight="1" x14ac:dyDescent="0.2">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7" customHeight="1" x14ac:dyDescent="0.2">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x14ac:dyDescent="0.2">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ht="15" x14ac:dyDescent="0.25">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2">
      <c r="B12" s="14"/>
      <c r="D12" s="181" t="s">
        <v>37</v>
      </c>
      <c r="E12" s="181"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5.95" customHeight="1" x14ac:dyDescent="0.2">
      <c r="B13" s="182" t="s">
        <v>41</v>
      </c>
      <c r="C13" s="182" t="s">
        <v>42</v>
      </c>
      <c r="D13" s="25" t="s">
        <v>43</v>
      </c>
      <c r="E13" s="25" t="s">
        <v>44</v>
      </c>
      <c r="F13" s="182"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62">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83"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847</v>
      </c>
      <c r="M14" s="20" t="s">
        <v>48</v>
      </c>
      <c r="N14" s="20" t="str">
        <f>'Inputs and population'!$D$11</f>
        <v>National</v>
      </c>
      <c r="O14" s="20" t="str">
        <f>IFERROR(VLOOKUP('Inputs and population'!$D$11, $L$5:$M$14, 2, FALSE), "-")</f>
        <v>NATIONAL</v>
      </c>
      <c r="P14" s="15" t="b">
        <f>ISTEXT('Inputs and population'!$D$12)</f>
        <v>1</v>
      </c>
      <c r="V14" s="127" t="s">
        <v>49</v>
      </c>
    </row>
    <row r="15" spans="2:106" x14ac:dyDescent="0.2">
      <c r="B15" s="183"/>
      <c r="C15" s="19"/>
      <c r="D15" s="83"/>
      <c r="E15" s="83"/>
      <c r="F15" s="19"/>
      <c r="L15" s="20"/>
      <c r="M15" s="20"/>
      <c r="N15" s="20"/>
      <c r="O15" s="20"/>
      <c r="P15" s="20"/>
      <c r="V15" s="127" t="s">
        <v>50</v>
      </c>
    </row>
    <row r="16" spans="2:106" ht="15" x14ac:dyDescent="0.25">
      <c r="B16" s="184" t="s">
        <v>51</v>
      </c>
      <c r="C16" s="185">
        <f>IF(C15&gt;0,C14,C15)</f>
        <v>0</v>
      </c>
      <c r="D16" s="185">
        <f>IF(D15&gt;0,D14,D15)</f>
        <v>0</v>
      </c>
      <c r="E16" s="185">
        <f>IF(E15&gt;0,E14,E15)</f>
        <v>0</v>
      </c>
      <c r="F16" s="185">
        <f>SUM(F15)</f>
        <v>0</v>
      </c>
      <c r="L16" s="21"/>
      <c r="M16" s="21"/>
      <c r="P16" s="354">
        <f>COUNTIF(P6:P14, TRUE)</f>
        <v>9</v>
      </c>
    </row>
    <row r="17" spans="1:194" ht="15" x14ac:dyDescent="0.25">
      <c r="Q17" s="22"/>
      <c r="R17" s="22"/>
    </row>
    <row r="18" spans="1:194" ht="45.6" customHeight="1" x14ac:dyDescent="0.2">
      <c r="B18" s="82"/>
      <c r="C18" s="131"/>
      <c r="D18" s="25" t="s">
        <v>37</v>
      </c>
      <c r="E18" s="25" t="s">
        <v>37</v>
      </c>
      <c r="F18" s="82"/>
      <c r="I18" s="82"/>
      <c r="J18" s="82"/>
      <c r="K18" s="23"/>
      <c r="N18" s="23"/>
    </row>
    <row r="19" spans="1:194" ht="23.25" customHeight="1" x14ac:dyDescent="0.25">
      <c r="D19" s="186">
        <v>2</v>
      </c>
      <c r="E19" s="186">
        <v>3</v>
      </c>
      <c r="F19" s="186">
        <v>4</v>
      </c>
      <c r="G19" s="186">
        <v>5</v>
      </c>
      <c r="H19" s="186">
        <v>6</v>
      </c>
      <c r="K19" s="23"/>
    </row>
    <row r="20" spans="1:194" s="1" customFormat="1" ht="48" customHeight="1" x14ac:dyDescent="0.25">
      <c r="A20" s="113" t="s">
        <v>13</v>
      </c>
      <c r="B20" s="112" t="s">
        <v>52</v>
      </c>
      <c r="C20" s="112" t="s">
        <v>53</v>
      </c>
      <c r="D20" s="74" t="s">
        <v>54</v>
      </c>
      <c r="E20" s="74" t="s">
        <v>54</v>
      </c>
      <c r="F20" s="74" t="s">
        <v>55</v>
      </c>
      <c r="G20" s="74" t="s">
        <v>55</v>
      </c>
      <c r="H20" s="74" t="s">
        <v>55</v>
      </c>
      <c r="I20" s="112" t="s">
        <v>54</v>
      </c>
      <c r="J20" s="112" t="s">
        <v>54</v>
      </c>
      <c r="K20" s="112" t="s">
        <v>56</v>
      </c>
      <c r="L20" s="112" t="s">
        <v>56</v>
      </c>
      <c r="M20" s="114" t="s">
        <v>57</v>
      </c>
      <c r="N20" s="782"/>
      <c r="O20" s="782"/>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2"/>
      <c r="BG20" s="782"/>
      <c r="BH20" s="782"/>
      <c r="BI20" s="782"/>
      <c r="BJ20" s="782"/>
      <c r="BK20" s="782"/>
      <c r="BL20" s="782"/>
      <c r="BM20" s="782"/>
      <c r="BN20" s="782"/>
      <c r="BO20" s="782"/>
      <c r="BP20" s="782"/>
      <c r="BQ20" s="782"/>
      <c r="BR20" s="782"/>
      <c r="BS20" s="782"/>
      <c r="BT20" s="782"/>
      <c r="BU20" s="782"/>
      <c r="BV20" s="782"/>
      <c r="BW20" s="782"/>
      <c r="BX20" s="782"/>
      <c r="BY20" s="782"/>
      <c r="BZ20" s="782"/>
      <c r="CA20" s="782"/>
      <c r="CB20" s="782"/>
      <c r="CC20" s="782"/>
      <c r="CD20" s="782"/>
      <c r="CE20" s="782"/>
      <c r="CF20" s="782"/>
      <c r="CG20" s="782"/>
      <c r="CH20" s="782"/>
      <c r="CI20" s="782"/>
      <c r="CJ20" s="782"/>
      <c r="CK20" s="782"/>
      <c r="CL20" s="782"/>
      <c r="CM20" s="782"/>
      <c r="CN20" s="782"/>
      <c r="CO20" s="782"/>
      <c r="CP20" s="782"/>
      <c r="CQ20" s="782"/>
      <c r="CR20" s="782"/>
      <c r="CS20" s="782"/>
      <c r="CT20" s="782"/>
      <c r="CU20" s="782"/>
      <c r="CV20" s="782"/>
      <c r="CW20" s="782"/>
      <c r="CX20" s="782"/>
      <c r="CY20" s="783"/>
      <c r="CZ20" s="784" t="s">
        <v>58</v>
      </c>
      <c r="DA20" s="784"/>
      <c r="DB20" s="784"/>
      <c r="DC20" s="784"/>
      <c r="DD20" s="784"/>
      <c r="DE20" s="784"/>
      <c r="DF20" s="784"/>
      <c r="DG20" s="784"/>
      <c r="DH20" s="784"/>
      <c r="DI20" s="784"/>
      <c r="DJ20" s="784"/>
      <c r="DK20" s="784"/>
      <c r="DL20" s="784"/>
      <c r="DM20" s="784"/>
      <c r="DN20" s="784"/>
      <c r="DO20" s="784"/>
      <c r="DP20" s="784"/>
      <c r="DQ20" s="784"/>
      <c r="DR20" s="784"/>
      <c r="DS20" s="784"/>
      <c r="DT20" s="784"/>
      <c r="DU20" s="784"/>
      <c r="DV20" s="784"/>
      <c r="DW20" s="784"/>
      <c r="DX20" s="784"/>
      <c r="DY20" s="784"/>
      <c r="DZ20" s="784"/>
      <c r="EA20" s="784"/>
      <c r="EB20" s="784"/>
      <c r="EC20" s="784"/>
      <c r="ED20" s="784"/>
      <c r="EE20" s="784"/>
      <c r="EF20" s="784"/>
      <c r="EG20" s="784"/>
      <c r="EH20" s="784"/>
      <c r="EI20" s="784"/>
      <c r="EJ20" s="784"/>
      <c r="EK20" s="784"/>
      <c r="EL20" s="784"/>
      <c r="EM20" s="784"/>
      <c r="EN20" s="784"/>
      <c r="EO20" s="784"/>
      <c r="EP20" s="784"/>
      <c r="EQ20" s="784"/>
      <c r="ER20" s="784"/>
      <c r="ES20" s="784"/>
      <c r="ET20" s="784"/>
      <c r="EU20" s="784"/>
      <c r="EV20" s="784"/>
      <c r="EW20" s="784"/>
      <c r="EX20" s="784"/>
      <c r="EY20" s="784"/>
      <c r="EZ20" s="784"/>
      <c r="FA20" s="784"/>
      <c r="FB20" s="784"/>
      <c r="FC20" s="784"/>
      <c r="FD20" s="784"/>
      <c r="FE20" s="784"/>
      <c r="FF20" s="784"/>
      <c r="FG20" s="784"/>
      <c r="FH20" s="784"/>
      <c r="FI20" s="784"/>
      <c r="FJ20" s="784"/>
      <c r="FK20" s="784"/>
      <c r="FL20" s="784"/>
      <c r="FM20" s="784"/>
      <c r="FN20" s="784"/>
      <c r="FO20" s="784"/>
      <c r="FP20" s="784"/>
      <c r="FQ20" s="784"/>
      <c r="FR20" s="784"/>
      <c r="FS20" s="784"/>
      <c r="FT20" s="784"/>
      <c r="FU20" s="784"/>
      <c r="FV20" s="784"/>
      <c r="FW20" s="784"/>
      <c r="FX20" s="784"/>
      <c r="FY20" s="784"/>
      <c r="FZ20" s="784"/>
      <c r="GA20" s="784"/>
      <c r="GB20" s="784"/>
      <c r="GC20" s="784"/>
      <c r="GD20" s="784"/>
      <c r="GE20" s="784"/>
      <c r="GF20" s="784"/>
      <c r="GG20" s="784"/>
      <c r="GH20" s="784"/>
      <c r="GI20" s="784"/>
      <c r="GJ20" s="784"/>
      <c r="GK20" s="784"/>
      <c r="GL20" s="785"/>
    </row>
    <row r="21" spans="1:194" s="8" customFormat="1" ht="30" x14ac:dyDescent="0.25">
      <c r="A21" s="113"/>
      <c r="B21" s="112"/>
      <c r="C21" s="112"/>
      <c r="D21" s="24" t="s">
        <v>43</v>
      </c>
      <c r="E21" s="25" t="s">
        <v>44</v>
      </c>
      <c r="F21" s="74" t="s">
        <v>59</v>
      </c>
      <c r="G21" s="73" t="s">
        <v>57</v>
      </c>
      <c r="H21" s="73" t="s">
        <v>58</v>
      </c>
      <c r="I21" s="74" t="s">
        <v>57</v>
      </c>
      <c r="J21" s="73" t="s">
        <v>58</v>
      </c>
      <c r="K21" s="74" t="s">
        <v>57</v>
      </c>
      <c r="L21" s="26" t="s">
        <v>58</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60</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60</v>
      </c>
    </row>
    <row r="22" spans="1:194" s="1" customFormat="1" x14ac:dyDescent="0.2">
      <c r="A22" s="29"/>
      <c r="B22" s="68"/>
      <c r="C22" s="786"/>
      <c r="D22" s="787"/>
      <c r="E22" s="787"/>
      <c r="F22" s="788"/>
      <c r="G22" s="788"/>
      <c r="H22" s="787"/>
      <c r="I22" s="787"/>
      <c r="J22" s="787"/>
      <c r="K22" s="788"/>
      <c r="L22" s="787"/>
      <c r="M22" s="788"/>
      <c r="N22" s="788"/>
      <c r="O22" s="788"/>
      <c r="P22" s="788"/>
      <c r="Q22" s="788"/>
      <c r="R22" s="788"/>
      <c r="S22" s="788"/>
      <c r="T22" s="788"/>
      <c r="U22" s="788"/>
      <c r="V22" s="788"/>
      <c r="W22" s="788"/>
      <c r="X22" s="788"/>
      <c r="Y22" s="788"/>
      <c r="Z22" s="788"/>
      <c r="AA22" s="788"/>
      <c r="AB22" s="788"/>
      <c r="AC22" s="788"/>
      <c r="AD22" s="788"/>
      <c r="AE22" s="788"/>
      <c r="AF22" s="788"/>
      <c r="AG22" s="788"/>
      <c r="AH22" s="788"/>
      <c r="AI22" s="788"/>
      <c r="AJ22" s="788"/>
      <c r="AK22" s="788"/>
      <c r="AL22" s="788"/>
      <c r="AM22" s="788"/>
      <c r="AN22" s="788"/>
      <c r="AO22" s="788"/>
      <c r="AP22" s="788"/>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7"/>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7"/>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ht="15" x14ac:dyDescent="0.25">
      <c r="A25" s="70" t="s">
        <v>21</v>
      </c>
      <c r="B25" s="469" t="s">
        <v>61</v>
      </c>
      <c r="C25" s="789" t="s">
        <v>62</v>
      </c>
      <c r="D25" s="790">
        <f t="shared" ref="D25:E27" si="3">I25</f>
        <v>22137472</v>
      </c>
      <c r="E25" s="790">
        <f t="shared" si="3"/>
        <v>23554205</v>
      </c>
      <c r="F25" s="791">
        <f>G25+H25</f>
        <v>57690323</v>
      </c>
      <c r="G25" s="791">
        <f>SUM(M25:CY25)</f>
        <v>28283074</v>
      </c>
      <c r="H25" s="792">
        <f>SUM(CZ25:GL25)</f>
        <v>29407249</v>
      </c>
      <c r="I25" s="792">
        <f>SUM(AE25:CY25)</f>
        <v>22137472</v>
      </c>
      <c r="J25" s="792">
        <f>SUM(DR25:GL25)</f>
        <v>23554205</v>
      </c>
      <c r="K25" s="793">
        <f>SUM(M25:AD25)</f>
        <v>6145602</v>
      </c>
      <c r="L25" s="790">
        <f>SUM(CZ25:DQ25)</f>
        <v>5853044</v>
      </c>
      <c r="M25" s="791">
        <v>293933</v>
      </c>
      <c r="N25" s="791">
        <v>312995</v>
      </c>
      <c r="O25" s="791">
        <v>311501</v>
      </c>
      <c r="P25" s="791">
        <v>322067</v>
      </c>
      <c r="Q25" s="791">
        <v>328129</v>
      </c>
      <c r="R25" s="791">
        <v>331735</v>
      </c>
      <c r="S25" s="791">
        <v>339328</v>
      </c>
      <c r="T25" s="791">
        <v>348942</v>
      </c>
      <c r="U25" s="791">
        <v>345591</v>
      </c>
      <c r="V25" s="791">
        <v>347329</v>
      </c>
      <c r="W25" s="791">
        <v>356650</v>
      </c>
      <c r="X25" s="791">
        <v>365469</v>
      </c>
      <c r="Y25" s="791">
        <v>366063</v>
      </c>
      <c r="Z25" s="791">
        <v>360895</v>
      </c>
      <c r="AA25" s="791">
        <v>358117</v>
      </c>
      <c r="AB25" s="791">
        <v>361691</v>
      </c>
      <c r="AC25" s="791">
        <v>349931</v>
      </c>
      <c r="AD25" s="791">
        <v>345236</v>
      </c>
      <c r="AE25" s="791">
        <v>346661</v>
      </c>
      <c r="AF25" s="791">
        <v>349313</v>
      </c>
      <c r="AG25" s="791">
        <v>347749</v>
      </c>
      <c r="AH25" s="791">
        <v>345536</v>
      </c>
      <c r="AI25" s="791">
        <v>345643</v>
      </c>
      <c r="AJ25" s="791">
        <v>355934</v>
      </c>
      <c r="AK25" s="791">
        <v>368759</v>
      </c>
      <c r="AL25" s="791">
        <v>370911</v>
      </c>
      <c r="AM25" s="791">
        <v>376733</v>
      </c>
      <c r="AN25" s="791">
        <v>370426</v>
      </c>
      <c r="AO25" s="791">
        <v>373327</v>
      </c>
      <c r="AP25" s="791">
        <v>380776</v>
      </c>
      <c r="AQ25" s="791">
        <v>380078</v>
      </c>
      <c r="AR25" s="791">
        <v>390686</v>
      </c>
      <c r="AS25" s="791">
        <v>395074</v>
      </c>
      <c r="AT25" s="791">
        <v>392740</v>
      </c>
      <c r="AU25" s="791">
        <v>389629</v>
      </c>
      <c r="AV25" s="791">
        <v>392507</v>
      </c>
      <c r="AW25" s="791">
        <v>383002</v>
      </c>
      <c r="AX25" s="791">
        <v>382093</v>
      </c>
      <c r="AY25" s="791">
        <v>380825</v>
      </c>
      <c r="AZ25" s="791">
        <v>368755</v>
      </c>
      <c r="BA25" s="791">
        <v>368886</v>
      </c>
      <c r="BB25" s="791">
        <v>368552</v>
      </c>
      <c r="BC25" s="791">
        <v>371001</v>
      </c>
      <c r="BD25" s="791">
        <v>373542</v>
      </c>
      <c r="BE25" s="791">
        <v>358913</v>
      </c>
      <c r="BF25" s="791">
        <v>335009</v>
      </c>
      <c r="BG25" s="791">
        <v>329186</v>
      </c>
      <c r="BH25" s="791">
        <v>336077</v>
      </c>
      <c r="BI25" s="791">
        <v>342724</v>
      </c>
      <c r="BJ25" s="791">
        <v>346555</v>
      </c>
      <c r="BK25" s="791">
        <v>359694</v>
      </c>
      <c r="BL25" s="791">
        <v>372431</v>
      </c>
      <c r="BM25" s="791">
        <v>383893</v>
      </c>
      <c r="BN25" s="791">
        <v>374199</v>
      </c>
      <c r="BO25" s="791">
        <v>382036</v>
      </c>
      <c r="BP25" s="791">
        <v>380548</v>
      </c>
      <c r="BQ25" s="791">
        <v>383158</v>
      </c>
      <c r="BR25" s="791">
        <v>379113</v>
      </c>
      <c r="BS25" s="791">
        <v>379303</v>
      </c>
      <c r="BT25" s="791">
        <v>373318</v>
      </c>
      <c r="BU25" s="791">
        <v>363989</v>
      </c>
      <c r="BV25" s="791">
        <v>354500</v>
      </c>
      <c r="BW25" s="791">
        <v>341604</v>
      </c>
      <c r="BX25" s="791">
        <v>326378</v>
      </c>
      <c r="BY25" s="791">
        <v>315915</v>
      </c>
      <c r="BZ25" s="791">
        <v>305908</v>
      </c>
      <c r="CA25" s="791">
        <v>290478</v>
      </c>
      <c r="CB25" s="791">
        <v>278154</v>
      </c>
      <c r="CC25" s="791">
        <v>264200</v>
      </c>
      <c r="CD25" s="791">
        <v>261871</v>
      </c>
      <c r="CE25" s="791">
        <v>255543</v>
      </c>
      <c r="CF25" s="791">
        <v>244170</v>
      </c>
      <c r="CG25" s="791">
        <v>243498</v>
      </c>
      <c r="CH25" s="791">
        <v>242922</v>
      </c>
      <c r="CI25" s="791">
        <v>246267</v>
      </c>
      <c r="CJ25" s="791">
        <v>255937</v>
      </c>
      <c r="CK25" s="791">
        <v>273876</v>
      </c>
      <c r="CL25" s="791">
        <v>203760</v>
      </c>
      <c r="CM25" s="791">
        <v>192397</v>
      </c>
      <c r="CN25" s="791">
        <v>186010</v>
      </c>
      <c r="CO25" s="791">
        <v>165062</v>
      </c>
      <c r="CP25" s="791">
        <v>140882</v>
      </c>
      <c r="CQ25" s="791">
        <v>119224</v>
      </c>
      <c r="CR25" s="791">
        <v>117844</v>
      </c>
      <c r="CS25" s="791">
        <v>110353</v>
      </c>
      <c r="CT25" s="791">
        <v>99978</v>
      </c>
      <c r="CU25" s="791">
        <v>87281</v>
      </c>
      <c r="CV25" s="791">
        <v>74936</v>
      </c>
      <c r="CW25" s="791">
        <v>63762</v>
      </c>
      <c r="CX25" s="791">
        <v>52022</v>
      </c>
      <c r="CY25" s="791">
        <v>173456</v>
      </c>
      <c r="CZ25" s="791">
        <v>279167</v>
      </c>
      <c r="DA25" s="791">
        <v>298988</v>
      </c>
      <c r="DB25" s="791">
        <v>297423</v>
      </c>
      <c r="DC25" s="791">
        <v>307905</v>
      </c>
      <c r="DD25" s="791">
        <v>312529</v>
      </c>
      <c r="DE25" s="791">
        <v>316813</v>
      </c>
      <c r="DF25" s="791">
        <v>324426</v>
      </c>
      <c r="DG25" s="791">
        <v>332617</v>
      </c>
      <c r="DH25" s="791">
        <v>330045</v>
      </c>
      <c r="DI25" s="791">
        <v>331941</v>
      </c>
      <c r="DJ25" s="791">
        <v>339519</v>
      </c>
      <c r="DK25" s="791">
        <v>348893</v>
      </c>
      <c r="DL25" s="791">
        <v>348165</v>
      </c>
      <c r="DM25" s="791">
        <v>343885</v>
      </c>
      <c r="DN25" s="791">
        <v>341284</v>
      </c>
      <c r="DO25" s="791">
        <v>344315</v>
      </c>
      <c r="DP25" s="791">
        <v>330622</v>
      </c>
      <c r="DQ25" s="791">
        <v>324507</v>
      </c>
      <c r="DR25" s="791">
        <v>324547</v>
      </c>
      <c r="DS25" s="791">
        <v>328240</v>
      </c>
      <c r="DT25" s="791">
        <v>325534</v>
      </c>
      <c r="DU25" s="791">
        <v>329081</v>
      </c>
      <c r="DV25" s="791">
        <v>331235</v>
      </c>
      <c r="DW25" s="791">
        <v>345013</v>
      </c>
      <c r="DX25" s="791">
        <v>361888</v>
      </c>
      <c r="DY25" s="791">
        <v>369890</v>
      </c>
      <c r="DZ25" s="791">
        <v>379188</v>
      </c>
      <c r="EA25" s="791">
        <v>375004</v>
      </c>
      <c r="EB25" s="791">
        <v>384557</v>
      </c>
      <c r="EC25" s="791">
        <v>397037</v>
      </c>
      <c r="ED25" s="791">
        <v>399178</v>
      </c>
      <c r="EE25" s="791">
        <v>412384</v>
      </c>
      <c r="EF25" s="791">
        <v>417512</v>
      </c>
      <c r="EG25" s="791">
        <v>419044</v>
      </c>
      <c r="EH25" s="791">
        <v>417098</v>
      </c>
      <c r="EI25" s="791">
        <v>422891</v>
      </c>
      <c r="EJ25" s="791">
        <v>413850</v>
      </c>
      <c r="EK25" s="791">
        <v>408208</v>
      </c>
      <c r="EL25" s="791">
        <v>405771</v>
      </c>
      <c r="EM25" s="791">
        <v>392998</v>
      </c>
      <c r="EN25" s="791">
        <v>392640</v>
      </c>
      <c r="EO25" s="791">
        <v>389013</v>
      </c>
      <c r="EP25" s="791">
        <v>392804</v>
      </c>
      <c r="EQ25" s="791">
        <v>392829</v>
      </c>
      <c r="ER25" s="791">
        <v>375222</v>
      </c>
      <c r="ES25" s="791">
        <v>347593</v>
      </c>
      <c r="ET25" s="791">
        <v>340244</v>
      </c>
      <c r="EU25" s="791">
        <v>346591</v>
      </c>
      <c r="EV25" s="791">
        <v>353283</v>
      </c>
      <c r="EW25" s="791">
        <v>357012</v>
      </c>
      <c r="EX25" s="791">
        <v>369968</v>
      </c>
      <c r="EY25" s="791">
        <v>383711</v>
      </c>
      <c r="EZ25" s="791">
        <v>398952</v>
      </c>
      <c r="FA25" s="791">
        <v>388155</v>
      </c>
      <c r="FB25" s="791">
        <v>395977</v>
      </c>
      <c r="FC25" s="791">
        <v>394307</v>
      </c>
      <c r="FD25" s="791">
        <v>395319</v>
      </c>
      <c r="FE25" s="791">
        <v>395085</v>
      </c>
      <c r="FF25" s="791">
        <v>394913</v>
      </c>
      <c r="FG25" s="791">
        <v>388786</v>
      </c>
      <c r="FH25" s="791">
        <v>378799</v>
      </c>
      <c r="FI25" s="791">
        <v>369231</v>
      </c>
      <c r="FJ25" s="791">
        <v>353273</v>
      </c>
      <c r="FK25" s="791">
        <v>338179</v>
      </c>
      <c r="FL25" s="791">
        <v>328875</v>
      </c>
      <c r="FM25" s="791">
        <v>318729</v>
      </c>
      <c r="FN25" s="791">
        <v>305975</v>
      </c>
      <c r="FO25" s="791">
        <v>293096</v>
      </c>
      <c r="FP25" s="791">
        <v>282116</v>
      </c>
      <c r="FQ25" s="791">
        <v>282344</v>
      </c>
      <c r="FR25" s="791">
        <v>275725</v>
      </c>
      <c r="FS25" s="791">
        <v>267981</v>
      </c>
      <c r="FT25" s="791">
        <v>267569</v>
      </c>
      <c r="FU25" s="791">
        <v>271143</v>
      </c>
      <c r="FV25" s="791">
        <v>275176</v>
      </c>
      <c r="FW25" s="791">
        <v>289150</v>
      </c>
      <c r="FX25" s="791">
        <v>309463</v>
      </c>
      <c r="FY25" s="791">
        <v>234189</v>
      </c>
      <c r="FZ25" s="791">
        <v>223653</v>
      </c>
      <c r="GA25" s="791">
        <v>218690</v>
      </c>
      <c r="GB25" s="791">
        <v>198932</v>
      </c>
      <c r="GC25" s="791">
        <v>173919</v>
      </c>
      <c r="GD25" s="791">
        <v>151373</v>
      </c>
      <c r="GE25" s="791">
        <v>152822</v>
      </c>
      <c r="GF25" s="791">
        <v>146074</v>
      </c>
      <c r="GG25" s="791">
        <v>135895</v>
      </c>
      <c r="GH25" s="791">
        <v>122383</v>
      </c>
      <c r="GI25" s="791">
        <v>109600</v>
      </c>
      <c r="GJ25" s="791">
        <v>96854</v>
      </c>
      <c r="GK25" s="791">
        <v>82610</v>
      </c>
      <c r="GL25" s="791">
        <v>347835</v>
      </c>
    </row>
    <row r="26" spans="1:194" s="8" customFormat="1" ht="15" x14ac:dyDescent="0.25">
      <c r="A26" s="31" t="s">
        <v>21</v>
      </c>
      <c r="B26" s="470" t="s">
        <v>63</v>
      </c>
      <c r="C26" s="32" t="s">
        <v>64</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ht="15" x14ac:dyDescent="0.25">
      <c r="A27" s="37" t="s">
        <v>21</v>
      </c>
      <c r="B27" s="471" t="s">
        <v>65</v>
      </c>
      <c r="C27" s="38" t="s">
        <v>66</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
      <c r="A28" s="43"/>
      <c r="B28" s="472"/>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
      <c r="A29" s="75" t="s">
        <v>847</v>
      </c>
      <c r="B29" s="473" t="s">
        <v>848</v>
      </c>
      <c r="C29" s="68" t="str">
        <f t="shared" ref="C29:C43" si="4">CONCATENATE(A29," - ",B29)</f>
        <v>England – PCNs - 3 CENTRES PCN</v>
      </c>
      <c r="D29" s="794">
        <f>I29</f>
        <v>14772</v>
      </c>
      <c r="E29" s="794">
        <f>J29</f>
        <v>15689</v>
      </c>
      <c r="F29" s="795">
        <f>G29+H29</f>
        <v>39727</v>
      </c>
      <c r="G29" s="795">
        <f>SUM(M29:CY29)</f>
        <v>19549</v>
      </c>
      <c r="H29" s="796">
        <f>SUM(CZ29:GL29)</f>
        <v>20178</v>
      </c>
      <c r="I29" s="796">
        <f>SUM(AE29:CY29)</f>
        <v>14772</v>
      </c>
      <c r="J29" s="796">
        <f>SUM(DR29:GL29)</f>
        <v>15689</v>
      </c>
      <c r="K29" s="797">
        <f>SUM(M29:AD29)</f>
        <v>4777</v>
      </c>
      <c r="L29" s="794">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
      <c r="A30" s="79" t="s">
        <v>847</v>
      </c>
      <c r="B30" s="473" t="s">
        <v>849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
      <c r="A31" s="79" t="s">
        <v>847</v>
      </c>
      <c r="B31" s="473" t="s">
        <v>850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
      <c r="A32" s="79" t="s">
        <v>847</v>
      </c>
      <c r="B32" s="473" t="s">
        <v>851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
      <c r="A33" s="79" t="s">
        <v>847</v>
      </c>
      <c r="B33" s="473" t="s">
        <v>852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
      <c r="A34" s="79" t="s">
        <v>847</v>
      </c>
      <c r="B34" s="473" t="s">
        <v>853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
      <c r="A35" s="79" t="s">
        <v>847</v>
      </c>
      <c r="B35" s="473" t="s">
        <v>854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
      <c r="A36" s="79" t="s">
        <v>847</v>
      </c>
      <c r="B36" s="473" t="s">
        <v>855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
      <c r="A37" s="79" t="s">
        <v>847</v>
      </c>
      <c r="B37" s="473" t="s">
        <v>856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
      <c r="A38" s="79" t="s">
        <v>847</v>
      </c>
      <c r="B38" s="473" t="s">
        <v>857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
      <c r="A39" s="79" t="s">
        <v>847</v>
      </c>
      <c r="B39" s="473" t="s">
        <v>858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
      <c r="A40" s="79" t="s">
        <v>847</v>
      </c>
      <c r="B40" s="473" t="s">
        <v>859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
      <c r="A41" s="79" t="s">
        <v>847</v>
      </c>
      <c r="B41" s="473" t="s">
        <v>860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
      <c r="A42" s="79" t="s">
        <v>847</v>
      </c>
      <c r="B42" s="473" t="s">
        <v>861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
      <c r="A43" s="79" t="s">
        <v>847</v>
      </c>
      <c r="B43" s="473" t="s">
        <v>862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
      <c r="A44" s="79" t="s">
        <v>847</v>
      </c>
      <c r="B44" s="473" t="s">
        <v>863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
      <c r="A45" s="79" t="s">
        <v>847</v>
      </c>
      <c r="B45" s="473" t="s">
        <v>864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
      <c r="A46" s="79" t="s">
        <v>847</v>
      </c>
      <c r="B46" s="473" t="s">
        <v>865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
      <c r="A47" s="79" t="s">
        <v>847</v>
      </c>
      <c r="B47" s="473" t="s">
        <v>866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
      <c r="A48" s="79" t="s">
        <v>847</v>
      </c>
      <c r="B48" s="473" t="s">
        <v>867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
      <c r="A49" s="79" t="s">
        <v>847</v>
      </c>
      <c r="B49" s="473" t="s">
        <v>868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
      <c r="A50" s="79" t="s">
        <v>847</v>
      </c>
      <c r="B50" s="473" t="s">
        <v>869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
      <c r="A51" s="79" t="s">
        <v>847</v>
      </c>
      <c r="B51" s="473" t="s">
        <v>870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
      <c r="A52" s="79" t="s">
        <v>847</v>
      </c>
      <c r="B52" s="473" t="s">
        <v>871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
      <c r="A53" s="79" t="s">
        <v>847</v>
      </c>
      <c r="B53" s="473" t="s">
        <v>872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
      <c r="A54" s="79" t="s">
        <v>847</v>
      </c>
      <c r="B54" s="473" t="s">
        <v>873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
      <c r="A55" s="79" t="s">
        <v>847</v>
      </c>
      <c r="B55" s="473" t="s">
        <v>874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
      <c r="A56" s="79" t="s">
        <v>847</v>
      </c>
      <c r="B56" s="473" t="s">
        <v>875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
      <c r="A57" s="79" t="s">
        <v>847</v>
      </c>
      <c r="B57" s="473" t="s">
        <v>876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
      <c r="A58" s="79" t="s">
        <v>847</v>
      </c>
      <c r="B58" s="473" t="s">
        <v>877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
      <c r="A59" s="79" t="s">
        <v>847</v>
      </c>
      <c r="B59" s="473" t="s">
        <v>878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
      <c r="A60" s="79" t="s">
        <v>847</v>
      </c>
      <c r="B60" s="473" t="s">
        <v>879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
      <c r="A61" s="79" t="s">
        <v>847</v>
      </c>
      <c r="B61" s="473" t="s">
        <v>880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
      <c r="A62" s="79" t="s">
        <v>847</v>
      </c>
      <c r="B62" s="473" t="s">
        <v>881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
      <c r="A63" s="79" t="s">
        <v>847</v>
      </c>
      <c r="B63" s="473" t="s">
        <v>882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
      <c r="A64" s="79" t="s">
        <v>847</v>
      </c>
      <c r="B64" s="473" t="s">
        <v>883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
      <c r="A65" s="79" t="s">
        <v>847</v>
      </c>
      <c r="B65" s="473" t="s">
        <v>884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
      <c r="A66" s="79" t="s">
        <v>847</v>
      </c>
      <c r="B66" s="473" t="s">
        <v>885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
      <c r="A67" s="79" t="s">
        <v>847</v>
      </c>
      <c r="B67" s="473" t="s">
        <v>886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
      <c r="A68" s="79" t="s">
        <v>847</v>
      </c>
      <c r="B68" s="473" t="s">
        <v>887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
      <c r="A69" s="79" t="s">
        <v>847</v>
      </c>
      <c r="B69" s="473" t="s">
        <v>888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
      <c r="A70" s="79" t="s">
        <v>847</v>
      </c>
      <c r="B70" s="473" t="s">
        <v>889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
      <c r="A71" s="79" t="s">
        <v>847</v>
      </c>
      <c r="B71" s="473" t="s">
        <v>890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
      <c r="A72" s="79" t="s">
        <v>847</v>
      </c>
      <c r="B72" s="473" t="s">
        <v>891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
      <c r="A73" s="79" t="s">
        <v>847</v>
      </c>
      <c r="B73" s="473" t="s">
        <v>892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
      <c r="A74" s="79" t="s">
        <v>847</v>
      </c>
      <c r="B74" s="473" t="s">
        <v>893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
      <c r="A75" s="79" t="s">
        <v>847</v>
      </c>
      <c r="B75" s="473" t="s">
        <v>894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
      <c r="A76" s="79" t="s">
        <v>847</v>
      </c>
      <c r="B76" s="473" t="s">
        <v>895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
      <c r="A77" s="79" t="s">
        <v>847</v>
      </c>
      <c r="B77" s="473" t="s">
        <v>896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
      <c r="A78" s="79" t="s">
        <v>847</v>
      </c>
      <c r="B78" s="473" t="s">
        <v>897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
      <c r="A79" s="79" t="s">
        <v>847</v>
      </c>
      <c r="B79" s="473" t="s">
        <v>898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
      <c r="A80" s="79" t="s">
        <v>847</v>
      </c>
      <c r="B80" s="473" t="s">
        <v>899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
      <c r="A81" s="79" t="s">
        <v>847</v>
      </c>
      <c r="B81" s="473" t="s">
        <v>900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
      <c r="A82" s="79" t="s">
        <v>847</v>
      </c>
      <c r="B82" s="473" t="s">
        <v>901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
      <c r="A83" s="79" t="s">
        <v>847</v>
      </c>
      <c r="B83" s="473" t="s">
        <v>902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
      <c r="A84" s="79" t="s">
        <v>847</v>
      </c>
      <c r="B84" s="473" t="s">
        <v>903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
      <c r="A85" s="79" t="s">
        <v>847</v>
      </c>
      <c r="B85" s="473" t="s">
        <v>904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
      <c r="A86" s="79" t="s">
        <v>847</v>
      </c>
      <c r="B86" s="473" t="s">
        <v>905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
      <c r="A87" s="79" t="s">
        <v>847</v>
      </c>
      <c r="B87" s="473" t="s">
        <v>906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
      <c r="A88" s="79" t="s">
        <v>847</v>
      </c>
      <c r="B88" s="473" t="s">
        <v>907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
      <c r="A89" s="79" t="s">
        <v>847</v>
      </c>
      <c r="B89" s="473" t="s">
        <v>908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
      <c r="A90" s="79" t="s">
        <v>847</v>
      </c>
      <c r="B90" s="473" t="s">
        <v>909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
      <c r="A91" s="79" t="s">
        <v>847</v>
      </c>
      <c r="B91" s="473" t="s">
        <v>910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
      <c r="A92" s="79" t="s">
        <v>847</v>
      </c>
      <c r="B92" s="473" t="s">
        <v>911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
      <c r="A93" s="79" t="s">
        <v>847</v>
      </c>
      <c r="B93" s="473" t="s">
        <v>912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
      <c r="A94" s="79" t="s">
        <v>847</v>
      </c>
      <c r="B94" s="473" t="s">
        <v>913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
      <c r="A95" s="79" t="s">
        <v>847</v>
      </c>
      <c r="B95" s="473" t="s">
        <v>914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
      <c r="A96" s="79" t="s">
        <v>847</v>
      </c>
      <c r="B96" s="473" t="s">
        <v>915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
      <c r="A97" s="79" t="s">
        <v>847</v>
      </c>
      <c r="B97" s="473" t="s">
        <v>916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
      <c r="A98" s="79" t="s">
        <v>847</v>
      </c>
      <c r="B98" s="473" t="s">
        <v>917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
      <c r="A99" s="79" t="s">
        <v>847</v>
      </c>
      <c r="B99" s="473" t="s">
        <v>918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
      <c r="A100" s="79" t="s">
        <v>847</v>
      </c>
      <c r="B100" s="473" t="s">
        <v>919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
      <c r="A101" s="79" t="s">
        <v>847</v>
      </c>
      <c r="B101" s="473" t="s">
        <v>920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
      <c r="A102" s="79" t="s">
        <v>847</v>
      </c>
      <c r="B102" s="473" t="s">
        <v>921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
      <c r="A103" s="79" t="s">
        <v>847</v>
      </c>
      <c r="B103" s="473" t="s">
        <v>922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
      <c r="A104" s="79" t="s">
        <v>847</v>
      </c>
      <c r="B104" s="473" t="s">
        <v>923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
      <c r="A105" s="79" t="s">
        <v>847</v>
      </c>
      <c r="B105" s="473" t="s">
        <v>924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
      <c r="A106" s="79" t="s">
        <v>847</v>
      </c>
      <c r="B106" s="473" t="s">
        <v>925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
      <c r="A107" s="79" t="s">
        <v>847</v>
      </c>
      <c r="B107" s="473" t="s">
        <v>926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
      <c r="A108" s="79" t="s">
        <v>847</v>
      </c>
      <c r="B108" s="473" t="s">
        <v>927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
      <c r="A109" s="79" t="s">
        <v>847</v>
      </c>
      <c r="B109" s="473" t="s">
        <v>928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
      <c r="A110" s="79" t="s">
        <v>847</v>
      </c>
      <c r="B110" s="473" t="s">
        <v>929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
      <c r="A111" s="79" t="s">
        <v>847</v>
      </c>
      <c r="B111" s="473" t="s">
        <v>930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
      <c r="A112" s="79" t="s">
        <v>847</v>
      </c>
      <c r="B112" s="473" t="s">
        <v>931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
      <c r="A113" s="79" t="s">
        <v>847</v>
      </c>
      <c r="B113" s="473" t="s">
        <v>932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
      <c r="A114" s="79" t="s">
        <v>847</v>
      </c>
      <c r="B114" s="473" t="s">
        <v>933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
      <c r="A115" s="79" t="s">
        <v>847</v>
      </c>
      <c r="B115" s="473" t="s">
        <v>934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
      <c r="A116" s="79" t="s">
        <v>847</v>
      </c>
      <c r="B116" s="473" t="s">
        <v>935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
      <c r="A117" s="79" t="s">
        <v>847</v>
      </c>
      <c r="B117" s="473" t="s">
        <v>936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
      <c r="A118" s="79" t="s">
        <v>847</v>
      </c>
      <c r="B118" s="473" t="s">
        <v>937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
      <c r="A119" s="79" t="s">
        <v>847</v>
      </c>
      <c r="B119" s="473" t="s">
        <v>938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
      <c r="A120" s="79" t="s">
        <v>847</v>
      </c>
      <c r="B120" s="473" t="s">
        <v>939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
      <c r="A121" s="79" t="s">
        <v>847</v>
      </c>
      <c r="B121" s="473" t="s">
        <v>940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
      <c r="A122" s="79" t="s">
        <v>847</v>
      </c>
      <c r="B122" s="473" t="s">
        <v>941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
      <c r="A123" s="79" t="s">
        <v>847</v>
      </c>
      <c r="B123" s="473" t="s">
        <v>942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
      <c r="A124" s="79" t="s">
        <v>847</v>
      </c>
      <c r="B124" s="473" t="s">
        <v>943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
      <c r="A125" s="79" t="s">
        <v>847</v>
      </c>
      <c r="B125" s="473" t="s">
        <v>944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
      <c r="A126" s="79" t="s">
        <v>847</v>
      </c>
      <c r="B126" s="473" t="s">
        <v>945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
      <c r="A127" s="79" t="s">
        <v>847</v>
      </c>
      <c r="B127" s="473" t="s">
        <v>946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
      <c r="A128" s="79" t="s">
        <v>847</v>
      </c>
      <c r="B128" s="473" t="s">
        <v>947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
      <c r="A129" s="79" t="s">
        <v>847</v>
      </c>
      <c r="B129" s="473" t="s">
        <v>948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
      <c r="A130" s="79" t="s">
        <v>847</v>
      </c>
      <c r="B130" s="473" t="s">
        <v>949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
      <c r="A131" s="79" t="s">
        <v>847</v>
      </c>
      <c r="B131" s="473" t="s">
        <v>950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
      <c r="A132" s="79" t="s">
        <v>847</v>
      </c>
      <c r="B132" s="473" t="s">
        <v>951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
      <c r="A133" s="79" t="s">
        <v>847</v>
      </c>
      <c r="B133" s="473" t="s">
        <v>952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
      <c r="A134" s="79" t="s">
        <v>847</v>
      </c>
      <c r="B134" s="473" t="s">
        <v>953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
      <c r="A135" s="79" t="s">
        <v>847</v>
      </c>
      <c r="B135" s="473" t="s">
        <v>954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
      <c r="A136" s="79" t="s">
        <v>847</v>
      </c>
      <c r="B136" s="473" t="s">
        <v>955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
      <c r="A137" s="79" t="s">
        <v>847</v>
      </c>
      <c r="B137" s="473" t="s">
        <v>956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
      <c r="A138" s="79" t="s">
        <v>847</v>
      </c>
      <c r="B138" s="473" t="s">
        <v>957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
      <c r="A139" s="79" t="s">
        <v>847</v>
      </c>
      <c r="B139" s="473" t="s">
        <v>958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
      <c r="A140" s="79" t="s">
        <v>847</v>
      </c>
      <c r="B140" s="473" t="s">
        <v>959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
      <c r="A141" s="79" t="s">
        <v>847</v>
      </c>
      <c r="B141" s="473" t="s">
        <v>960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
      <c r="A142" s="79" t="s">
        <v>847</v>
      </c>
      <c r="B142" s="473" t="s">
        <v>961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
      <c r="A143" s="79" t="s">
        <v>847</v>
      </c>
      <c r="B143" s="473" t="s">
        <v>962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
      <c r="A144" s="79" t="s">
        <v>847</v>
      </c>
      <c r="B144" s="473" t="s">
        <v>963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
      <c r="A145" s="79" t="s">
        <v>847</v>
      </c>
      <c r="B145" s="473" t="s">
        <v>964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
      <c r="A146" s="79" t="s">
        <v>847</v>
      </c>
      <c r="B146" s="473" t="s">
        <v>965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
      <c r="A147" s="79" t="s">
        <v>847</v>
      </c>
      <c r="B147" s="473" t="s">
        <v>966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
      <c r="A148" s="79" t="s">
        <v>847</v>
      </c>
      <c r="B148" s="473" t="s">
        <v>967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
      <c r="A149" s="79" t="s">
        <v>847</v>
      </c>
      <c r="B149" s="473" t="s">
        <v>968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
      <c r="A150" s="79" t="s">
        <v>847</v>
      </c>
      <c r="B150" s="473" t="s">
        <v>969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
      <c r="A151" s="79" t="s">
        <v>847</v>
      </c>
      <c r="B151" s="473" t="s">
        <v>970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
      <c r="A152" s="79" t="s">
        <v>847</v>
      </c>
      <c r="B152" s="473" t="s">
        <v>971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
      <c r="A153" s="79" t="s">
        <v>847</v>
      </c>
      <c r="B153" s="473" t="s">
        <v>972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
      <c r="A154" s="79" t="s">
        <v>847</v>
      </c>
      <c r="B154" s="473" t="s">
        <v>973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
      <c r="A155" s="79" t="s">
        <v>847</v>
      </c>
      <c r="B155" s="473" t="s">
        <v>974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
      <c r="A156" s="79" t="s">
        <v>847</v>
      </c>
      <c r="B156" s="473" t="s">
        <v>975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
      <c r="A157" s="79" t="s">
        <v>847</v>
      </c>
      <c r="B157" s="473" t="s">
        <v>976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
      <c r="A158" s="79" t="s">
        <v>847</v>
      </c>
      <c r="B158" s="473" t="s">
        <v>977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
      <c r="A159" s="79" t="s">
        <v>847</v>
      </c>
      <c r="B159" s="473" t="s">
        <v>978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
      <c r="A160" s="79" t="s">
        <v>847</v>
      </c>
      <c r="B160" s="473" t="s">
        <v>979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
      <c r="A161" s="79" t="s">
        <v>847</v>
      </c>
      <c r="B161" s="473" t="s">
        <v>980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
      <c r="A162" s="79" t="s">
        <v>847</v>
      </c>
      <c r="B162" s="473" t="s">
        <v>981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
      <c r="A163" s="79" t="s">
        <v>847</v>
      </c>
      <c r="B163" s="473" t="s">
        <v>982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
      <c r="A164" s="79" t="s">
        <v>847</v>
      </c>
      <c r="B164" s="473" t="s">
        <v>983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
      <c r="A165" s="79" t="s">
        <v>847</v>
      </c>
      <c r="B165" s="473" t="s">
        <v>984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
      <c r="A166" s="79" t="s">
        <v>847</v>
      </c>
      <c r="B166" s="473" t="s">
        <v>985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
      <c r="A167" s="79" t="s">
        <v>847</v>
      </c>
      <c r="B167" s="473" t="s">
        <v>986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
      <c r="A168" s="79" t="s">
        <v>847</v>
      </c>
      <c r="B168" s="473" t="s">
        <v>987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
      <c r="A169" s="79" t="s">
        <v>847</v>
      </c>
      <c r="B169" s="473" t="s">
        <v>988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
      <c r="A170" s="79" t="s">
        <v>847</v>
      </c>
      <c r="B170" s="473" t="s">
        <v>989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
      <c r="A171" s="79" t="s">
        <v>847</v>
      </c>
      <c r="B171" s="473" t="s">
        <v>990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
      <c r="A172" s="79" t="s">
        <v>847</v>
      </c>
      <c r="B172" s="473" t="s">
        <v>991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
      <c r="A173" s="79" t="s">
        <v>847</v>
      </c>
      <c r="B173" s="473" t="s">
        <v>992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
      <c r="A174" s="79" t="s">
        <v>847</v>
      </c>
      <c r="B174" s="473" t="s">
        <v>993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
      <c r="A175" s="79" t="s">
        <v>847</v>
      </c>
      <c r="B175" s="473" t="s">
        <v>994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
      <c r="A176" s="79" t="s">
        <v>847</v>
      </c>
      <c r="B176" s="473" t="s">
        <v>995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
      <c r="A177" s="79" t="s">
        <v>847</v>
      </c>
      <c r="B177" s="473" t="s">
        <v>996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
      <c r="A178" s="79" t="s">
        <v>847</v>
      </c>
      <c r="B178" s="473" t="s">
        <v>997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
      <c r="A179" s="79" t="s">
        <v>847</v>
      </c>
      <c r="B179" s="473" t="s">
        <v>998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
      <c r="A180" s="79" t="s">
        <v>847</v>
      </c>
      <c r="B180" s="473" t="s">
        <v>999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
      <c r="A181" s="79" t="s">
        <v>847</v>
      </c>
      <c r="B181" s="473" t="s">
        <v>1000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
      <c r="A182" s="79" t="s">
        <v>847</v>
      </c>
      <c r="B182" s="473" t="s">
        <v>1001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
      <c r="A183" s="79" t="s">
        <v>847</v>
      </c>
      <c r="B183" s="473" t="s">
        <v>1002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
      <c r="A184" s="79" t="s">
        <v>847</v>
      </c>
      <c r="B184" s="473" t="s">
        <v>1003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
      <c r="A185" s="79" t="s">
        <v>847</v>
      </c>
      <c r="B185" s="473" t="s">
        <v>1004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
      <c r="A186" s="79" t="s">
        <v>847</v>
      </c>
      <c r="B186" s="473" t="s">
        <v>1005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
      <c r="A187" s="79" t="s">
        <v>847</v>
      </c>
      <c r="B187" s="473" t="s">
        <v>1006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
      <c r="A188" s="79" t="s">
        <v>847</v>
      </c>
      <c r="B188" s="473" t="s">
        <v>1007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
      <c r="A189" s="79" t="s">
        <v>847</v>
      </c>
      <c r="B189" s="473" t="s">
        <v>1008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
      <c r="A190" s="79" t="s">
        <v>847</v>
      </c>
      <c r="B190" s="473" t="s">
        <v>1009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
      <c r="A191" s="79" t="s">
        <v>847</v>
      </c>
      <c r="B191" s="473" t="s">
        <v>1010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
      <c r="A192" s="79" t="s">
        <v>847</v>
      </c>
      <c r="B192" s="473" t="s">
        <v>1011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
      <c r="A193" s="79" t="s">
        <v>847</v>
      </c>
      <c r="B193" s="473" t="s">
        <v>1012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
      <c r="A194" s="79" t="s">
        <v>847</v>
      </c>
      <c r="B194" s="473" t="s">
        <v>1013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
      <c r="A195" s="79" t="s">
        <v>847</v>
      </c>
      <c r="B195" s="473" t="s">
        <v>1014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
      <c r="A196" s="79" t="s">
        <v>847</v>
      </c>
      <c r="B196" s="473" t="s">
        <v>1015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
      <c r="A197" s="79" t="s">
        <v>847</v>
      </c>
      <c r="B197" s="473" t="s">
        <v>1016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
      <c r="A198" s="79" t="s">
        <v>847</v>
      </c>
      <c r="B198" s="473" t="s">
        <v>1017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
      <c r="A199" s="79" t="s">
        <v>847</v>
      </c>
      <c r="B199" s="473" t="s">
        <v>1018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
      <c r="A200" s="79" t="s">
        <v>847</v>
      </c>
      <c r="B200" s="473" t="s">
        <v>1019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
      <c r="A201" s="79" t="s">
        <v>847</v>
      </c>
      <c r="B201" s="473" t="s">
        <v>1020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
      <c r="A202" s="79" t="s">
        <v>847</v>
      </c>
      <c r="B202" s="473" t="s">
        <v>1021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
      <c r="A203" s="79" t="s">
        <v>847</v>
      </c>
      <c r="B203" s="473" t="s">
        <v>1022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
      <c r="A204" s="79" t="s">
        <v>847</v>
      </c>
      <c r="B204" s="473" t="s">
        <v>1023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
      <c r="A205" s="79" t="s">
        <v>847</v>
      </c>
      <c r="B205" s="473" t="s">
        <v>1024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
      <c r="A206" s="79" t="s">
        <v>847</v>
      </c>
      <c r="B206" s="473" t="s">
        <v>1025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
      <c r="A207" s="79" t="s">
        <v>847</v>
      </c>
      <c r="B207" s="473" t="s">
        <v>1026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
      <c r="A208" s="79" t="s">
        <v>847</v>
      </c>
      <c r="B208" s="473" t="s">
        <v>1027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
      <c r="A209" s="79" t="s">
        <v>847</v>
      </c>
      <c r="B209" s="473" t="s">
        <v>1028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
      <c r="A210" s="79" t="s">
        <v>847</v>
      </c>
      <c r="B210" s="473" t="s">
        <v>1029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
      <c r="A211" s="79" t="s">
        <v>847</v>
      </c>
      <c r="B211" s="473" t="s">
        <v>1030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
      <c r="A212" s="79" t="s">
        <v>847</v>
      </c>
      <c r="B212" s="473" t="s">
        <v>1031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
      <c r="A213" s="79" t="s">
        <v>847</v>
      </c>
      <c r="B213" s="473" t="s">
        <v>1032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
      <c r="A214" s="79" t="s">
        <v>847</v>
      </c>
      <c r="B214" s="473" t="s">
        <v>1033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
      <c r="A215" s="79" t="s">
        <v>847</v>
      </c>
      <c r="B215" s="473" t="s">
        <v>1034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
      <c r="A216" s="79" t="s">
        <v>847</v>
      </c>
      <c r="B216" s="473" t="s">
        <v>1035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
      <c r="A217" s="79" t="s">
        <v>847</v>
      </c>
      <c r="B217" s="473" t="s">
        <v>1036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
      <c r="A218" s="79" t="s">
        <v>847</v>
      </c>
      <c r="B218" s="473" t="s">
        <v>1037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
      <c r="A219" s="79" t="s">
        <v>847</v>
      </c>
      <c r="B219" s="473" t="s">
        <v>1038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
      <c r="A220" s="79" t="s">
        <v>847</v>
      </c>
      <c r="B220" s="473" t="s">
        <v>1039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
      <c r="A221" s="79" t="s">
        <v>847</v>
      </c>
      <c r="B221" s="473" t="s">
        <v>1040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
      <c r="A222" s="79" t="s">
        <v>847</v>
      </c>
      <c r="B222" s="473" t="s">
        <v>1041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
      <c r="A223" s="79" t="s">
        <v>847</v>
      </c>
      <c r="B223" s="473" t="s">
        <v>1042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
      <c r="A224" s="79" t="s">
        <v>847</v>
      </c>
      <c r="B224" s="473" t="s">
        <v>1043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
      <c r="A225" s="79" t="s">
        <v>847</v>
      </c>
      <c r="B225" s="473" t="s">
        <v>1044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
      <c r="A226" s="79" t="s">
        <v>847</v>
      </c>
      <c r="B226" s="473" t="s">
        <v>1045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
      <c r="A227" s="79" t="s">
        <v>847</v>
      </c>
      <c r="B227" s="473" t="s">
        <v>1046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
      <c r="A228" s="79" t="s">
        <v>847</v>
      </c>
      <c r="B228" s="473" t="s">
        <v>1047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
      <c r="A229" s="79" t="s">
        <v>847</v>
      </c>
      <c r="B229" s="473" t="s">
        <v>1048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
      <c r="A230" s="79" t="s">
        <v>847</v>
      </c>
      <c r="B230" s="473" t="s">
        <v>1049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
      <c r="A231" s="79" t="s">
        <v>847</v>
      </c>
      <c r="B231" s="473" t="s">
        <v>1050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
      <c r="A232" s="79" t="s">
        <v>847</v>
      </c>
      <c r="B232" s="473" t="s">
        <v>1051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
      <c r="A233" s="79" t="s">
        <v>847</v>
      </c>
      <c r="B233" s="473" t="s">
        <v>1052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
      <c r="A234" s="79" t="s">
        <v>847</v>
      </c>
      <c r="B234" s="473" t="s">
        <v>1053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
      <c r="A235" s="79" t="s">
        <v>847</v>
      </c>
      <c r="B235" s="473" t="s">
        <v>1054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
      <c r="A236" s="79" t="s">
        <v>847</v>
      </c>
      <c r="B236" s="473" t="s">
        <v>1055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
      <c r="A237" s="79" t="s">
        <v>847</v>
      </c>
      <c r="B237" s="473" t="s">
        <v>1056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
      <c r="A238" s="79" t="s">
        <v>847</v>
      </c>
      <c r="B238" s="473" t="s">
        <v>1057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
      <c r="A239" s="79" t="s">
        <v>847</v>
      </c>
      <c r="B239" s="473" t="s">
        <v>1058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
      <c r="A240" s="79" t="s">
        <v>847</v>
      </c>
      <c r="B240" s="473" t="s">
        <v>1059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
      <c r="A241" s="79" t="s">
        <v>847</v>
      </c>
      <c r="B241" s="473" t="s">
        <v>1060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
      <c r="A242" s="79" t="s">
        <v>847</v>
      </c>
      <c r="B242" s="473" t="s">
        <v>1061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
      <c r="A243" s="79" t="s">
        <v>847</v>
      </c>
      <c r="B243" s="473" t="s">
        <v>1062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
      <c r="A244" s="79" t="s">
        <v>847</v>
      </c>
      <c r="B244" s="473" t="s">
        <v>1063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
      <c r="A245" s="79" t="s">
        <v>847</v>
      </c>
      <c r="B245" s="473" t="s">
        <v>1064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
      <c r="A246" s="79" t="s">
        <v>847</v>
      </c>
      <c r="B246" s="473" t="s">
        <v>1065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
      <c r="A247" s="79" t="s">
        <v>847</v>
      </c>
      <c r="B247" s="473" t="s">
        <v>1066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
      <c r="A248" s="79" t="s">
        <v>847</v>
      </c>
      <c r="B248" s="473" t="s">
        <v>1067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
      <c r="A249" s="79" t="s">
        <v>847</v>
      </c>
      <c r="B249" s="473" t="s">
        <v>1068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
      <c r="A250" s="79" t="s">
        <v>847</v>
      </c>
      <c r="B250" s="473" t="s">
        <v>1069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
      <c r="A251" s="79" t="s">
        <v>847</v>
      </c>
      <c r="B251" s="473" t="s">
        <v>1070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
      <c r="A252" s="79" t="s">
        <v>847</v>
      </c>
      <c r="B252" s="473" t="s">
        <v>1071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
      <c r="A253" s="79" t="s">
        <v>847</v>
      </c>
      <c r="B253" s="473" t="s">
        <v>1072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
      <c r="A254" s="79" t="s">
        <v>847</v>
      </c>
      <c r="B254" s="473" t="s">
        <v>1073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
      <c r="A255" s="79" t="s">
        <v>847</v>
      </c>
      <c r="B255" s="473" t="s">
        <v>1074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
      <c r="A256" s="79" t="s">
        <v>847</v>
      </c>
      <c r="B256" s="473" t="s">
        <v>1075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
      <c r="A257" s="79" t="s">
        <v>847</v>
      </c>
      <c r="B257" s="473" t="s">
        <v>1076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
      <c r="A258" s="79" t="s">
        <v>847</v>
      </c>
      <c r="B258" s="473" t="s">
        <v>1077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
      <c r="A259" s="79" t="s">
        <v>847</v>
      </c>
      <c r="B259" s="473" t="s">
        <v>1078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
      <c r="A260" s="79" t="s">
        <v>847</v>
      </c>
      <c r="B260" s="473" t="s">
        <v>1079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
      <c r="A261" s="79" t="s">
        <v>847</v>
      </c>
      <c r="B261" s="473" t="s">
        <v>1080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
      <c r="A262" s="79" t="s">
        <v>847</v>
      </c>
      <c r="B262" s="473" t="s">
        <v>1081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
      <c r="A263" s="79" t="s">
        <v>847</v>
      </c>
      <c r="B263" s="473" t="s">
        <v>1082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
      <c r="A264" s="79" t="s">
        <v>847</v>
      </c>
      <c r="B264" s="473" t="s">
        <v>1083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
      <c r="A265" s="79" t="s">
        <v>847</v>
      </c>
      <c r="B265" s="473" t="s">
        <v>1084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
      <c r="A266" s="79" t="s">
        <v>847</v>
      </c>
      <c r="B266" s="473" t="s">
        <v>1085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
      <c r="A267" s="79" t="s">
        <v>847</v>
      </c>
      <c r="B267" s="473" t="s">
        <v>1086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
      <c r="A268" s="79" t="s">
        <v>847</v>
      </c>
      <c r="B268" s="473" t="s">
        <v>1087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
      <c r="A269" s="79" t="s">
        <v>847</v>
      </c>
      <c r="B269" s="473" t="s">
        <v>1088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
      <c r="A270" s="79" t="s">
        <v>847</v>
      </c>
      <c r="B270" s="473" t="s">
        <v>1089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
      <c r="A271" s="79" t="s">
        <v>847</v>
      </c>
      <c r="B271" s="473" t="s">
        <v>1090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
      <c r="A272" s="79" t="s">
        <v>847</v>
      </c>
      <c r="B272" s="473" t="s">
        <v>1091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
      <c r="A273" s="79" t="s">
        <v>847</v>
      </c>
      <c r="B273" s="473" t="s">
        <v>1092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
      <c r="A274" s="79" t="s">
        <v>847</v>
      </c>
      <c r="B274" s="473" t="s">
        <v>1093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
      <c r="A275" s="79" t="s">
        <v>847</v>
      </c>
      <c r="B275" s="473" t="s">
        <v>1094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
      <c r="A276" s="79" t="s">
        <v>847</v>
      </c>
      <c r="B276" s="473" t="s">
        <v>1095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
      <c r="A277" s="79" t="s">
        <v>847</v>
      </c>
      <c r="B277" s="473" t="s">
        <v>1096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
      <c r="A278" s="79" t="s">
        <v>847</v>
      </c>
      <c r="B278" s="473" t="s">
        <v>1097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
      <c r="A279" s="79" t="s">
        <v>847</v>
      </c>
      <c r="B279" s="473" t="s">
        <v>1098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
      <c r="A280" s="79" t="s">
        <v>847</v>
      </c>
      <c r="B280" s="473" t="s">
        <v>1099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
      <c r="A281" s="79" t="s">
        <v>847</v>
      </c>
      <c r="B281" s="473" t="s">
        <v>1100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
      <c r="A282" s="79" t="s">
        <v>847</v>
      </c>
      <c r="B282" s="473" t="s">
        <v>1101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
      <c r="A283" s="79" t="s">
        <v>847</v>
      </c>
      <c r="B283" s="473" t="s">
        <v>1102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
      <c r="A284" s="79" t="s">
        <v>847</v>
      </c>
      <c r="B284" s="473" t="s">
        <v>1103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
      <c r="A285" s="79" t="s">
        <v>847</v>
      </c>
      <c r="B285" s="473" t="s">
        <v>1104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
      <c r="A286" s="79" t="s">
        <v>847</v>
      </c>
      <c r="B286" s="473" t="s">
        <v>1105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
      <c r="A287" s="79" t="s">
        <v>847</v>
      </c>
      <c r="B287" s="473" t="s">
        <v>1106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
      <c r="A288" s="79" t="s">
        <v>847</v>
      </c>
      <c r="B288" s="473" t="s">
        <v>1107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
      <c r="A289" s="79" t="s">
        <v>847</v>
      </c>
      <c r="B289" s="473" t="s">
        <v>1108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
      <c r="A290" s="79" t="s">
        <v>847</v>
      </c>
      <c r="B290" s="473" t="s">
        <v>1109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
      <c r="A291" s="79" t="s">
        <v>847</v>
      </c>
      <c r="B291" s="473" t="s">
        <v>1110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
      <c r="A292" s="79" t="s">
        <v>847</v>
      </c>
      <c r="B292" s="473" t="s">
        <v>1111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
      <c r="A293" s="79" t="s">
        <v>847</v>
      </c>
      <c r="B293" s="473" t="s">
        <v>1112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
      <c r="A294" s="79" t="s">
        <v>847</v>
      </c>
      <c r="B294" s="473" t="s">
        <v>1113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
      <c r="A295" s="79" t="s">
        <v>847</v>
      </c>
      <c r="B295" s="473" t="s">
        <v>1114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
      <c r="A296" s="79" t="s">
        <v>847</v>
      </c>
      <c r="B296" s="473" t="s">
        <v>1115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
      <c r="A297" s="79" t="s">
        <v>847</v>
      </c>
      <c r="B297" s="473" t="s">
        <v>1116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
      <c r="A298" s="79" t="s">
        <v>847</v>
      </c>
      <c r="B298" s="473" t="s">
        <v>1117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
      <c r="A299" s="79" t="s">
        <v>847</v>
      </c>
      <c r="B299" s="473" t="s">
        <v>1118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
      <c r="A300" s="79" t="s">
        <v>847</v>
      </c>
      <c r="B300" s="473" t="s">
        <v>1119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
      <c r="A301" s="79" t="s">
        <v>847</v>
      </c>
      <c r="B301" s="473" t="s">
        <v>1120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
      <c r="A302" s="79" t="s">
        <v>847</v>
      </c>
      <c r="B302" s="473" t="s">
        <v>1121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
      <c r="A303" s="79" t="s">
        <v>847</v>
      </c>
      <c r="B303" s="473" t="s">
        <v>1122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
      <c r="A304" s="79" t="s">
        <v>847</v>
      </c>
      <c r="B304" s="473" t="s">
        <v>1123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
      <c r="A305" s="79" t="s">
        <v>847</v>
      </c>
      <c r="B305" s="473" t="s">
        <v>1124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
      <c r="A306" s="79" t="s">
        <v>847</v>
      </c>
      <c r="B306" s="473" t="s">
        <v>1125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
      <c r="A307" s="79" t="s">
        <v>847</v>
      </c>
      <c r="B307" s="473" t="s">
        <v>1126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
      <c r="A308" s="79" t="s">
        <v>847</v>
      </c>
      <c r="B308" s="473" t="s">
        <v>1127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
      <c r="A309" s="79" t="s">
        <v>847</v>
      </c>
      <c r="B309" s="473" t="s">
        <v>1128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
      <c r="A310" s="79" t="s">
        <v>847</v>
      </c>
      <c r="B310" s="473" t="s">
        <v>1129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
      <c r="A311" s="79" t="s">
        <v>847</v>
      </c>
      <c r="B311" s="473" t="s">
        <v>1130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
      <c r="A312" s="79" t="s">
        <v>847</v>
      </c>
      <c r="B312" s="473" t="s">
        <v>1131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
      <c r="A313" s="79" t="s">
        <v>847</v>
      </c>
      <c r="B313" s="473" t="s">
        <v>1132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
      <c r="A314" s="79" t="s">
        <v>847</v>
      </c>
      <c r="B314" s="473" t="s">
        <v>1133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
      <c r="A315" s="79" t="s">
        <v>847</v>
      </c>
      <c r="B315" s="473" t="s">
        <v>1134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
      <c r="A316" s="79" t="s">
        <v>847</v>
      </c>
      <c r="B316" s="473" t="s">
        <v>1135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
      <c r="A317" s="79" t="s">
        <v>847</v>
      </c>
      <c r="B317" s="473" t="s">
        <v>1136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
      <c r="A318" s="79" t="s">
        <v>847</v>
      </c>
      <c r="B318" s="473" t="s">
        <v>1137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
      <c r="A319" s="79" t="s">
        <v>847</v>
      </c>
      <c r="B319" s="473" t="s">
        <v>1138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
      <c r="A320" s="79" t="s">
        <v>847</v>
      </c>
      <c r="B320" s="473" t="s">
        <v>1139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
      <c r="A321" s="79" t="s">
        <v>847</v>
      </c>
      <c r="B321" s="473" t="s">
        <v>1140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
      <c r="A322" s="79" t="s">
        <v>847</v>
      </c>
      <c r="B322" s="473" t="s">
        <v>1141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
      <c r="A323" s="79" t="s">
        <v>847</v>
      </c>
      <c r="B323" s="473" t="s">
        <v>1142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
      <c r="A324" s="79" t="s">
        <v>847</v>
      </c>
      <c r="B324" s="473" t="s">
        <v>1143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
      <c r="A325" s="79" t="s">
        <v>847</v>
      </c>
      <c r="B325" s="473" t="s">
        <v>1144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
      <c r="A326" s="79" t="s">
        <v>847</v>
      </c>
      <c r="B326" s="473" t="s">
        <v>1145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
      <c r="A327" s="79" t="s">
        <v>847</v>
      </c>
      <c r="B327" s="473" t="s">
        <v>1146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
      <c r="A328" s="79" t="s">
        <v>847</v>
      </c>
      <c r="B328" s="473" t="s">
        <v>1147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
      <c r="A329" s="79" t="s">
        <v>847</v>
      </c>
      <c r="B329" s="473" t="s">
        <v>1148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
      <c r="A330" s="79" t="s">
        <v>847</v>
      </c>
      <c r="B330" s="473" t="s">
        <v>1149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
      <c r="A331" s="79" t="s">
        <v>847</v>
      </c>
      <c r="B331" s="473" t="s">
        <v>1150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
      <c r="A332" s="79" t="s">
        <v>847</v>
      </c>
      <c r="B332" s="473" t="s">
        <v>1151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
      <c r="A333" s="79" t="s">
        <v>847</v>
      </c>
      <c r="B333" s="473" t="s">
        <v>1152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
      <c r="A334" s="79" t="s">
        <v>847</v>
      </c>
      <c r="B334" s="473" t="s">
        <v>1153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
      <c r="A335" s="79" t="s">
        <v>847</v>
      </c>
      <c r="B335" s="473" t="s">
        <v>1154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
      <c r="A336" s="79" t="s">
        <v>847</v>
      </c>
      <c r="B336" s="473" t="s">
        <v>1155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
      <c r="A337" s="79" t="s">
        <v>847</v>
      </c>
      <c r="B337" s="473" t="s">
        <v>1156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
      <c r="A338" s="79" t="s">
        <v>847</v>
      </c>
      <c r="B338" s="473" t="s">
        <v>1157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
      <c r="A339" s="79" t="s">
        <v>847</v>
      </c>
      <c r="B339" s="473" t="s">
        <v>1158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
      <c r="A340" s="79" t="s">
        <v>847</v>
      </c>
      <c r="B340" s="473" t="s">
        <v>1159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
      <c r="A341" s="79" t="s">
        <v>847</v>
      </c>
      <c r="B341" s="473" t="s">
        <v>1160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
      <c r="A342" s="79" t="s">
        <v>847</v>
      </c>
      <c r="B342" s="473" t="s">
        <v>1161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
      <c r="A343" s="79" t="s">
        <v>847</v>
      </c>
      <c r="B343" s="473" t="s">
        <v>1162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
      <c r="A344" s="79" t="s">
        <v>847</v>
      </c>
      <c r="B344" s="473" t="s">
        <v>1163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
      <c r="A345" s="79" t="s">
        <v>847</v>
      </c>
      <c r="B345" s="473" t="s">
        <v>1164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
      <c r="A346" s="79" t="s">
        <v>847</v>
      </c>
      <c r="B346" s="473" t="s">
        <v>1165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
      <c r="A347" s="79" t="s">
        <v>847</v>
      </c>
      <c r="B347" s="473" t="s">
        <v>1166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
      <c r="A348" s="79" t="s">
        <v>847</v>
      </c>
      <c r="B348" s="473" t="s">
        <v>1167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
      <c r="A349" s="79" t="s">
        <v>847</v>
      </c>
      <c r="B349" s="473" t="s">
        <v>1168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
      <c r="A350" s="79" t="s">
        <v>847</v>
      </c>
      <c r="B350" s="473" t="s">
        <v>1169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
      <c r="A351" s="79" t="s">
        <v>847</v>
      </c>
      <c r="B351" s="473" t="s">
        <v>1170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
      <c r="A352" s="79" t="s">
        <v>847</v>
      </c>
      <c r="B352" s="473" t="s">
        <v>1171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
      <c r="A353" s="79" t="s">
        <v>847</v>
      </c>
      <c r="B353" s="473" t="s">
        <v>1172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
      <c r="A354" s="79" t="s">
        <v>847</v>
      </c>
      <c r="B354" s="473" t="s">
        <v>1173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
      <c r="A355" s="79" t="s">
        <v>847</v>
      </c>
      <c r="B355" s="473" t="s">
        <v>1174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
      <c r="A356" s="79" t="s">
        <v>847</v>
      </c>
      <c r="B356" s="473" t="s">
        <v>1175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
      <c r="A357" s="79" t="s">
        <v>847</v>
      </c>
      <c r="B357" s="473" t="s">
        <v>1176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
      <c r="A358" s="79" t="s">
        <v>847</v>
      </c>
      <c r="B358" s="473" t="s">
        <v>1177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
      <c r="A359" s="79" t="s">
        <v>847</v>
      </c>
      <c r="B359" s="473" t="s">
        <v>1178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
      <c r="A360" s="79" t="s">
        <v>847</v>
      </c>
      <c r="B360" s="473" t="s">
        <v>1179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
      <c r="A361" s="79" t="s">
        <v>847</v>
      </c>
      <c r="B361" s="473" t="s">
        <v>1180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
      <c r="A362" s="79" t="s">
        <v>847</v>
      </c>
      <c r="B362" s="473" t="s">
        <v>1181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
      <c r="A363" s="79" t="s">
        <v>847</v>
      </c>
      <c r="B363" s="473" t="s">
        <v>1182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
      <c r="A364" s="79" t="s">
        <v>847</v>
      </c>
      <c r="B364" s="473" t="s">
        <v>1183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
      <c r="A365" s="79" t="s">
        <v>847</v>
      </c>
      <c r="B365" s="473" t="s">
        <v>1184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
      <c r="A366" s="79" t="s">
        <v>847</v>
      </c>
      <c r="B366" s="473" t="s">
        <v>1185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
      <c r="A367" s="79" t="s">
        <v>847</v>
      </c>
      <c r="B367" s="473" t="s">
        <v>1186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
      <c r="A368" s="79" t="s">
        <v>847</v>
      </c>
      <c r="B368" s="473" t="s">
        <v>1187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
      <c r="A369" s="79" t="s">
        <v>847</v>
      </c>
      <c r="B369" s="473" t="s">
        <v>1188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
      <c r="A370" s="79" t="s">
        <v>847</v>
      </c>
      <c r="B370" s="473" t="s">
        <v>1189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
      <c r="A371" s="79" t="s">
        <v>847</v>
      </c>
      <c r="B371" s="473" t="s">
        <v>1190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
      <c r="A372" s="79" t="s">
        <v>847</v>
      </c>
      <c r="B372" s="473" t="s">
        <v>1191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
      <c r="A373" s="79" t="s">
        <v>847</v>
      </c>
      <c r="B373" s="473" t="s">
        <v>1192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
      <c r="A374" s="79" t="s">
        <v>847</v>
      </c>
      <c r="B374" s="473" t="s">
        <v>1193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
      <c r="A375" s="79" t="s">
        <v>847</v>
      </c>
      <c r="B375" s="473" t="s">
        <v>1194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
      <c r="A376" s="79" t="s">
        <v>847</v>
      </c>
      <c r="B376" s="473" t="s">
        <v>1195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
      <c r="A377" s="79" t="s">
        <v>847</v>
      </c>
      <c r="B377" s="473" t="s">
        <v>1196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
      <c r="A378" s="79" t="s">
        <v>847</v>
      </c>
      <c r="B378" s="473" t="s">
        <v>1197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
      <c r="A379" s="79" t="s">
        <v>847</v>
      </c>
      <c r="B379" s="473" t="s">
        <v>1198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
      <c r="A380" s="79" t="s">
        <v>847</v>
      </c>
      <c r="B380" s="473" t="s">
        <v>1199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
      <c r="A381" s="79" t="s">
        <v>847</v>
      </c>
      <c r="B381" s="473" t="s">
        <v>1200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
      <c r="A382" s="79" t="s">
        <v>847</v>
      </c>
      <c r="B382" s="473" t="s">
        <v>1201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
      <c r="A383" s="79" t="s">
        <v>847</v>
      </c>
      <c r="B383" s="473" t="s">
        <v>1202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
      <c r="A384" s="79" t="s">
        <v>847</v>
      </c>
      <c r="B384" s="473" t="s">
        <v>1203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
      <c r="A385" s="79" t="s">
        <v>847</v>
      </c>
      <c r="B385" s="473" t="s">
        <v>1204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
      <c r="A386" s="79" t="s">
        <v>847</v>
      </c>
      <c r="B386" s="473" t="s">
        <v>1205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
      <c r="A387" s="79" t="s">
        <v>847</v>
      </c>
      <c r="B387" s="473" t="s">
        <v>1206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
      <c r="A388" s="79" t="s">
        <v>847</v>
      </c>
      <c r="B388" s="473" t="s">
        <v>1207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
      <c r="A389" s="79" t="s">
        <v>847</v>
      </c>
      <c r="B389" s="473" t="s">
        <v>1208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
      <c r="A390" s="79" t="s">
        <v>847</v>
      </c>
      <c r="B390" s="473" t="s">
        <v>1209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
      <c r="A391" s="79" t="s">
        <v>847</v>
      </c>
      <c r="B391" s="473" t="s">
        <v>1210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
      <c r="A392" s="79" t="s">
        <v>847</v>
      </c>
      <c r="B392" s="473" t="s">
        <v>1211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
      <c r="A393" s="79" t="s">
        <v>847</v>
      </c>
      <c r="B393" s="473" t="s">
        <v>1212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
      <c r="A394" s="79" t="s">
        <v>847</v>
      </c>
      <c r="B394" s="473" t="s">
        <v>1213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
      <c r="A395" s="79" t="s">
        <v>847</v>
      </c>
      <c r="B395" s="473" t="s">
        <v>1214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
      <c r="A396" s="79" t="s">
        <v>847</v>
      </c>
      <c r="B396" s="473" t="s">
        <v>1215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
      <c r="A397" s="79" t="s">
        <v>847</v>
      </c>
      <c r="B397" s="473" t="s">
        <v>1216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
      <c r="A398" s="79" t="s">
        <v>847</v>
      </c>
      <c r="B398" s="473" t="s">
        <v>1217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
      <c r="A399" s="79" t="s">
        <v>847</v>
      </c>
      <c r="B399" s="473" t="s">
        <v>1218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
      <c r="A400" s="79" t="s">
        <v>847</v>
      </c>
      <c r="B400" s="473" t="s">
        <v>1219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
      <c r="A401" s="79" t="s">
        <v>847</v>
      </c>
      <c r="B401" s="473" t="s">
        <v>1220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
      <c r="A402" s="79" t="s">
        <v>847</v>
      </c>
      <c r="B402" s="473" t="s">
        <v>1221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
      <c r="A403" s="79" t="s">
        <v>847</v>
      </c>
      <c r="B403" s="473" t="s">
        <v>1222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
      <c r="A404" s="79" t="s">
        <v>847</v>
      </c>
      <c r="B404" s="473" t="s">
        <v>1223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
      <c r="A405" s="79" t="s">
        <v>847</v>
      </c>
      <c r="B405" s="473" t="s">
        <v>1224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
      <c r="A406" s="79" t="s">
        <v>847</v>
      </c>
      <c r="B406" s="473" t="s">
        <v>1225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
      <c r="A407" s="79" t="s">
        <v>847</v>
      </c>
      <c r="B407" s="473" t="s">
        <v>1226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
      <c r="A408" s="79" t="s">
        <v>847</v>
      </c>
      <c r="B408" s="473" t="s">
        <v>1227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
      <c r="A409" s="79" t="s">
        <v>847</v>
      </c>
      <c r="B409" s="473" t="s">
        <v>1228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
      <c r="A410" s="79" t="s">
        <v>847</v>
      </c>
      <c r="B410" s="473" t="s">
        <v>1229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
      <c r="A411" s="79" t="s">
        <v>847</v>
      </c>
      <c r="B411" s="473" t="s">
        <v>1230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
      <c r="A412" s="79" t="s">
        <v>847</v>
      </c>
      <c r="B412" s="473" t="s">
        <v>1231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
      <c r="A413" s="79" t="s">
        <v>847</v>
      </c>
      <c r="B413" s="473" t="s">
        <v>1232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
      <c r="A414" s="79" t="s">
        <v>847</v>
      </c>
      <c r="B414" s="473" t="s">
        <v>1233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
      <c r="A415" s="79" t="s">
        <v>847</v>
      </c>
      <c r="B415" s="473" t="s">
        <v>1234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
      <c r="A416" s="79" t="s">
        <v>847</v>
      </c>
      <c r="B416" s="473" t="s">
        <v>1235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
      <c r="A417" s="79" t="s">
        <v>847</v>
      </c>
      <c r="B417" s="473" t="s">
        <v>1236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
      <c r="A418" s="79" t="s">
        <v>847</v>
      </c>
      <c r="B418" s="473" t="s">
        <v>1237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
      <c r="A419" s="79" t="s">
        <v>847</v>
      </c>
      <c r="B419" s="473" t="s">
        <v>1238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
      <c r="A420" s="79" t="s">
        <v>847</v>
      </c>
      <c r="B420" s="473" t="s">
        <v>1239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
      <c r="A421" s="79" t="s">
        <v>847</v>
      </c>
      <c r="B421" s="473" t="s">
        <v>1240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
      <c r="A422" s="79" t="s">
        <v>847</v>
      </c>
      <c r="B422" s="473" t="s">
        <v>1241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
      <c r="A423" s="79" t="s">
        <v>847</v>
      </c>
      <c r="B423" s="473" t="s">
        <v>1242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
      <c r="A424" s="79" t="s">
        <v>847</v>
      </c>
      <c r="B424" s="473" t="s">
        <v>1243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
      <c r="A425" s="79" t="s">
        <v>847</v>
      </c>
      <c r="B425" s="473" t="s">
        <v>1244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
      <c r="A426" s="79" t="s">
        <v>847</v>
      </c>
      <c r="B426" s="473" t="s">
        <v>1245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
      <c r="A427" s="79" t="s">
        <v>847</v>
      </c>
      <c r="B427" s="473" t="s">
        <v>1246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
      <c r="A428" s="79" t="s">
        <v>847</v>
      </c>
      <c r="B428" s="473" t="s">
        <v>1247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
      <c r="A429" s="79" t="s">
        <v>847</v>
      </c>
      <c r="B429" s="473" t="s">
        <v>1248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
      <c r="A430" s="79" t="s">
        <v>847</v>
      </c>
      <c r="B430" s="473" t="s">
        <v>1249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
      <c r="A431" s="79" t="s">
        <v>847</v>
      </c>
      <c r="B431" s="473" t="s">
        <v>1250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
      <c r="A432" s="79" t="s">
        <v>847</v>
      </c>
      <c r="B432" s="473" t="s">
        <v>1251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
      <c r="A433" s="79" t="s">
        <v>847</v>
      </c>
      <c r="B433" s="473" t="s">
        <v>1252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
      <c r="A434" s="79" t="s">
        <v>847</v>
      </c>
      <c r="B434" s="473" t="s">
        <v>1253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
      <c r="A435" s="79" t="s">
        <v>847</v>
      </c>
      <c r="B435" s="473" t="s">
        <v>1254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
      <c r="A436" s="79" t="s">
        <v>847</v>
      </c>
      <c r="B436" s="473" t="s">
        <v>1255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
      <c r="A437" s="79" t="s">
        <v>847</v>
      </c>
      <c r="B437" s="473" t="s">
        <v>1256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
      <c r="A438" s="79" t="s">
        <v>847</v>
      </c>
      <c r="B438" s="473" t="s">
        <v>1257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
      <c r="A439" s="79" t="s">
        <v>847</v>
      </c>
      <c r="B439" s="473" t="s">
        <v>1258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
      <c r="A440" s="79" t="s">
        <v>847</v>
      </c>
      <c r="B440" s="473" t="s">
        <v>1259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
      <c r="A441" s="79" t="s">
        <v>847</v>
      </c>
      <c r="B441" s="473" t="s">
        <v>1260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
      <c r="A442" s="79" t="s">
        <v>847</v>
      </c>
      <c r="B442" s="473" t="s">
        <v>1261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
      <c r="A443" s="79" t="s">
        <v>847</v>
      </c>
      <c r="B443" s="473" t="s">
        <v>1262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
      <c r="A444" s="79" t="s">
        <v>847</v>
      </c>
      <c r="B444" s="473" t="s">
        <v>1263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
      <c r="A445" s="79" t="s">
        <v>847</v>
      </c>
      <c r="B445" s="473" t="s">
        <v>1264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
      <c r="A446" s="79" t="s">
        <v>847</v>
      </c>
      <c r="B446" s="473" t="s">
        <v>1265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
      <c r="A447" s="79" t="s">
        <v>847</v>
      </c>
      <c r="B447" s="473" t="s">
        <v>1266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
      <c r="A448" s="79" t="s">
        <v>847</v>
      </c>
      <c r="B448" s="473" t="s">
        <v>1267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
      <c r="A449" s="79" t="s">
        <v>847</v>
      </c>
      <c r="B449" s="473" t="s">
        <v>1268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
      <c r="A450" s="79" t="s">
        <v>847</v>
      </c>
      <c r="B450" s="473" t="s">
        <v>1269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
      <c r="A451" s="79" t="s">
        <v>847</v>
      </c>
      <c r="B451" s="473" t="s">
        <v>1270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
      <c r="A452" s="79" t="s">
        <v>847</v>
      </c>
      <c r="B452" s="473" t="s">
        <v>1271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
      <c r="A453" s="79" t="s">
        <v>847</v>
      </c>
      <c r="B453" s="473" t="s">
        <v>1272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
      <c r="A454" s="79" t="s">
        <v>847</v>
      </c>
      <c r="B454" s="473" t="s">
        <v>1273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
      <c r="A455" s="79" t="s">
        <v>847</v>
      </c>
      <c r="B455" s="473" t="s">
        <v>1274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
      <c r="A456" s="79" t="s">
        <v>847</v>
      </c>
      <c r="B456" s="473" t="s">
        <v>1275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
      <c r="A457" s="79" t="s">
        <v>847</v>
      </c>
      <c r="B457" s="473" t="s">
        <v>1276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
      <c r="A458" s="79" t="s">
        <v>847</v>
      </c>
      <c r="B458" s="473" t="s">
        <v>1277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
      <c r="A459" s="79" t="s">
        <v>847</v>
      </c>
      <c r="B459" s="473" t="s">
        <v>1278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
      <c r="A460" s="79" t="s">
        <v>847</v>
      </c>
      <c r="B460" s="473" t="s">
        <v>1279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
      <c r="A461" s="79" t="s">
        <v>847</v>
      </c>
      <c r="B461" s="473" t="s">
        <v>1280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
      <c r="A462" s="79" t="s">
        <v>847</v>
      </c>
      <c r="B462" s="473" t="s">
        <v>1281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
      <c r="A463" s="79" t="s">
        <v>847</v>
      </c>
      <c r="B463" s="473" t="s">
        <v>1282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
      <c r="A464" s="79" t="s">
        <v>847</v>
      </c>
      <c r="B464" s="473" t="s">
        <v>1283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
      <c r="A465" s="79" t="s">
        <v>847</v>
      </c>
      <c r="B465" s="473" t="s">
        <v>1284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
      <c r="A466" s="79" t="s">
        <v>847</v>
      </c>
      <c r="B466" s="473" t="s">
        <v>1284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
      <c r="A467" s="79" t="s">
        <v>847</v>
      </c>
      <c r="B467" s="473" t="s">
        <v>1285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
      <c r="A468" s="79" t="s">
        <v>847</v>
      </c>
      <c r="B468" s="473" t="s">
        <v>1286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
      <c r="A469" s="79" t="s">
        <v>847</v>
      </c>
      <c r="B469" s="473" t="s">
        <v>1287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
      <c r="A470" s="79" t="s">
        <v>847</v>
      </c>
      <c r="B470" s="473" t="s">
        <v>1288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
      <c r="A471" s="79" t="s">
        <v>847</v>
      </c>
      <c r="B471" s="473" t="s">
        <v>1289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
      <c r="A472" s="79" t="s">
        <v>847</v>
      </c>
      <c r="B472" s="473" t="s">
        <v>1290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
      <c r="A473" s="79" t="s">
        <v>847</v>
      </c>
      <c r="B473" s="473" t="s">
        <v>1291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
      <c r="A474" s="79" t="s">
        <v>847</v>
      </c>
      <c r="B474" s="473" t="s">
        <v>1292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
      <c r="A475" s="79" t="s">
        <v>847</v>
      </c>
      <c r="B475" s="473" t="s">
        <v>1293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
      <c r="A476" s="79" t="s">
        <v>847</v>
      </c>
      <c r="B476" s="473" t="s">
        <v>1294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
      <c r="A477" s="79" t="s">
        <v>847</v>
      </c>
      <c r="B477" s="473" t="s">
        <v>1295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
      <c r="A478" s="79" t="s">
        <v>847</v>
      </c>
      <c r="B478" s="473" t="s">
        <v>1296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
      <c r="A479" s="79" t="s">
        <v>847</v>
      </c>
      <c r="B479" s="473" t="s">
        <v>1297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
      <c r="A480" s="79" t="s">
        <v>847</v>
      </c>
      <c r="B480" s="473" t="s">
        <v>1298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
      <c r="A481" s="79" t="s">
        <v>847</v>
      </c>
      <c r="B481" s="473" t="s">
        <v>1299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
      <c r="A482" s="79" t="s">
        <v>847</v>
      </c>
      <c r="B482" s="473" t="s">
        <v>1300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
      <c r="A483" s="79" t="s">
        <v>847</v>
      </c>
      <c r="B483" s="473" t="s">
        <v>1301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
      <c r="A484" s="79" t="s">
        <v>847</v>
      </c>
      <c r="B484" s="473" t="s">
        <v>1302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
      <c r="A485" s="79" t="s">
        <v>847</v>
      </c>
      <c r="B485" s="473" t="s">
        <v>1303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
      <c r="A486" s="79" t="s">
        <v>847</v>
      </c>
      <c r="B486" s="473" t="s">
        <v>1304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
      <c r="A487" s="79" t="s">
        <v>847</v>
      </c>
      <c r="B487" s="473" t="s">
        <v>1305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
      <c r="A488" s="79" t="s">
        <v>847</v>
      </c>
      <c r="B488" s="473" t="s">
        <v>1306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
      <c r="A489" s="79" t="s">
        <v>847</v>
      </c>
      <c r="B489" s="473" t="s">
        <v>1307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
      <c r="A490" s="79" t="s">
        <v>847</v>
      </c>
      <c r="B490" s="473" t="s">
        <v>1308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
      <c r="A491" s="79" t="s">
        <v>847</v>
      </c>
      <c r="B491" s="473" t="s">
        <v>1309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
      <c r="A492" s="79" t="s">
        <v>847</v>
      </c>
      <c r="B492" s="473" t="s">
        <v>1310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
      <c r="A493" s="79" t="s">
        <v>847</v>
      </c>
      <c r="B493" s="473" t="s">
        <v>1311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
      <c r="A494" s="79" t="s">
        <v>847</v>
      </c>
      <c r="B494" s="473" t="s">
        <v>1312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
      <c r="A495" s="79" t="s">
        <v>847</v>
      </c>
      <c r="B495" s="473" t="s">
        <v>1313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
      <c r="A496" s="79" t="s">
        <v>847</v>
      </c>
      <c r="B496" s="473" t="s">
        <v>1314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
      <c r="A497" s="79" t="s">
        <v>847</v>
      </c>
      <c r="B497" s="473" t="s">
        <v>1315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
      <c r="A498" s="79" t="s">
        <v>847</v>
      </c>
      <c r="B498" s="473" t="s">
        <v>1316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
      <c r="A499" s="79" t="s">
        <v>847</v>
      </c>
      <c r="B499" s="473" t="s">
        <v>1317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
      <c r="A500" s="79" t="s">
        <v>847</v>
      </c>
      <c r="B500" s="473" t="s">
        <v>1318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
      <c r="A501" s="79" t="s">
        <v>847</v>
      </c>
      <c r="B501" s="473" t="s">
        <v>1319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
      <c r="A502" s="79" t="s">
        <v>847</v>
      </c>
      <c r="B502" s="473" t="s">
        <v>1320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
      <c r="A503" s="79" t="s">
        <v>847</v>
      </c>
      <c r="B503" s="473" t="s">
        <v>1321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
      <c r="A504" s="79" t="s">
        <v>847</v>
      </c>
      <c r="B504" s="473" t="s">
        <v>1322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
      <c r="A505" s="79" t="s">
        <v>847</v>
      </c>
      <c r="B505" s="473" t="s">
        <v>1323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
      <c r="A506" s="79" t="s">
        <v>847</v>
      </c>
      <c r="B506" s="473" t="s">
        <v>1324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
      <c r="A507" s="79" t="s">
        <v>847</v>
      </c>
      <c r="B507" s="473" t="s">
        <v>1325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
      <c r="A508" s="79" t="s">
        <v>847</v>
      </c>
      <c r="B508" s="473" t="s">
        <v>1326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
      <c r="A509" s="79" t="s">
        <v>847</v>
      </c>
      <c r="B509" s="473" t="s">
        <v>1327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
      <c r="A510" s="79" t="s">
        <v>847</v>
      </c>
      <c r="B510" s="473" t="s">
        <v>1328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
      <c r="A511" s="79" t="s">
        <v>847</v>
      </c>
      <c r="B511" s="473" t="s">
        <v>1329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
      <c r="A512" s="79" t="s">
        <v>847</v>
      </c>
      <c r="B512" s="473" t="s">
        <v>1330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
      <c r="A513" s="79" t="s">
        <v>847</v>
      </c>
      <c r="B513" s="473" t="s">
        <v>1331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
      <c r="A514" s="79" t="s">
        <v>847</v>
      </c>
      <c r="B514" s="473" t="s">
        <v>1332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
      <c r="A515" s="79" t="s">
        <v>847</v>
      </c>
      <c r="B515" s="473" t="s">
        <v>1333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
      <c r="A516" s="79" t="s">
        <v>847</v>
      </c>
      <c r="B516" s="473" t="s">
        <v>1334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
      <c r="A517" s="79" t="s">
        <v>847</v>
      </c>
      <c r="B517" s="473" t="s">
        <v>1335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
      <c r="A518" s="79" t="s">
        <v>847</v>
      </c>
      <c r="B518" s="473" t="s">
        <v>1336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
      <c r="A519" s="79" t="s">
        <v>847</v>
      </c>
      <c r="B519" s="473" t="s">
        <v>1337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
      <c r="A520" s="79" t="s">
        <v>847</v>
      </c>
      <c r="B520" s="473" t="s">
        <v>1338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
      <c r="A521" s="79" t="s">
        <v>847</v>
      </c>
      <c r="B521" s="473" t="s">
        <v>1339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
      <c r="A522" s="79" t="s">
        <v>847</v>
      </c>
      <c r="B522" s="473" t="s">
        <v>1340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
      <c r="A523" s="79" t="s">
        <v>847</v>
      </c>
      <c r="B523" s="473" t="s">
        <v>1341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
      <c r="A524" s="79" t="s">
        <v>847</v>
      </c>
      <c r="B524" s="473" t="s">
        <v>1342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
      <c r="A525" s="79" t="s">
        <v>847</v>
      </c>
      <c r="B525" s="473" t="s">
        <v>1343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
      <c r="A526" s="79" t="s">
        <v>847</v>
      </c>
      <c r="B526" s="473" t="s">
        <v>1344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
      <c r="A527" s="79" t="s">
        <v>847</v>
      </c>
      <c r="B527" s="473" t="s">
        <v>1345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
      <c r="A528" s="79" t="s">
        <v>847</v>
      </c>
      <c r="B528" s="473" t="s">
        <v>1346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
      <c r="A529" s="79" t="s">
        <v>847</v>
      </c>
      <c r="B529" s="473" t="s">
        <v>1347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
      <c r="A530" s="79" t="s">
        <v>847</v>
      </c>
      <c r="B530" s="473" t="s">
        <v>1348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
      <c r="A531" s="79" t="s">
        <v>847</v>
      </c>
      <c r="B531" s="473" t="s">
        <v>1349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
      <c r="A532" s="79" t="s">
        <v>847</v>
      </c>
      <c r="B532" s="473" t="s">
        <v>1350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
      <c r="A533" s="79" t="s">
        <v>847</v>
      </c>
      <c r="B533" s="473" t="s">
        <v>1351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
      <c r="A534" s="79" t="s">
        <v>847</v>
      </c>
      <c r="B534" s="473" t="s">
        <v>1352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
      <c r="A535" s="79" t="s">
        <v>847</v>
      </c>
      <c r="B535" s="473" t="s">
        <v>1353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
      <c r="A536" s="79" t="s">
        <v>847</v>
      </c>
      <c r="B536" s="473" t="s">
        <v>1354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
      <c r="A537" s="79" t="s">
        <v>847</v>
      </c>
      <c r="B537" s="473" t="s">
        <v>1355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
      <c r="A538" s="79" t="s">
        <v>847</v>
      </c>
      <c r="B538" s="473" t="s">
        <v>1356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
      <c r="A539" s="79" t="s">
        <v>847</v>
      </c>
      <c r="B539" s="473" t="s">
        <v>1357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
      <c r="A540" s="79" t="s">
        <v>847</v>
      </c>
      <c r="B540" s="473" t="s">
        <v>1358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
      <c r="A541" s="79" t="s">
        <v>847</v>
      </c>
      <c r="B541" s="473" t="s">
        <v>1359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
      <c r="A542" s="79" t="s">
        <v>847</v>
      </c>
      <c r="B542" s="473" t="s">
        <v>1360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
      <c r="A543" s="79" t="s">
        <v>847</v>
      </c>
      <c r="B543" s="473" t="s">
        <v>1361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
      <c r="A544" s="79" t="s">
        <v>847</v>
      </c>
      <c r="B544" s="473" t="s">
        <v>1362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
      <c r="A545" s="79" t="s">
        <v>847</v>
      </c>
      <c r="B545" s="473" t="s">
        <v>1363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
      <c r="A546" s="79" t="s">
        <v>847</v>
      </c>
      <c r="B546" s="473" t="s">
        <v>1364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
      <c r="A547" s="79" t="s">
        <v>847</v>
      </c>
      <c r="B547" s="473" t="s">
        <v>1365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
      <c r="A548" s="79" t="s">
        <v>847</v>
      </c>
      <c r="B548" s="473" t="s">
        <v>1366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
      <c r="A549" s="79" t="s">
        <v>847</v>
      </c>
      <c r="B549" s="473" t="s">
        <v>1367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
      <c r="A550" s="79" t="s">
        <v>847</v>
      </c>
      <c r="B550" s="473" t="s">
        <v>1368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
      <c r="A551" s="79" t="s">
        <v>847</v>
      </c>
      <c r="B551" s="473" t="s">
        <v>1369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
      <c r="A552" s="79" t="s">
        <v>847</v>
      </c>
      <c r="B552" s="473" t="s">
        <v>1370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
      <c r="A553" s="79" t="s">
        <v>847</v>
      </c>
      <c r="B553" s="473" t="s">
        <v>1371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
      <c r="A554" s="79" t="s">
        <v>847</v>
      </c>
      <c r="B554" s="473" t="s">
        <v>1372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
      <c r="A555" s="79" t="s">
        <v>847</v>
      </c>
      <c r="B555" s="473" t="s">
        <v>1373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
      <c r="A556" s="79" t="s">
        <v>847</v>
      </c>
      <c r="B556" s="473" t="s">
        <v>1374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
      <c r="A557" s="79" t="s">
        <v>847</v>
      </c>
      <c r="B557" s="473" t="s">
        <v>1375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
      <c r="A558" s="79" t="s">
        <v>847</v>
      </c>
      <c r="B558" s="473" t="s">
        <v>1376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
      <c r="A559" s="79" t="s">
        <v>847</v>
      </c>
      <c r="B559" s="473" t="s">
        <v>1377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
      <c r="A560" s="79" t="s">
        <v>847</v>
      </c>
      <c r="B560" s="473" t="s">
        <v>1378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
      <c r="A561" s="79" t="s">
        <v>847</v>
      </c>
      <c r="B561" s="473" t="s">
        <v>1379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
      <c r="A562" s="79" t="s">
        <v>847</v>
      </c>
      <c r="B562" s="473" t="s">
        <v>1380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
      <c r="A563" s="79" t="s">
        <v>847</v>
      </c>
      <c r="B563" s="473" t="s">
        <v>1381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
      <c r="A564" s="79" t="s">
        <v>847</v>
      </c>
      <c r="B564" s="473" t="s">
        <v>1382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
      <c r="A565" s="79" t="s">
        <v>847</v>
      </c>
      <c r="B565" s="473" t="s">
        <v>1383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
      <c r="A566" s="79" t="s">
        <v>847</v>
      </c>
      <c r="B566" s="473" t="s">
        <v>1384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
      <c r="A567" s="79" t="s">
        <v>847</v>
      </c>
      <c r="B567" s="473" t="s">
        <v>1385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
      <c r="A568" s="79" t="s">
        <v>847</v>
      </c>
      <c r="B568" s="473" t="s">
        <v>1386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
      <c r="A569" s="79" t="s">
        <v>847</v>
      </c>
      <c r="B569" s="473" t="s">
        <v>1387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
      <c r="A570" s="79" t="s">
        <v>847</v>
      </c>
      <c r="B570" s="473" t="s">
        <v>1388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
      <c r="A571" s="79" t="s">
        <v>847</v>
      </c>
      <c r="B571" s="473" t="s">
        <v>1389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
      <c r="A572" s="79" t="s">
        <v>847</v>
      </c>
      <c r="B572" s="473" t="s">
        <v>1390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
      <c r="A573" s="79" t="s">
        <v>847</v>
      </c>
      <c r="B573" s="473" t="s">
        <v>1391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
      <c r="A574" s="79" t="s">
        <v>847</v>
      </c>
      <c r="B574" s="473" t="s">
        <v>1392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
      <c r="A575" s="79" t="s">
        <v>847</v>
      </c>
      <c r="B575" s="473" t="s">
        <v>1393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
      <c r="A576" s="79" t="s">
        <v>847</v>
      </c>
      <c r="B576" s="473" t="s">
        <v>1394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
      <c r="A577" s="79" t="s">
        <v>847</v>
      </c>
      <c r="B577" s="473" t="s">
        <v>1395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
      <c r="A578" s="79" t="s">
        <v>847</v>
      </c>
      <c r="B578" s="473" t="s">
        <v>1396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
      <c r="A579" s="79" t="s">
        <v>847</v>
      </c>
      <c r="B579" s="473" t="s">
        <v>1397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
      <c r="A580" s="79" t="s">
        <v>847</v>
      </c>
      <c r="B580" s="473" t="s">
        <v>1398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
      <c r="A581" s="79" t="s">
        <v>847</v>
      </c>
      <c r="B581" s="473" t="s">
        <v>1399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
      <c r="A582" s="79" t="s">
        <v>847</v>
      </c>
      <c r="B582" s="473" t="s">
        <v>1400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
      <c r="A583" s="79" t="s">
        <v>847</v>
      </c>
      <c r="B583" s="473" t="s">
        <v>1401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
      <c r="A584" s="79" t="s">
        <v>847</v>
      </c>
      <c r="B584" s="473" t="s">
        <v>1402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
      <c r="A585" s="79" t="s">
        <v>847</v>
      </c>
      <c r="B585" s="473" t="s">
        <v>1403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
      <c r="A586" s="79" t="s">
        <v>847</v>
      </c>
      <c r="B586" s="473" t="s">
        <v>1404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
      <c r="A587" s="79" t="s">
        <v>847</v>
      </c>
      <c r="B587" s="473" t="s">
        <v>1405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
      <c r="A588" s="79" t="s">
        <v>847</v>
      </c>
      <c r="B588" s="473" t="s">
        <v>1406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
      <c r="A589" s="79" t="s">
        <v>847</v>
      </c>
      <c r="B589" s="473" t="s">
        <v>1407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
      <c r="A590" s="79" t="s">
        <v>847</v>
      </c>
      <c r="B590" s="473" t="s">
        <v>1408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
      <c r="A591" s="79" t="s">
        <v>847</v>
      </c>
      <c r="B591" s="473" t="s">
        <v>1409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
      <c r="A592" s="79" t="s">
        <v>847</v>
      </c>
      <c r="B592" s="473" t="s">
        <v>1410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
      <c r="A593" s="79" t="s">
        <v>847</v>
      </c>
      <c r="B593" s="473" t="s">
        <v>1411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
      <c r="A594" s="79" t="s">
        <v>847</v>
      </c>
      <c r="B594" s="473" t="s">
        <v>1412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
      <c r="A595" s="79" t="s">
        <v>847</v>
      </c>
      <c r="B595" s="473" t="s">
        <v>1413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
      <c r="A596" s="79" t="s">
        <v>847</v>
      </c>
      <c r="B596" s="473" t="s">
        <v>1414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
      <c r="A597" s="79" t="s">
        <v>847</v>
      </c>
      <c r="B597" s="473" t="s">
        <v>1415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
      <c r="A598" s="79" t="s">
        <v>847</v>
      </c>
      <c r="B598" s="473" t="s">
        <v>1416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
      <c r="A599" s="79" t="s">
        <v>847</v>
      </c>
      <c r="B599" s="473" t="s">
        <v>1417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
      <c r="A600" s="79" t="s">
        <v>847</v>
      </c>
      <c r="B600" s="473" t="s">
        <v>1418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
      <c r="A601" s="79" t="s">
        <v>847</v>
      </c>
      <c r="B601" s="473" t="s">
        <v>1419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
      <c r="A602" s="79" t="s">
        <v>847</v>
      </c>
      <c r="B602" s="473" t="s">
        <v>1420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
      <c r="A603" s="79" t="s">
        <v>847</v>
      </c>
      <c r="B603" s="473" t="s">
        <v>1421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
      <c r="A604" s="79" t="s">
        <v>847</v>
      </c>
      <c r="B604" s="473" t="s">
        <v>1422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
      <c r="A605" s="79" t="s">
        <v>847</v>
      </c>
      <c r="B605" s="473" t="s">
        <v>1423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
      <c r="A606" s="79" t="s">
        <v>847</v>
      </c>
      <c r="B606" s="473" t="s">
        <v>1424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
      <c r="A607" s="79" t="s">
        <v>847</v>
      </c>
      <c r="B607" s="473" t="s">
        <v>1425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
      <c r="A608" s="79" t="s">
        <v>847</v>
      </c>
      <c r="B608" s="473" t="s">
        <v>1426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
      <c r="A609" s="79" t="s">
        <v>847</v>
      </c>
      <c r="B609" s="473" t="s">
        <v>1427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
      <c r="A610" s="79" t="s">
        <v>847</v>
      </c>
      <c r="B610" s="473" t="s">
        <v>1428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
      <c r="A611" s="79" t="s">
        <v>847</v>
      </c>
      <c r="B611" s="473" t="s">
        <v>1429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
      <c r="A612" s="79" t="s">
        <v>847</v>
      </c>
      <c r="B612" s="473" t="s">
        <v>1430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
      <c r="A613" s="79" t="s">
        <v>847</v>
      </c>
      <c r="B613" s="473" t="s">
        <v>1431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
      <c r="A614" s="79" t="s">
        <v>847</v>
      </c>
      <c r="B614" s="473" t="s">
        <v>1432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
      <c r="A615" s="79" t="s">
        <v>847</v>
      </c>
      <c r="B615" s="473" t="s">
        <v>1433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
      <c r="A616" s="79" t="s">
        <v>847</v>
      </c>
      <c r="B616" s="473" t="s">
        <v>1434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
      <c r="A617" s="79" t="s">
        <v>847</v>
      </c>
      <c r="B617" s="473" t="s">
        <v>1435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
      <c r="A618" s="79" t="s">
        <v>847</v>
      </c>
      <c r="B618" s="473" t="s">
        <v>1436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
      <c r="A619" s="79" t="s">
        <v>847</v>
      </c>
      <c r="B619" s="473" t="s">
        <v>1437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
      <c r="A620" s="79" t="s">
        <v>847</v>
      </c>
      <c r="B620" s="473" t="s">
        <v>1438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
      <c r="A621" s="79" t="s">
        <v>847</v>
      </c>
      <c r="B621" s="473" t="s">
        <v>1439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
      <c r="A622" s="79" t="s">
        <v>847</v>
      </c>
      <c r="B622" s="473" t="s">
        <v>1440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
      <c r="A623" s="79" t="s">
        <v>847</v>
      </c>
      <c r="B623" s="473" t="s">
        <v>1441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
      <c r="A624" s="79" t="s">
        <v>847</v>
      </c>
      <c r="B624" s="473" t="s">
        <v>1442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
      <c r="A625" s="79" t="s">
        <v>847</v>
      </c>
      <c r="B625" s="473" t="s">
        <v>1443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
      <c r="A626" s="79" t="s">
        <v>847</v>
      </c>
      <c r="B626" s="473" t="s">
        <v>1444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
      <c r="A627" s="79" t="s">
        <v>847</v>
      </c>
      <c r="B627" s="473" t="s">
        <v>1445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
      <c r="A628" s="79" t="s">
        <v>847</v>
      </c>
      <c r="B628" s="473" t="s">
        <v>1446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
      <c r="A629" s="79" t="s">
        <v>847</v>
      </c>
      <c r="B629" s="473" t="s">
        <v>1447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
      <c r="A630" s="79" t="s">
        <v>847</v>
      </c>
      <c r="B630" s="473" t="s">
        <v>1448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
      <c r="A631" s="79" t="s">
        <v>847</v>
      </c>
      <c r="B631" s="473" t="s">
        <v>1449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
      <c r="A632" s="79" t="s">
        <v>847</v>
      </c>
      <c r="B632" s="473" t="s">
        <v>1450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
      <c r="A633" s="79" t="s">
        <v>847</v>
      </c>
      <c r="B633" s="473" t="s">
        <v>1451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
      <c r="A634" s="79" t="s">
        <v>847</v>
      </c>
      <c r="B634" s="473" t="s">
        <v>1452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
      <c r="A635" s="79" t="s">
        <v>847</v>
      </c>
      <c r="B635" s="473" t="s">
        <v>1453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
      <c r="A636" s="79" t="s">
        <v>847</v>
      </c>
      <c r="B636" s="473" t="s">
        <v>1454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
      <c r="A637" s="79" t="s">
        <v>847</v>
      </c>
      <c r="B637" s="473" t="s">
        <v>1455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
      <c r="A638" s="79" t="s">
        <v>847</v>
      </c>
      <c r="B638" s="473" t="s">
        <v>1456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
      <c r="A639" s="79" t="s">
        <v>847</v>
      </c>
      <c r="B639" s="473" t="s">
        <v>1457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
      <c r="A640" s="79" t="s">
        <v>847</v>
      </c>
      <c r="B640" s="473" t="s">
        <v>1458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
      <c r="A641" s="79" t="s">
        <v>847</v>
      </c>
      <c r="B641" s="473" t="s">
        <v>1459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
      <c r="A642" s="79" t="s">
        <v>847</v>
      </c>
      <c r="B642" s="473" t="s">
        <v>1460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
      <c r="A643" s="79" t="s">
        <v>847</v>
      </c>
      <c r="B643" s="473" t="s">
        <v>1461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
      <c r="A644" s="79" t="s">
        <v>847</v>
      </c>
      <c r="B644" s="473" t="s">
        <v>1462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
      <c r="A645" s="79" t="s">
        <v>847</v>
      </c>
      <c r="B645" s="473" t="s">
        <v>1463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
      <c r="A646" s="79" t="s">
        <v>847</v>
      </c>
      <c r="B646" s="473" t="s">
        <v>1464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
      <c r="A647" s="79" t="s">
        <v>847</v>
      </c>
      <c r="B647" s="473" t="s">
        <v>1465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
      <c r="A648" s="79" t="s">
        <v>847</v>
      </c>
      <c r="B648" s="473" t="s">
        <v>1466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
      <c r="A649" s="79" t="s">
        <v>847</v>
      </c>
      <c r="B649" s="473" t="s">
        <v>1467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
      <c r="A650" s="79" t="s">
        <v>847</v>
      </c>
      <c r="B650" s="473" t="s">
        <v>1468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
      <c r="A651" s="79" t="s">
        <v>847</v>
      </c>
      <c r="B651" s="473" t="s">
        <v>1469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
      <c r="A652" s="79" t="s">
        <v>847</v>
      </c>
      <c r="B652" s="473" t="s">
        <v>1470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
      <c r="A653" s="79" t="s">
        <v>847</v>
      </c>
      <c r="B653" s="473" t="s">
        <v>1471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
      <c r="A654" s="79" t="s">
        <v>847</v>
      </c>
      <c r="B654" s="473" t="s">
        <v>1472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
      <c r="A655" s="79" t="s">
        <v>847</v>
      </c>
      <c r="B655" s="473" t="s">
        <v>1473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
      <c r="A656" s="79" t="s">
        <v>847</v>
      </c>
      <c r="B656" s="473" t="s">
        <v>1474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
      <c r="A657" s="79" t="s">
        <v>847</v>
      </c>
      <c r="B657" s="473" t="s">
        <v>1475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
      <c r="A658" s="79" t="s">
        <v>847</v>
      </c>
      <c r="B658" s="473" t="s">
        <v>1476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
      <c r="A659" s="79" t="s">
        <v>847</v>
      </c>
      <c r="B659" s="473" t="s">
        <v>1477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
      <c r="A660" s="79" t="s">
        <v>847</v>
      </c>
      <c r="B660" s="473" t="s">
        <v>1478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
      <c r="A661" s="79" t="s">
        <v>847</v>
      </c>
      <c r="B661" s="473" t="s">
        <v>1479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
      <c r="A662" s="79" t="s">
        <v>847</v>
      </c>
      <c r="B662" s="473" t="s">
        <v>1480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
      <c r="A663" s="79" t="s">
        <v>847</v>
      </c>
      <c r="B663" s="473" t="s">
        <v>1481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
      <c r="A664" s="79" t="s">
        <v>847</v>
      </c>
      <c r="B664" s="473" t="s">
        <v>1482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
      <c r="A665" s="79" t="s">
        <v>847</v>
      </c>
      <c r="B665" s="473" t="s">
        <v>1483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
      <c r="A666" s="79" t="s">
        <v>847</v>
      </c>
      <c r="B666" s="473" t="s">
        <v>1484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
      <c r="A667" s="79" t="s">
        <v>847</v>
      </c>
      <c r="B667" s="473" t="s">
        <v>1485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
      <c r="A668" s="79" t="s">
        <v>847</v>
      </c>
      <c r="B668" s="473" t="s">
        <v>1486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
      <c r="A669" s="79" t="s">
        <v>847</v>
      </c>
      <c r="B669" s="473" t="s">
        <v>1487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
      <c r="A670" s="79" t="s">
        <v>847</v>
      </c>
      <c r="B670" s="473" t="s">
        <v>1488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
      <c r="A671" s="79" t="s">
        <v>847</v>
      </c>
      <c r="B671" s="473" t="s">
        <v>1489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
      <c r="A672" s="79" t="s">
        <v>847</v>
      </c>
      <c r="B672" s="473" t="s">
        <v>1490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
      <c r="A673" s="79" t="s">
        <v>847</v>
      </c>
      <c r="B673" s="473" t="s">
        <v>1491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
      <c r="A674" s="79" t="s">
        <v>847</v>
      </c>
      <c r="B674" s="473" t="s">
        <v>1492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
      <c r="A675" s="79" t="s">
        <v>847</v>
      </c>
      <c r="B675" s="473" t="s">
        <v>1493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
      <c r="A676" s="79" t="s">
        <v>847</v>
      </c>
      <c r="B676" s="473" t="s">
        <v>1494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
      <c r="A677" s="79" t="s">
        <v>847</v>
      </c>
      <c r="B677" s="473" t="s">
        <v>1495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
      <c r="A678" s="79" t="s">
        <v>847</v>
      </c>
      <c r="B678" s="473" t="s">
        <v>1496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
      <c r="A679" s="79" t="s">
        <v>847</v>
      </c>
      <c r="B679" s="473" t="s">
        <v>1497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
      <c r="A680" s="79" t="s">
        <v>847</v>
      </c>
      <c r="B680" s="473" t="s">
        <v>1498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
      <c r="A681" s="79" t="s">
        <v>847</v>
      </c>
      <c r="B681" s="473" t="s">
        <v>1499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
      <c r="A682" s="79" t="s">
        <v>847</v>
      </c>
      <c r="B682" s="473" t="s">
        <v>1500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
      <c r="A683" s="79" t="s">
        <v>847</v>
      </c>
      <c r="B683" s="473" t="s">
        <v>1501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
      <c r="A684" s="79" t="s">
        <v>847</v>
      </c>
      <c r="B684" s="473" t="s">
        <v>1502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
      <c r="A685" s="79" t="s">
        <v>847</v>
      </c>
      <c r="B685" s="473" t="s">
        <v>1503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
      <c r="A686" s="79" t="s">
        <v>847</v>
      </c>
      <c r="B686" s="473" t="s">
        <v>1504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
      <c r="A687" s="79" t="s">
        <v>847</v>
      </c>
      <c r="B687" s="473" t="s">
        <v>1505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
      <c r="A688" s="79" t="s">
        <v>847</v>
      </c>
      <c r="B688" s="473" t="s">
        <v>1506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
      <c r="A689" s="79" t="s">
        <v>847</v>
      </c>
      <c r="B689" s="473" t="s">
        <v>1507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
      <c r="A690" s="79" t="s">
        <v>847</v>
      </c>
      <c r="B690" s="473" t="s">
        <v>1508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
      <c r="A691" s="79" t="s">
        <v>847</v>
      </c>
      <c r="B691" s="473" t="s">
        <v>1509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
      <c r="A692" s="79" t="s">
        <v>847</v>
      </c>
      <c r="B692" s="473" t="s">
        <v>1510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
      <c r="A693" s="79" t="s">
        <v>847</v>
      </c>
      <c r="B693" s="473" t="s">
        <v>1511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
      <c r="A694" s="79" t="s">
        <v>847</v>
      </c>
      <c r="B694" s="473" t="s">
        <v>1512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
      <c r="A695" s="79" t="s">
        <v>847</v>
      </c>
      <c r="B695" s="473" t="s">
        <v>1513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
      <c r="A696" s="79" t="s">
        <v>847</v>
      </c>
      <c r="B696" s="473" t="s">
        <v>1514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
      <c r="A697" s="79" t="s">
        <v>847</v>
      </c>
      <c r="B697" s="473" t="s">
        <v>1515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
      <c r="A698" s="79" t="s">
        <v>847</v>
      </c>
      <c r="B698" s="473" t="s">
        <v>1516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
      <c r="A699" s="79" t="s">
        <v>847</v>
      </c>
      <c r="B699" s="473" t="s">
        <v>1517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
      <c r="A700" s="79" t="s">
        <v>847</v>
      </c>
      <c r="B700" s="473" t="s">
        <v>1518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
      <c r="A701" s="79" t="s">
        <v>847</v>
      </c>
      <c r="B701" s="473" t="s">
        <v>1519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
      <c r="A702" s="79" t="s">
        <v>847</v>
      </c>
      <c r="B702" s="473" t="s">
        <v>1520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
      <c r="A703" s="79" t="s">
        <v>847</v>
      </c>
      <c r="B703" s="473" t="s">
        <v>1521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
      <c r="A704" s="79" t="s">
        <v>847</v>
      </c>
      <c r="B704" s="473" t="s">
        <v>1522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
      <c r="A705" s="79" t="s">
        <v>847</v>
      </c>
      <c r="B705" s="473" t="s">
        <v>1523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
      <c r="A706" s="79" t="s">
        <v>847</v>
      </c>
      <c r="B706" s="473" t="s">
        <v>1524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
      <c r="A707" s="79" t="s">
        <v>847</v>
      </c>
      <c r="B707" s="473" t="s">
        <v>1525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
      <c r="A708" s="79" t="s">
        <v>847</v>
      </c>
      <c r="B708" s="473" t="s">
        <v>1526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
      <c r="A709" s="79" t="s">
        <v>847</v>
      </c>
      <c r="B709" s="473" t="s">
        <v>1527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
      <c r="A710" s="79" t="s">
        <v>847</v>
      </c>
      <c r="B710" s="473" t="s">
        <v>1528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
      <c r="A711" s="79" t="s">
        <v>847</v>
      </c>
      <c r="B711" s="473" t="s">
        <v>1529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
      <c r="A712" s="79" t="s">
        <v>847</v>
      </c>
      <c r="B712" s="473" t="s">
        <v>1530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
      <c r="A713" s="79" t="s">
        <v>847</v>
      </c>
      <c r="B713" s="473" t="s">
        <v>1531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
      <c r="A714" s="79" t="s">
        <v>847</v>
      </c>
      <c r="B714" s="473" t="s">
        <v>1532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
      <c r="A715" s="79" t="s">
        <v>847</v>
      </c>
      <c r="B715" s="473" t="s">
        <v>1533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
      <c r="A716" s="79" t="s">
        <v>847</v>
      </c>
      <c r="B716" s="473" t="s">
        <v>1534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
      <c r="A717" s="79" t="s">
        <v>847</v>
      </c>
      <c r="B717" s="473" t="s">
        <v>1535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
      <c r="A718" s="79" t="s">
        <v>847</v>
      </c>
      <c r="B718" s="473" t="s">
        <v>1536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
      <c r="A719" s="79" t="s">
        <v>847</v>
      </c>
      <c r="B719" s="473" t="s">
        <v>1537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
      <c r="A720" s="79" t="s">
        <v>847</v>
      </c>
      <c r="B720" s="473" t="s">
        <v>1538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
      <c r="A721" s="79" t="s">
        <v>847</v>
      </c>
      <c r="B721" s="473" t="s">
        <v>1539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
      <c r="A722" s="79" t="s">
        <v>847</v>
      </c>
      <c r="B722" s="473" t="s">
        <v>1540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
      <c r="A723" s="79" t="s">
        <v>847</v>
      </c>
      <c r="B723" s="473" t="s">
        <v>1541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
      <c r="A724" s="79" t="s">
        <v>847</v>
      </c>
      <c r="B724" s="473" t="s">
        <v>1542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
      <c r="A725" s="79" t="s">
        <v>847</v>
      </c>
      <c r="B725" s="473" t="s">
        <v>1543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
      <c r="A726" s="79" t="s">
        <v>847</v>
      </c>
      <c r="B726" s="473" t="s">
        <v>1544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
      <c r="A727" s="79" t="s">
        <v>847</v>
      </c>
      <c r="B727" s="473" t="s">
        <v>1545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
      <c r="A728" s="79" t="s">
        <v>847</v>
      </c>
      <c r="B728" s="473" t="s">
        <v>1546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
      <c r="A729" s="79" t="s">
        <v>847</v>
      </c>
      <c r="B729" s="473" t="s">
        <v>1547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
      <c r="A730" s="79" t="s">
        <v>847</v>
      </c>
      <c r="B730" s="473" t="s">
        <v>1548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
      <c r="A731" s="79" t="s">
        <v>847</v>
      </c>
      <c r="B731" s="473" t="s">
        <v>1549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
      <c r="A732" s="79" t="s">
        <v>847</v>
      </c>
      <c r="B732" s="473" t="s">
        <v>1550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
      <c r="A733" s="79" t="s">
        <v>847</v>
      </c>
      <c r="B733" s="473" t="s">
        <v>1551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
      <c r="A734" s="79" t="s">
        <v>847</v>
      </c>
      <c r="B734" s="473" t="s">
        <v>1552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
      <c r="A735" s="79" t="s">
        <v>847</v>
      </c>
      <c r="B735" s="473" t="s">
        <v>1553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
      <c r="A736" s="79" t="s">
        <v>847</v>
      </c>
      <c r="B736" s="473" t="s">
        <v>1554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
      <c r="A737" s="79" t="s">
        <v>847</v>
      </c>
      <c r="B737" s="473" t="s">
        <v>1555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
      <c r="A738" s="79" t="s">
        <v>847</v>
      </c>
      <c r="B738" s="473" t="s">
        <v>1556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
      <c r="A739" s="79" t="s">
        <v>847</v>
      </c>
      <c r="B739" s="473" t="s">
        <v>1557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
      <c r="A740" s="79" t="s">
        <v>847</v>
      </c>
      <c r="B740" s="473" t="s">
        <v>1558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
      <c r="A741" s="79" t="s">
        <v>847</v>
      </c>
      <c r="B741" s="473" t="s">
        <v>1559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
      <c r="A742" s="79" t="s">
        <v>847</v>
      </c>
      <c r="B742" s="473" t="s">
        <v>1560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
      <c r="A743" s="79" t="s">
        <v>847</v>
      </c>
      <c r="B743" s="473" t="s">
        <v>1561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
      <c r="A744" s="79" t="s">
        <v>847</v>
      </c>
      <c r="B744" s="473" t="s">
        <v>1562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
      <c r="A745" s="79" t="s">
        <v>847</v>
      </c>
      <c r="B745" s="473" t="s">
        <v>1563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
      <c r="A746" s="79" t="s">
        <v>847</v>
      </c>
      <c r="B746" s="473" t="s">
        <v>1564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
      <c r="A747" s="79" t="s">
        <v>847</v>
      </c>
      <c r="B747" s="473" t="s">
        <v>1565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
      <c r="A748" s="79" t="s">
        <v>847</v>
      </c>
      <c r="B748" s="473" t="s">
        <v>1566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
      <c r="A749" s="79" t="s">
        <v>847</v>
      </c>
      <c r="B749" s="473" t="s">
        <v>1567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
      <c r="A750" s="79" t="s">
        <v>847</v>
      </c>
      <c r="B750" s="473" t="s">
        <v>1568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
      <c r="A751" s="79" t="s">
        <v>847</v>
      </c>
      <c r="B751" s="473" t="s">
        <v>1569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
      <c r="A752" s="79" t="s">
        <v>847</v>
      </c>
      <c r="B752" s="473" t="s">
        <v>1570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
      <c r="A753" s="79" t="s">
        <v>847</v>
      </c>
      <c r="B753" s="473" t="s">
        <v>1571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
      <c r="A754" s="79" t="s">
        <v>847</v>
      </c>
      <c r="B754" s="473" t="s">
        <v>1572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
      <c r="A755" s="79" t="s">
        <v>847</v>
      </c>
      <c r="B755" s="473" t="s">
        <v>1573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
      <c r="A756" s="79" t="s">
        <v>847</v>
      </c>
      <c r="B756" s="473" t="s">
        <v>1574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
      <c r="A757" s="79" t="s">
        <v>847</v>
      </c>
      <c r="B757" s="473" t="s">
        <v>1575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
      <c r="A758" s="79" t="s">
        <v>847</v>
      </c>
      <c r="B758" s="473" t="s">
        <v>1576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
      <c r="A759" s="79" t="s">
        <v>847</v>
      </c>
      <c r="B759" s="473" t="s">
        <v>1577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
      <c r="A760" s="79" t="s">
        <v>847</v>
      </c>
      <c r="B760" s="473" t="s">
        <v>1578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
      <c r="A761" s="79" t="s">
        <v>847</v>
      </c>
      <c r="B761" s="473" t="s">
        <v>1579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
      <c r="A762" s="79" t="s">
        <v>847</v>
      </c>
      <c r="B762" s="473" t="s">
        <v>1580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
      <c r="A763" s="79" t="s">
        <v>847</v>
      </c>
      <c r="B763" s="473" t="s">
        <v>1581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
      <c r="A764" s="79" t="s">
        <v>847</v>
      </c>
      <c r="B764" s="473" t="s">
        <v>1582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
      <c r="A765" s="79" t="s">
        <v>847</v>
      </c>
      <c r="B765" s="473" t="s">
        <v>1583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
      <c r="A766" s="79" t="s">
        <v>847</v>
      </c>
      <c r="B766" s="473" t="s">
        <v>1584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
      <c r="A767" s="79" t="s">
        <v>847</v>
      </c>
      <c r="B767" s="473" t="s">
        <v>1585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
      <c r="A768" s="79" t="s">
        <v>847</v>
      </c>
      <c r="B768" s="473" t="s">
        <v>1586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
      <c r="A769" s="79" t="s">
        <v>847</v>
      </c>
      <c r="B769" s="473" t="s">
        <v>1587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
      <c r="A770" s="79" t="s">
        <v>847</v>
      </c>
      <c r="B770" s="473" t="s">
        <v>1588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
      <c r="A771" s="79" t="s">
        <v>847</v>
      </c>
      <c r="B771" s="473" t="s">
        <v>1589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
      <c r="A772" s="79" t="s">
        <v>847</v>
      </c>
      <c r="B772" s="473" t="s">
        <v>1590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
      <c r="A773" s="79" t="s">
        <v>847</v>
      </c>
      <c r="B773" s="473" t="s">
        <v>1591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
      <c r="A774" s="79" t="s">
        <v>847</v>
      </c>
      <c r="B774" s="473" t="s">
        <v>1592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
      <c r="A775" s="79" t="s">
        <v>847</v>
      </c>
      <c r="B775" s="473" t="s">
        <v>1593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
      <c r="A776" s="79" t="s">
        <v>847</v>
      </c>
      <c r="B776" s="473" t="s">
        <v>1594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
      <c r="A777" s="79" t="s">
        <v>847</v>
      </c>
      <c r="B777" s="473" t="s">
        <v>1595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
      <c r="A778" s="79" t="s">
        <v>847</v>
      </c>
      <c r="B778" s="473" t="s">
        <v>1596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
      <c r="A779" s="79" t="s">
        <v>847</v>
      </c>
      <c r="B779" s="473" t="s">
        <v>1597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
      <c r="A780" s="79" t="s">
        <v>847</v>
      </c>
      <c r="B780" s="473" t="s">
        <v>1598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
      <c r="A781" s="79" t="s">
        <v>847</v>
      </c>
      <c r="B781" s="473" t="s">
        <v>1599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
      <c r="A782" s="79" t="s">
        <v>847</v>
      </c>
      <c r="B782" s="473" t="s">
        <v>1600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
      <c r="A783" s="79" t="s">
        <v>847</v>
      </c>
      <c r="B783" s="473" t="s">
        <v>1601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
      <c r="A784" s="79" t="s">
        <v>847</v>
      </c>
      <c r="B784" s="473" t="s">
        <v>1602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
      <c r="A785" s="79" t="s">
        <v>847</v>
      </c>
      <c r="B785" s="473" t="s">
        <v>1603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
      <c r="A786" s="79" t="s">
        <v>847</v>
      </c>
      <c r="B786" s="473" t="s">
        <v>1604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
      <c r="A787" s="79" t="s">
        <v>847</v>
      </c>
      <c r="B787" s="473" t="s">
        <v>1605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
      <c r="A788" s="79" t="s">
        <v>847</v>
      </c>
      <c r="B788" s="473" t="s">
        <v>1606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
      <c r="A789" s="79" t="s">
        <v>847</v>
      </c>
      <c r="B789" s="473" t="s">
        <v>1607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
      <c r="A790" s="79" t="s">
        <v>847</v>
      </c>
      <c r="B790" s="473" t="s">
        <v>1608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
      <c r="A791" s="79" t="s">
        <v>847</v>
      </c>
      <c r="B791" s="473" t="s">
        <v>1609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
      <c r="A792" s="79" t="s">
        <v>847</v>
      </c>
      <c r="B792" s="473" t="s">
        <v>1610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
      <c r="A793" s="79" t="s">
        <v>847</v>
      </c>
      <c r="B793" s="473" t="s">
        <v>1611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
      <c r="A794" s="79" t="s">
        <v>847</v>
      </c>
      <c r="B794" s="473" t="s">
        <v>1612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
      <c r="A795" s="79" t="s">
        <v>847</v>
      </c>
      <c r="B795" s="473" t="s">
        <v>1613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
      <c r="A796" s="79" t="s">
        <v>847</v>
      </c>
      <c r="B796" s="473" t="s">
        <v>1614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
      <c r="A797" s="79" t="s">
        <v>847</v>
      </c>
      <c r="B797" s="473" t="s">
        <v>1615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
      <c r="A798" s="79" t="s">
        <v>847</v>
      </c>
      <c r="B798" s="473" t="s">
        <v>1616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
      <c r="A799" s="79" t="s">
        <v>847</v>
      </c>
      <c r="B799" s="473" t="s">
        <v>1617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
      <c r="A800" s="79" t="s">
        <v>847</v>
      </c>
      <c r="B800" s="473" t="s">
        <v>1618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
      <c r="A801" s="79" t="s">
        <v>847</v>
      </c>
      <c r="B801" s="473" t="s">
        <v>1619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
      <c r="A802" s="79" t="s">
        <v>847</v>
      </c>
      <c r="B802" s="473" t="s">
        <v>1620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
      <c r="A803" s="79" t="s">
        <v>847</v>
      </c>
      <c r="B803" s="473" t="s">
        <v>1621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
      <c r="A804" s="79" t="s">
        <v>847</v>
      </c>
      <c r="B804" s="473" t="s">
        <v>1622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
      <c r="A805" s="79" t="s">
        <v>847</v>
      </c>
      <c r="B805" s="473" t="s">
        <v>1623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
      <c r="A806" s="79" t="s">
        <v>847</v>
      </c>
      <c r="B806" s="473" t="s">
        <v>1624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
      <c r="A807" s="79" t="s">
        <v>847</v>
      </c>
      <c r="B807" s="473" t="s">
        <v>1625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
      <c r="A808" s="79" t="s">
        <v>847</v>
      </c>
      <c r="B808" s="473" t="s">
        <v>1626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
      <c r="A809" s="79" t="s">
        <v>847</v>
      </c>
      <c r="B809" s="473" t="s">
        <v>1627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
      <c r="A810" s="79" t="s">
        <v>847</v>
      </c>
      <c r="B810" s="473" t="s">
        <v>1628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
      <c r="A811" s="79" t="s">
        <v>847</v>
      </c>
      <c r="B811" s="473" t="s">
        <v>1629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
      <c r="A812" s="79" t="s">
        <v>847</v>
      </c>
      <c r="B812" s="473" t="s">
        <v>1630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
      <c r="A813" s="79" t="s">
        <v>847</v>
      </c>
      <c r="B813" s="473" t="s">
        <v>1631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
      <c r="A814" s="79" t="s">
        <v>847</v>
      </c>
      <c r="B814" s="473" t="s">
        <v>1632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
      <c r="A815" s="79" t="s">
        <v>847</v>
      </c>
      <c r="B815" s="473" t="s">
        <v>1633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
      <c r="A816" s="79" t="s">
        <v>847</v>
      </c>
      <c r="B816" s="473" t="s">
        <v>1634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
      <c r="A817" s="79" t="s">
        <v>847</v>
      </c>
      <c r="B817" s="473" t="s">
        <v>1635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
      <c r="A818" s="79" t="s">
        <v>847</v>
      </c>
      <c r="B818" s="473" t="s">
        <v>1636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
      <c r="A819" s="79" t="s">
        <v>847</v>
      </c>
      <c r="B819" s="473" t="s">
        <v>1637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
      <c r="A820" s="79" t="s">
        <v>847</v>
      </c>
      <c r="B820" s="473" t="s">
        <v>1638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
      <c r="A821" s="79" t="s">
        <v>847</v>
      </c>
      <c r="B821" s="473" t="s">
        <v>1639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
      <c r="A822" s="79" t="s">
        <v>847</v>
      </c>
      <c r="B822" s="473" t="s">
        <v>1640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
      <c r="A823" s="79" t="s">
        <v>847</v>
      </c>
      <c r="B823" s="473" t="s">
        <v>1641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
      <c r="A824" s="79" t="s">
        <v>847</v>
      </c>
      <c r="B824" s="473" t="s">
        <v>1642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
      <c r="A825" s="79" t="s">
        <v>847</v>
      </c>
      <c r="B825" s="473" t="s">
        <v>1643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
      <c r="A826" s="79" t="s">
        <v>847</v>
      </c>
      <c r="B826" s="473" t="s">
        <v>1644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
      <c r="A827" s="79" t="s">
        <v>847</v>
      </c>
      <c r="B827" s="473" t="s">
        <v>1645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
      <c r="A828" s="79" t="s">
        <v>847</v>
      </c>
      <c r="B828" s="473" t="s">
        <v>1646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
      <c r="A829" s="79" t="s">
        <v>847</v>
      </c>
      <c r="B829" s="473" t="s">
        <v>1647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
      <c r="A830" s="79" t="s">
        <v>847</v>
      </c>
      <c r="B830" s="473" t="s">
        <v>1648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
      <c r="A831" s="79" t="s">
        <v>847</v>
      </c>
      <c r="B831" s="473" t="s">
        <v>1649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
      <c r="A832" s="79" t="s">
        <v>847</v>
      </c>
      <c r="B832" s="473" t="s">
        <v>1650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
      <c r="A833" s="79" t="s">
        <v>847</v>
      </c>
      <c r="B833" s="473" t="s">
        <v>1651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
      <c r="A834" s="79" t="s">
        <v>847</v>
      </c>
      <c r="B834" s="473" t="s">
        <v>1652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
      <c r="A835" s="79" t="s">
        <v>847</v>
      </c>
      <c r="B835" s="473" t="s">
        <v>1653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
      <c r="A836" s="79" t="s">
        <v>847</v>
      </c>
      <c r="B836" s="473" t="s">
        <v>1654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
      <c r="A837" s="79" t="s">
        <v>847</v>
      </c>
      <c r="B837" s="473" t="s">
        <v>1655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
      <c r="A838" s="79" t="s">
        <v>847</v>
      </c>
      <c r="B838" s="473" t="s">
        <v>1656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
      <c r="A839" s="79" t="s">
        <v>847</v>
      </c>
      <c r="B839" s="473" t="s">
        <v>1657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
      <c r="A840" s="79" t="s">
        <v>847</v>
      </c>
      <c r="B840" s="473" t="s">
        <v>1658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
      <c r="A841" s="79" t="s">
        <v>847</v>
      </c>
      <c r="B841" s="473" t="s">
        <v>1659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
      <c r="A842" s="79" t="s">
        <v>847</v>
      </c>
      <c r="B842" s="473" t="s">
        <v>1660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
      <c r="A843" s="79" t="s">
        <v>847</v>
      </c>
      <c r="B843" s="473" t="s">
        <v>1661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
      <c r="A844" s="79" t="s">
        <v>847</v>
      </c>
      <c r="B844" s="473" t="s">
        <v>1662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
      <c r="A845" s="79" t="s">
        <v>847</v>
      </c>
      <c r="B845" s="473" t="s">
        <v>1663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
      <c r="A846" s="79" t="s">
        <v>847</v>
      </c>
      <c r="B846" s="473" t="s">
        <v>1664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
      <c r="A847" s="79" t="s">
        <v>847</v>
      </c>
      <c r="B847" s="473" t="s">
        <v>1665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
      <c r="A848" s="79" t="s">
        <v>847</v>
      </c>
      <c r="B848" s="473" t="s">
        <v>1666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
      <c r="A849" s="79" t="s">
        <v>847</v>
      </c>
      <c r="B849" s="473" t="s">
        <v>1667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
      <c r="A850" s="79" t="s">
        <v>847</v>
      </c>
      <c r="B850" s="473" t="s">
        <v>1668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
      <c r="A851" s="79" t="s">
        <v>847</v>
      </c>
      <c r="B851" s="473" t="s">
        <v>1669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
      <c r="A852" s="79" t="s">
        <v>847</v>
      </c>
      <c r="B852" s="473" t="s">
        <v>1670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
      <c r="A853" s="79" t="s">
        <v>847</v>
      </c>
      <c r="B853" s="473" t="s">
        <v>1671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
      <c r="A854" s="79" t="s">
        <v>847</v>
      </c>
      <c r="B854" s="473" t="s">
        <v>1672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
      <c r="A855" s="79" t="s">
        <v>847</v>
      </c>
      <c r="B855" s="473" t="s">
        <v>1673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
      <c r="A856" s="79" t="s">
        <v>847</v>
      </c>
      <c r="B856" s="473" t="s">
        <v>1674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
      <c r="A857" s="79" t="s">
        <v>847</v>
      </c>
      <c r="B857" s="473" t="s">
        <v>1675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
      <c r="A858" s="79" t="s">
        <v>847</v>
      </c>
      <c r="B858" s="473" t="s">
        <v>1676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
      <c r="A859" s="79" t="s">
        <v>847</v>
      </c>
      <c r="B859" s="473" t="s">
        <v>1677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
      <c r="A860" s="79" t="s">
        <v>847</v>
      </c>
      <c r="B860" s="473" t="s">
        <v>1678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
      <c r="A861" s="79" t="s">
        <v>847</v>
      </c>
      <c r="B861" s="473" t="s">
        <v>1679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
      <c r="A862" s="79" t="s">
        <v>847</v>
      </c>
      <c r="B862" s="473" t="s">
        <v>1680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
      <c r="A863" s="79" t="s">
        <v>847</v>
      </c>
      <c r="B863" s="473" t="s">
        <v>1681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
      <c r="A864" s="79" t="s">
        <v>847</v>
      </c>
      <c r="B864" s="473" t="s">
        <v>1682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
      <c r="A865" s="79" t="s">
        <v>847</v>
      </c>
      <c r="B865" s="473" t="s">
        <v>1683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
      <c r="A866" s="79" t="s">
        <v>847</v>
      </c>
      <c r="B866" s="473" t="s">
        <v>1684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
      <c r="A867" s="79" t="s">
        <v>847</v>
      </c>
      <c r="B867" s="473" t="s">
        <v>1685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
      <c r="A868" s="79" t="s">
        <v>847</v>
      </c>
      <c r="B868" s="473" t="s">
        <v>1686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
      <c r="A869" s="79" t="s">
        <v>847</v>
      </c>
      <c r="B869" s="473" t="s">
        <v>1687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
      <c r="A870" s="79" t="s">
        <v>847</v>
      </c>
      <c r="B870" s="473" t="s">
        <v>1688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
      <c r="A871" s="79" t="s">
        <v>847</v>
      </c>
      <c r="B871" s="473" t="s">
        <v>1689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
      <c r="A872" s="79" t="s">
        <v>847</v>
      </c>
      <c r="B872" s="473" t="s">
        <v>1690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
      <c r="A873" s="79" t="s">
        <v>847</v>
      </c>
      <c r="B873" s="473" t="s">
        <v>1691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
      <c r="A874" s="79" t="s">
        <v>847</v>
      </c>
      <c r="B874" s="473" t="s">
        <v>1692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
      <c r="A875" s="79" t="s">
        <v>847</v>
      </c>
      <c r="B875" s="473" t="s">
        <v>1693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
      <c r="A876" s="79" t="s">
        <v>847</v>
      </c>
      <c r="B876" s="473" t="s">
        <v>1694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
      <c r="A877" s="79" t="s">
        <v>847</v>
      </c>
      <c r="B877" s="473" t="s">
        <v>1695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
      <c r="A878" s="79" t="s">
        <v>847</v>
      </c>
      <c r="B878" s="473" t="s">
        <v>1696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
      <c r="A879" s="79" t="s">
        <v>847</v>
      </c>
      <c r="B879" s="473" t="s">
        <v>1697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
      <c r="A880" s="79" t="s">
        <v>847</v>
      </c>
      <c r="B880" s="473" t="s">
        <v>1698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
      <c r="A881" s="79" t="s">
        <v>847</v>
      </c>
      <c r="B881" s="473" t="s">
        <v>1699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
      <c r="A882" s="79" t="s">
        <v>847</v>
      </c>
      <c r="B882" s="473" t="s">
        <v>1700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
      <c r="A883" s="79" t="s">
        <v>847</v>
      </c>
      <c r="B883" s="473" t="s">
        <v>1701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
      <c r="A884" s="79" t="s">
        <v>847</v>
      </c>
      <c r="B884" s="473" t="s">
        <v>1702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
      <c r="A885" s="79" t="s">
        <v>847</v>
      </c>
      <c r="B885" s="473" t="s">
        <v>1703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
      <c r="A886" s="79" t="s">
        <v>847</v>
      </c>
      <c r="B886" s="473" t="s">
        <v>1704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
      <c r="A887" s="79" t="s">
        <v>847</v>
      </c>
      <c r="B887" s="473" t="s">
        <v>1705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
      <c r="A888" s="79" t="s">
        <v>847</v>
      </c>
      <c r="B888" s="473" t="s">
        <v>1706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
      <c r="A889" s="79" t="s">
        <v>847</v>
      </c>
      <c r="B889" s="473" t="s">
        <v>1707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
      <c r="A890" s="79" t="s">
        <v>847</v>
      </c>
      <c r="B890" s="473" t="s">
        <v>1708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
      <c r="A891" s="79" t="s">
        <v>847</v>
      </c>
      <c r="B891" s="473" t="s">
        <v>1709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
      <c r="A892" s="79" t="s">
        <v>847</v>
      </c>
      <c r="B892" s="473" t="s">
        <v>1710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
      <c r="A893" s="79" t="s">
        <v>847</v>
      </c>
      <c r="B893" s="473" t="s">
        <v>1711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
      <c r="A894" s="79" t="s">
        <v>847</v>
      </c>
      <c r="B894" s="473" t="s">
        <v>1712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
      <c r="A895" s="79" t="s">
        <v>847</v>
      </c>
      <c r="B895" s="473" t="s">
        <v>1713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
      <c r="A896" s="79" t="s">
        <v>847</v>
      </c>
      <c r="B896" s="473" t="s">
        <v>1714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
      <c r="A897" s="79" t="s">
        <v>847</v>
      </c>
      <c r="B897" s="473" t="s">
        <v>1715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
      <c r="A898" s="79" t="s">
        <v>847</v>
      </c>
      <c r="B898" s="473" t="s">
        <v>1716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
      <c r="A899" s="79" t="s">
        <v>847</v>
      </c>
      <c r="B899" s="473" t="s">
        <v>1717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
      <c r="A900" s="79" t="s">
        <v>847</v>
      </c>
      <c r="B900" s="473" t="s">
        <v>1718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
      <c r="A901" s="79" t="s">
        <v>847</v>
      </c>
      <c r="B901" s="473" t="s">
        <v>1719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
      <c r="A902" s="79" t="s">
        <v>847</v>
      </c>
      <c r="B902" s="473" t="s">
        <v>1720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
      <c r="A903" s="79" t="s">
        <v>847</v>
      </c>
      <c r="B903" s="473" t="s">
        <v>1721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
      <c r="A904" s="79" t="s">
        <v>847</v>
      </c>
      <c r="B904" s="473" t="s">
        <v>1722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
      <c r="A905" s="79" t="s">
        <v>847</v>
      </c>
      <c r="B905" s="473" t="s">
        <v>1723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
      <c r="A906" s="79" t="s">
        <v>847</v>
      </c>
      <c r="B906" s="473" t="s">
        <v>1724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
      <c r="A907" s="79" t="s">
        <v>847</v>
      </c>
      <c r="B907" s="473" t="s">
        <v>1725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
      <c r="A908" s="79" t="s">
        <v>847</v>
      </c>
      <c r="B908" s="473" t="s">
        <v>1726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
      <c r="A909" s="79" t="s">
        <v>847</v>
      </c>
      <c r="B909" s="473" t="s">
        <v>1727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
      <c r="A910" s="79" t="s">
        <v>847</v>
      </c>
      <c r="B910" s="473" t="s">
        <v>1728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
      <c r="A911" s="79" t="s">
        <v>847</v>
      </c>
      <c r="B911" s="473" t="s">
        <v>1729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
      <c r="A912" s="79" t="s">
        <v>847</v>
      </c>
      <c r="B912" s="473" t="s">
        <v>1730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
      <c r="A913" s="79" t="s">
        <v>847</v>
      </c>
      <c r="B913" s="473" t="s">
        <v>1731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
      <c r="A914" s="79" t="s">
        <v>847</v>
      </c>
      <c r="B914" s="473" t="s">
        <v>1732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
      <c r="A915" s="79" t="s">
        <v>847</v>
      </c>
      <c r="B915" s="473" t="s">
        <v>1733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
      <c r="A916" s="79" t="s">
        <v>847</v>
      </c>
      <c r="B916" s="473" t="s">
        <v>1734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
      <c r="A917" s="79" t="s">
        <v>847</v>
      </c>
      <c r="B917" s="473" t="s">
        <v>1735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
      <c r="A918" s="79" t="s">
        <v>847</v>
      </c>
      <c r="B918" s="473" t="s">
        <v>1736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
      <c r="A919" s="79" t="s">
        <v>847</v>
      </c>
      <c r="B919" s="473" t="s">
        <v>1737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
      <c r="A920" s="79" t="s">
        <v>847</v>
      </c>
      <c r="B920" s="473" t="s">
        <v>1738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
      <c r="A921" s="79" t="s">
        <v>847</v>
      </c>
      <c r="B921" s="473" t="s">
        <v>1739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
      <c r="A922" s="79" t="s">
        <v>847</v>
      </c>
      <c r="B922" s="473" t="s">
        <v>1740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
      <c r="A923" s="79" t="s">
        <v>847</v>
      </c>
      <c r="B923" s="473" t="s">
        <v>1741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
      <c r="A924" s="79" t="s">
        <v>847</v>
      </c>
      <c r="B924" s="473" t="s">
        <v>1742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
      <c r="A925" s="79" t="s">
        <v>847</v>
      </c>
      <c r="B925" s="473" t="s">
        <v>1743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
      <c r="A926" s="79" t="s">
        <v>847</v>
      </c>
      <c r="B926" s="473" t="s">
        <v>1744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
      <c r="A927" s="79" t="s">
        <v>847</v>
      </c>
      <c r="B927" s="473" t="s">
        <v>1745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
      <c r="A928" s="79" t="s">
        <v>847</v>
      </c>
      <c r="B928" s="473" t="s">
        <v>1746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
      <c r="A929" s="79" t="s">
        <v>847</v>
      </c>
      <c r="B929" s="473" t="s">
        <v>1747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
      <c r="A930" s="79" t="s">
        <v>847</v>
      </c>
      <c r="B930" s="473" t="s">
        <v>1748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
      <c r="A931" s="79" t="s">
        <v>847</v>
      </c>
      <c r="B931" s="473" t="s">
        <v>1749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
      <c r="A932" s="79" t="s">
        <v>847</v>
      </c>
      <c r="B932" s="473" t="s">
        <v>1750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
      <c r="A933" s="79" t="s">
        <v>847</v>
      </c>
      <c r="B933" s="473" t="s">
        <v>1751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
      <c r="A934" s="79" t="s">
        <v>847</v>
      </c>
      <c r="B934" s="473" t="s">
        <v>1752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
      <c r="A935" s="79" t="s">
        <v>847</v>
      </c>
      <c r="B935" s="473" t="s">
        <v>1753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
      <c r="A936" s="79" t="s">
        <v>847</v>
      </c>
      <c r="B936" s="473" t="s">
        <v>1754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
      <c r="A937" s="79" t="s">
        <v>847</v>
      </c>
      <c r="B937" s="473" t="s">
        <v>1755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
      <c r="A938" s="79" t="s">
        <v>847</v>
      </c>
      <c r="B938" s="473" t="s">
        <v>1756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
      <c r="A939" s="79" t="s">
        <v>847</v>
      </c>
      <c r="B939" s="473" t="s">
        <v>1757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
      <c r="A940" s="79" t="s">
        <v>847</v>
      </c>
      <c r="B940" s="473" t="s">
        <v>1758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
      <c r="A941" s="79" t="s">
        <v>847</v>
      </c>
      <c r="B941" s="473" t="s">
        <v>1759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
      <c r="A942" s="79" t="s">
        <v>847</v>
      </c>
      <c r="B942" s="473" t="s">
        <v>1760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
      <c r="A943" s="79" t="s">
        <v>847</v>
      </c>
      <c r="B943" s="473" t="s">
        <v>1761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
      <c r="A944" s="79" t="s">
        <v>847</v>
      </c>
      <c r="B944" s="473" t="s">
        <v>1762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
      <c r="A945" s="79" t="s">
        <v>847</v>
      </c>
      <c r="B945" s="473" t="s">
        <v>1763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
      <c r="A946" s="79" t="s">
        <v>847</v>
      </c>
      <c r="B946" s="473" t="s">
        <v>1764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
      <c r="A947" s="79" t="s">
        <v>847</v>
      </c>
      <c r="B947" s="473" t="s">
        <v>1765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
      <c r="A948" s="79" t="s">
        <v>847</v>
      </c>
      <c r="B948" s="473" t="s">
        <v>1766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
      <c r="A949" s="79" t="s">
        <v>847</v>
      </c>
      <c r="B949" s="473" t="s">
        <v>1767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
      <c r="A950" s="79" t="s">
        <v>847</v>
      </c>
      <c r="B950" s="473" t="s">
        <v>1768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
      <c r="A951" s="79" t="s">
        <v>847</v>
      </c>
      <c r="B951" s="473" t="s">
        <v>1769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
      <c r="A952" s="79" t="s">
        <v>847</v>
      </c>
      <c r="B952" s="473" t="s">
        <v>1770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
      <c r="A953" s="79" t="s">
        <v>847</v>
      </c>
      <c r="B953" s="473" t="s">
        <v>1771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
      <c r="A954" s="79" t="s">
        <v>847</v>
      </c>
      <c r="B954" s="473" t="s">
        <v>1772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
      <c r="A955" s="79" t="s">
        <v>847</v>
      </c>
      <c r="B955" s="473" t="s">
        <v>1773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
      <c r="A956" s="79" t="s">
        <v>847</v>
      </c>
      <c r="B956" s="473" t="s">
        <v>1774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
      <c r="A957" s="79" t="s">
        <v>847</v>
      </c>
      <c r="B957" s="473" t="s">
        <v>1775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
      <c r="A958" s="79" t="s">
        <v>847</v>
      </c>
      <c r="B958" s="473" t="s">
        <v>1776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
      <c r="A959" s="79" t="s">
        <v>847</v>
      </c>
      <c r="B959" s="473" t="s">
        <v>1777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
      <c r="A960" s="79" t="s">
        <v>847</v>
      </c>
      <c r="B960" s="473" t="s">
        <v>1778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
      <c r="A961" s="79" t="s">
        <v>847</v>
      </c>
      <c r="B961" s="473" t="s">
        <v>1779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
      <c r="A962" s="79" t="s">
        <v>847</v>
      </c>
      <c r="B962" s="473" t="s">
        <v>1780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
      <c r="A963" s="79" t="s">
        <v>847</v>
      </c>
      <c r="B963" s="473" t="s">
        <v>1781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
      <c r="A964" s="79" t="s">
        <v>847</v>
      </c>
      <c r="B964" s="473" t="s">
        <v>1782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
      <c r="A965" s="79" t="s">
        <v>847</v>
      </c>
      <c r="B965" s="473" t="s">
        <v>1783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
      <c r="A966" s="79" t="s">
        <v>847</v>
      </c>
      <c r="B966" s="473" t="s">
        <v>1784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
      <c r="A967" s="79" t="s">
        <v>847</v>
      </c>
      <c r="B967" s="473" t="s">
        <v>1785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
      <c r="A968" s="79" t="s">
        <v>847</v>
      </c>
      <c r="B968" s="473" t="s">
        <v>1786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
      <c r="A969" s="79" t="s">
        <v>847</v>
      </c>
      <c r="B969" s="473" t="s">
        <v>1787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
      <c r="A970" s="79" t="s">
        <v>847</v>
      </c>
      <c r="B970" s="473" t="s">
        <v>1788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
      <c r="A971" s="79" t="s">
        <v>847</v>
      </c>
      <c r="B971" s="473" t="s">
        <v>1789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
      <c r="A972" s="79" t="s">
        <v>847</v>
      </c>
      <c r="B972" s="473" t="s">
        <v>1790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
      <c r="A973" s="79" t="s">
        <v>847</v>
      </c>
      <c r="B973" s="473" t="s">
        <v>1791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
      <c r="A974" s="79" t="s">
        <v>847</v>
      </c>
      <c r="B974" s="473" t="s">
        <v>1792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
      <c r="A975" s="79" t="s">
        <v>847</v>
      </c>
      <c r="B975" s="473" t="s">
        <v>1793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
      <c r="A976" s="79" t="s">
        <v>847</v>
      </c>
      <c r="B976" s="473" t="s">
        <v>1794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
      <c r="A977" s="79" t="s">
        <v>847</v>
      </c>
      <c r="B977" s="473" t="s">
        <v>1795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
      <c r="A978" s="79" t="s">
        <v>847</v>
      </c>
      <c r="B978" s="473" t="s">
        <v>1796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
      <c r="A979" s="79" t="s">
        <v>847</v>
      </c>
      <c r="B979" s="473" t="s">
        <v>1797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
      <c r="A980" s="79" t="s">
        <v>847</v>
      </c>
      <c r="B980" s="473" t="s">
        <v>1798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
      <c r="A981" s="79" t="s">
        <v>847</v>
      </c>
      <c r="B981" s="473" t="s">
        <v>1799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
      <c r="A982" s="79" t="s">
        <v>847</v>
      </c>
      <c r="B982" s="473" t="s">
        <v>1800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
      <c r="A983" s="79" t="s">
        <v>847</v>
      </c>
      <c r="B983" s="473" t="s">
        <v>1801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
      <c r="A984" s="79" t="s">
        <v>847</v>
      </c>
      <c r="B984" s="473" t="s">
        <v>1802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
      <c r="A985" s="79" t="s">
        <v>847</v>
      </c>
      <c r="B985" s="473" t="s">
        <v>1803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
      <c r="A986" s="79" t="s">
        <v>847</v>
      </c>
      <c r="B986" s="473" t="s">
        <v>1804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
      <c r="A987" s="79" t="s">
        <v>847</v>
      </c>
      <c r="B987" s="473" t="s">
        <v>1805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
      <c r="A988" s="79" t="s">
        <v>847</v>
      </c>
      <c r="B988" s="473" t="s">
        <v>1806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
      <c r="A989" s="79" t="s">
        <v>847</v>
      </c>
      <c r="B989" s="473" t="s">
        <v>1807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
      <c r="A990" s="79" t="s">
        <v>847</v>
      </c>
      <c r="B990" s="473" t="s">
        <v>1808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
      <c r="A991" s="79" t="s">
        <v>847</v>
      </c>
      <c r="B991" s="473" t="s">
        <v>1809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
      <c r="A992" s="79" t="s">
        <v>847</v>
      </c>
      <c r="B992" s="473" t="s">
        <v>1810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
      <c r="A993" s="79" t="s">
        <v>847</v>
      </c>
      <c r="B993" s="473" t="s">
        <v>1811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
      <c r="A994" s="79" t="s">
        <v>847</v>
      </c>
      <c r="B994" s="473" t="s">
        <v>1812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
      <c r="A995" s="79" t="s">
        <v>847</v>
      </c>
      <c r="B995" s="473" t="s">
        <v>1813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
      <c r="A996" s="79" t="s">
        <v>847</v>
      </c>
      <c r="B996" s="473" t="s">
        <v>1814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
      <c r="A997" s="79" t="s">
        <v>847</v>
      </c>
      <c r="B997" s="473" t="s">
        <v>1815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
      <c r="A998" s="79" t="s">
        <v>847</v>
      </c>
      <c r="B998" s="473" t="s">
        <v>1816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
      <c r="A999" s="79" t="s">
        <v>847</v>
      </c>
      <c r="B999" s="473" t="s">
        <v>1817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
      <c r="A1000" s="79" t="s">
        <v>847</v>
      </c>
      <c r="B1000" s="473" t="s">
        <v>1818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
      <c r="A1001" s="79" t="s">
        <v>847</v>
      </c>
      <c r="B1001" s="473" t="s">
        <v>1819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
      <c r="A1002" s="79" t="s">
        <v>847</v>
      </c>
      <c r="B1002" s="473" t="s">
        <v>1820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
      <c r="A1003" s="79" t="s">
        <v>847</v>
      </c>
      <c r="B1003" s="473" t="s">
        <v>1821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
      <c r="A1004" s="79" t="s">
        <v>847</v>
      </c>
      <c r="B1004" s="473" t="s">
        <v>1822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
      <c r="A1005" s="79" t="s">
        <v>847</v>
      </c>
      <c r="B1005" s="473" t="s">
        <v>1823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
      <c r="A1006" s="79" t="s">
        <v>847</v>
      </c>
      <c r="B1006" s="473" t="s">
        <v>1824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
      <c r="A1007" s="79" t="s">
        <v>847</v>
      </c>
      <c r="B1007" s="473" t="s">
        <v>1825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
      <c r="A1008" s="79" t="s">
        <v>847</v>
      </c>
      <c r="B1008" s="473" t="s">
        <v>1826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
      <c r="A1009" s="79" t="s">
        <v>847</v>
      </c>
      <c r="B1009" s="473" t="s">
        <v>1827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
      <c r="A1010" s="79" t="s">
        <v>847</v>
      </c>
      <c r="B1010" s="473" t="s">
        <v>1828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
      <c r="A1011" s="79" t="s">
        <v>847</v>
      </c>
      <c r="B1011" s="473" t="s">
        <v>1829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
      <c r="A1012" s="79" t="s">
        <v>847</v>
      </c>
      <c r="B1012" s="473" t="s">
        <v>1830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
      <c r="A1013" s="79" t="s">
        <v>847</v>
      </c>
      <c r="B1013" s="473" t="s">
        <v>1831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
      <c r="A1014" s="79" t="s">
        <v>847</v>
      </c>
      <c r="B1014" s="473" t="s">
        <v>1832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
      <c r="A1015" s="79" t="s">
        <v>847</v>
      </c>
      <c r="B1015" s="473" t="s">
        <v>1833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
      <c r="A1016" s="79" t="s">
        <v>847</v>
      </c>
      <c r="B1016" s="473" t="s">
        <v>1834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
      <c r="A1017" s="79" t="s">
        <v>847</v>
      </c>
      <c r="B1017" s="473" t="s">
        <v>1835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
      <c r="A1018" s="79" t="s">
        <v>847</v>
      </c>
      <c r="B1018" s="473" t="s">
        <v>1836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
      <c r="A1019" s="79" t="s">
        <v>847</v>
      </c>
      <c r="B1019" s="473" t="s">
        <v>1837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
      <c r="A1020" s="79" t="s">
        <v>847</v>
      </c>
      <c r="B1020" s="473" t="s">
        <v>1838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
      <c r="A1021" s="79" t="s">
        <v>847</v>
      </c>
      <c r="B1021" s="473" t="s">
        <v>1839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
      <c r="A1022" s="79" t="s">
        <v>847</v>
      </c>
      <c r="B1022" s="473" t="s">
        <v>1840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
      <c r="A1023" s="79" t="s">
        <v>847</v>
      </c>
      <c r="B1023" s="473" t="s">
        <v>1841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
      <c r="A1024" s="79" t="s">
        <v>847</v>
      </c>
      <c r="B1024" s="473" t="s">
        <v>1842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
      <c r="A1025" s="79" t="s">
        <v>847</v>
      </c>
      <c r="B1025" s="473" t="s">
        <v>1843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
      <c r="A1026" s="79" t="s">
        <v>847</v>
      </c>
      <c r="B1026" s="473" t="s">
        <v>1844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
      <c r="A1027" s="79" t="s">
        <v>847</v>
      </c>
      <c r="B1027" s="473" t="s">
        <v>1845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
      <c r="A1028" s="79" t="s">
        <v>847</v>
      </c>
      <c r="B1028" s="473" t="s">
        <v>1846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
      <c r="A1029" s="79" t="s">
        <v>847</v>
      </c>
      <c r="B1029" s="473" t="s">
        <v>1847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
      <c r="A1030" s="79" t="s">
        <v>847</v>
      </c>
      <c r="B1030" s="473" t="s">
        <v>1848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
      <c r="A1031" s="79" t="s">
        <v>847</v>
      </c>
      <c r="B1031" s="473" t="s">
        <v>1849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
      <c r="A1032" s="79" t="s">
        <v>847</v>
      </c>
      <c r="B1032" s="473" t="s">
        <v>1850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
      <c r="A1033" s="79" t="s">
        <v>847</v>
      </c>
      <c r="B1033" s="473" t="s">
        <v>1851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
      <c r="A1034" s="79" t="s">
        <v>847</v>
      </c>
      <c r="B1034" s="473" t="s">
        <v>1852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
      <c r="A1035" s="79" t="s">
        <v>847</v>
      </c>
      <c r="B1035" s="473" t="s">
        <v>1853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
      <c r="A1036" s="79" t="s">
        <v>847</v>
      </c>
      <c r="B1036" s="473" t="s">
        <v>1854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
      <c r="A1037" s="79" t="s">
        <v>847</v>
      </c>
      <c r="B1037" s="473" t="s">
        <v>1855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
      <c r="A1038" s="79" t="s">
        <v>847</v>
      </c>
      <c r="B1038" s="473" t="s">
        <v>1856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
      <c r="A1039" s="79" t="s">
        <v>847</v>
      </c>
      <c r="B1039" s="473" t="s">
        <v>1857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
      <c r="A1040" s="79" t="s">
        <v>847</v>
      </c>
      <c r="B1040" s="473" t="s">
        <v>1858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
      <c r="A1041" s="79" t="s">
        <v>847</v>
      </c>
      <c r="B1041" s="473" t="s">
        <v>1859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
      <c r="A1042" s="79" t="s">
        <v>847</v>
      </c>
      <c r="B1042" s="473" t="s">
        <v>1860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
      <c r="A1043" s="79" t="s">
        <v>847</v>
      </c>
      <c r="B1043" s="473" t="s">
        <v>1861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
      <c r="A1044" s="79" t="s">
        <v>847</v>
      </c>
      <c r="B1044" s="473" t="s">
        <v>1862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
      <c r="A1045" s="79" t="s">
        <v>847</v>
      </c>
      <c r="B1045" s="473" t="s">
        <v>1863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
      <c r="A1046" s="79" t="s">
        <v>847</v>
      </c>
      <c r="B1046" s="473" t="s">
        <v>1864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
      <c r="A1047" s="79" t="s">
        <v>847</v>
      </c>
      <c r="B1047" s="473" t="s">
        <v>1865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
      <c r="A1048" s="79" t="s">
        <v>847</v>
      </c>
      <c r="B1048" s="473" t="s">
        <v>1866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
      <c r="A1049" s="79" t="s">
        <v>847</v>
      </c>
      <c r="B1049" s="473" t="s">
        <v>1867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
      <c r="A1050" s="79" t="s">
        <v>847</v>
      </c>
      <c r="B1050" s="473" t="s">
        <v>1868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
      <c r="A1051" s="79" t="s">
        <v>847</v>
      </c>
      <c r="B1051" s="473" t="s">
        <v>1869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
      <c r="A1052" s="79" t="s">
        <v>847</v>
      </c>
      <c r="B1052" s="473" t="s">
        <v>1870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
      <c r="A1053" s="79" t="s">
        <v>847</v>
      </c>
      <c r="B1053" s="473" t="s">
        <v>1871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
      <c r="A1054" s="79" t="s">
        <v>847</v>
      </c>
      <c r="B1054" s="473" t="s">
        <v>1872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
      <c r="A1055" s="79" t="s">
        <v>847</v>
      </c>
      <c r="B1055" s="473" t="s">
        <v>1873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
      <c r="A1056" s="79" t="s">
        <v>847</v>
      </c>
      <c r="B1056" s="473" t="s">
        <v>1874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
      <c r="A1057" s="79" t="s">
        <v>847</v>
      </c>
      <c r="B1057" s="473" t="s">
        <v>1875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
      <c r="A1058" s="79" t="s">
        <v>847</v>
      </c>
      <c r="B1058" s="473" t="s">
        <v>1876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
      <c r="A1059" s="79" t="s">
        <v>847</v>
      </c>
      <c r="B1059" s="473" t="s">
        <v>1877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
      <c r="A1060" s="79" t="s">
        <v>847</v>
      </c>
      <c r="B1060" s="473" t="s">
        <v>1878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
      <c r="A1061" s="79" t="s">
        <v>847</v>
      </c>
      <c r="B1061" s="473" t="s">
        <v>1879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
      <c r="A1062" s="79" t="s">
        <v>847</v>
      </c>
      <c r="B1062" s="473" t="s">
        <v>1880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
      <c r="A1063" s="79" t="s">
        <v>847</v>
      </c>
      <c r="B1063" s="473" t="s">
        <v>1881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
      <c r="A1064" s="79" t="s">
        <v>847</v>
      </c>
      <c r="B1064" s="473" t="s">
        <v>1882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
      <c r="A1065" s="79" t="s">
        <v>847</v>
      </c>
      <c r="B1065" s="473" t="s">
        <v>1883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
      <c r="A1066" s="79" t="s">
        <v>847</v>
      </c>
      <c r="B1066" s="473" t="s">
        <v>1884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
      <c r="A1067" s="79" t="s">
        <v>847</v>
      </c>
      <c r="B1067" s="473" t="s">
        <v>1885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
      <c r="A1068" s="79" t="s">
        <v>847</v>
      </c>
      <c r="B1068" s="473" t="s">
        <v>1886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
      <c r="A1069" s="79" t="s">
        <v>847</v>
      </c>
      <c r="B1069" s="473" t="s">
        <v>1887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
      <c r="A1070" s="79" t="s">
        <v>847</v>
      </c>
      <c r="B1070" s="473" t="s">
        <v>1888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
      <c r="A1071" s="79" t="s">
        <v>847</v>
      </c>
      <c r="B1071" s="473" t="s">
        <v>1889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
      <c r="A1072" s="79" t="s">
        <v>847</v>
      </c>
      <c r="B1072" s="473" t="s">
        <v>1890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
      <c r="A1073" s="79" t="s">
        <v>847</v>
      </c>
      <c r="B1073" s="473" t="s">
        <v>1891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
      <c r="A1074" s="79" t="s">
        <v>847</v>
      </c>
      <c r="B1074" s="473" t="s">
        <v>1892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
      <c r="A1075" s="79" t="s">
        <v>847</v>
      </c>
      <c r="B1075" s="473" t="s">
        <v>1893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
      <c r="A1076" s="79" t="s">
        <v>847</v>
      </c>
      <c r="B1076" s="473" t="s">
        <v>1894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
      <c r="A1077" s="79" t="s">
        <v>847</v>
      </c>
      <c r="B1077" s="473" t="s">
        <v>1895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
      <c r="A1078" s="79" t="s">
        <v>847</v>
      </c>
      <c r="B1078" s="473" t="s">
        <v>1896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
      <c r="A1079" s="79" t="s">
        <v>847</v>
      </c>
      <c r="B1079" s="473" t="s">
        <v>1897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
      <c r="A1080" s="79" t="s">
        <v>847</v>
      </c>
      <c r="B1080" s="473" t="s">
        <v>1898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
      <c r="A1081" s="79" t="s">
        <v>847</v>
      </c>
      <c r="B1081" s="473" t="s">
        <v>1899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
      <c r="A1082" s="79" t="s">
        <v>847</v>
      </c>
      <c r="B1082" s="473" t="s">
        <v>1900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
      <c r="A1083" s="79" t="s">
        <v>847</v>
      </c>
      <c r="B1083" s="473" t="s">
        <v>1901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
      <c r="A1084" s="79" t="s">
        <v>847</v>
      </c>
      <c r="B1084" s="473" t="s">
        <v>1902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
      <c r="A1085" s="79" t="s">
        <v>847</v>
      </c>
      <c r="B1085" s="473" t="s">
        <v>1903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
      <c r="A1086" s="79" t="s">
        <v>847</v>
      </c>
      <c r="B1086" s="473" t="s">
        <v>1904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
      <c r="A1087" s="79" t="s">
        <v>847</v>
      </c>
      <c r="B1087" s="473" t="s">
        <v>1905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
      <c r="A1088" s="79" t="s">
        <v>847</v>
      </c>
      <c r="B1088" s="473" t="s">
        <v>1906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
      <c r="A1089" s="79" t="s">
        <v>847</v>
      </c>
      <c r="B1089" s="473" t="s">
        <v>1907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
      <c r="A1090" s="79" t="s">
        <v>847</v>
      </c>
      <c r="B1090" s="473" t="s">
        <v>1908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
      <c r="A1091" s="79" t="s">
        <v>847</v>
      </c>
      <c r="B1091" s="473" t="s">
        <v>1909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
      <c r="A1092" s="79" t="s">
        <v>847</v>
      </c>
      <c r="B1092" s="473" t="s">
        <v>1910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
      <c r="A1093" s="79" t="s">
        <v>847</v>
      </c>
      <c r="B1093" s="473" t="s">
        <v>1911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
      <c r="A1094" s="79" t="s">
        <v>847</v>
      </c>
      <c r="B1094" s="473" t="s">
        <v>1912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
      <c r="A1095" s="79" t="s">
        <v>847</v>
      </c>
      <c r="B1095" s="473" t="s">
        <v>1913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
      <c r="A1096" s="79" t="s">
        <v>847</v>
      </c>
      <c r="B1096" s="473" t="s">
        <v>1914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
      <c r="A1097" s="79" t="s">
        <v>847</v>
      </c>
      <c r="B1097" s="473" t="s">
        <v>1915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
      <c r="A1098" s="79" t="s">
        <v>847</v>
      </c>
      <c r="B1098" s="473" t="s">
        <v>1916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
      <c r="A1099" s="79" t="s">
        <v>847</v>
      </c>
      <c r="B1099" s="473" t="s">
        <v>1917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
      <c r="A1100" s="79" t="s">
        <v>847</v>
      </c>
      <c r="B1100" s="473" t="s">
        <v>1918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
      <c r="A1101" s="79" t="s">
        <v>847</v>
      </c>
      <c r="B1101" s="473" t="s">
        <v>1919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
      <c r="A1102" s="79" t="s">
        <v>847</v>
      </c>
      <c r="B1102" s="473" t="s">
        <v>1920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
      <c r="A1103" s="79" t="s">
        <v>847</v>
      </c>
      <c r="B1103" s="473" t="s">
        <v>1921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
      <c r="A1104" s="79" t="s">
        <v>847</v>
      </c>
      <c r="B1104" s="473" t="s">
        <v>1922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
      <c r="A1105" s="79" t="s">
        <v>847</v>
      </c>
      <c r="B1105" s="473" t="s">
        <v>1923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
      <c r="A1106" s="79" t="s">
        <v>847</v>
      </c>
      <c r="B1106" s="473" t="s">
        <v>1924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
      <c r="A1107" s="79" t="s">
        <v>847</v>
      </c>
      <c r="B1107" s="473" t="s">
        <v>1925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
      <c r="A1108" s="79" t="s">
        <v>847</v>
      </c>
      <c r="B1108" s="473" t="s">
        <v>1926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
      <c r="A1109" s="79" t="s">
        <v>847</v>
      </c>
      <c r="B1109" s="473" t="s">
        <v>1927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
      <c r="A1110" s="79" t="s">
        <v>847</v>
      </c>
      <c r="B1110" s="473" t="s">
        <v>1928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
      <c r="A1111" s="79" t="s">
        <v>847</v>
      </c>
      <c r="B1111" s="473" t="s">
        <v>1929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
      <c r="A1112" s="79" t="s">
        <v>847</v>
      </c>
      <c r="B1112" s="473" t="s">
        <v>1930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
      <c r="A1113" s="79" t="s">
        <v>847</v>
      </c>
      <c r="B1113" s="473" t="s">
        <v>1931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
      <c r="A1114" s="79" t="s">
        <v>847</v>
      </c>
      <c r="B1114" s="473" t="s">
        <v>1932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
      <c r="A1115" s="79" t="s">
        <v>847</v>
      </c>
      <c r="B1115" s="473" t="s">
        <v>1933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
      <c r="A1116" s="79" t="s">
        <v>847</v>
      </c>
      <c r="B1116" s="473" t="s">
        <v>1934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
      <c r="A1117" s="79" t="s">
        <v>847</v>
      </c>
      <c r="B1117" s="473" t="s">
        <v>1935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
      <c r="A1118" s="79" t="s">
        <v>847</v>
      </c>
      <c r="B1118" s="473" t="s">
        <v>1936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
      <c r="A1119" s="79" t="s">
        <v>847</v>
      </c>
      <c r="B1119" s="473" t="s">
        <v>1937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
      <c r="A1120" s="79" t="s">
        <v>847</v>
      </c>
      <c r="B1120" s="473" t="s">
        <v>1938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
      <c r="A1121" s="79" t="s">
        <v>847</v>
      </c>
      <c r="B1121" s="473" t="s">
        <v>1939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
      <c r="A1122" s="79" t="s">
        <v>847</v>
      </c>
      <c r="B1122" s="473" t="s">
        <v>1940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
      <c r="A1123" s="79" t="s">
        <v>847</v>
      </c>
      <c r="B1123" s="473" t="s">
        <v>1941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
      <c r="A1124" s="79" t="s">
        <v>847</v>
      </c>
      <c r="B1124" s="473" t="s">
        <v>1942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
      <c r="A1125" s="79" t="s">
        <v>847</v>
      </c>
      <c r="B1125" s="473" t="s">
        <v>1943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
      <c r="A1126" s="79" t="s">
        <v>847</v>
      </c>
      <c r="B1126" s="473" t="s">
        <v>1944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
      <c r="A1127" s="79" t="s">
        <v>847</v>
      </c>
      <c r="B1127" s="473" t="s">
        <v>1945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
      <c r="A1128" s="79" t="s">
        <v>847</v>
      </c>
      <c r="B1128" s="473" t="s">
        <v>1946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
      <c r="A1129" s="79" t="s">
        <v>847</v>
      </c>
      <c r="B1129" s="473" t="s">
        <v>1947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
      <c r="A1130" s="79" t="s">
        <v>847</v>
      </c>
      <c r="B1130" s="473" t="s">
        <v>1948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
      <c r="A1131" s="79" t="s">
        <v>847</v>
      </c>
      <c r="B1131" s="473" t="s">
        <v>1949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
      <c r="A1132" s="79" t="s">
        <v>847</v>
      </c>
      <c r="B1132" s="473" t="s">
        <v>1950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
      <c r="A1133" s="79" t="s">
        <v>847</v>
      </c>
      <c r="B1133" s="473" t="s">
        <v>1951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
      <c r="A1134" s="79" t="s">
        <v>847</v>
      </c>
      <c r="B1134" s="473" t="s">
        <v>1952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
      <c r="A1135" s="79" t="s">
        <v>847</v>
      </c>
      <c r="B1135" s="473" t="s">
        <v>1953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
      <c r="A1136" s="79" t="s">
        <v>847</v>
      </c>
      <c r="B1136" s="473" t="s">
        <v>1954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
      <c r="A1137" s="79" t="s">
        <v>847</v>
      </c>
      <c r="B1137" s="473" t="s">
        <v>1955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
      <c r="A1138" s="79" t="s">
        <v>847</v>
      </c>
      <c r="B1138" s="473" t="s">
        <v>1956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
      <c r="A1139" s="79" t="s">
        <v>847</v>
      </c>
      <c r="B1139" s="473" t="s">
        <v>1957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
      <c r="A1140" s="79" t="s">
        <v>847</v>
      </c>
      <c r="B1140" s="473" t="s">
        <v>1958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
      <c r="A1141" s="79" t="s">
        <v>847</v>
      </c>
      <c r="B1141" s="473" t="s">
        <v>1959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
      <c r="A1142" s="79" t="s">
        <v>847</v>
      </c>
      <c r="B1142" s="473" t="s">
        <v>1960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
      <c r="A1143" s="79" t="s">
        <v>847</v>
      </c>
      <c r="B1143" s="473" t="s">
        <v>1961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
      <c r="A1144" s="79" t="s">
        <v>847</v>
      </c>
      <c r="B1144" s="473" t="s">
        <v>1962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
      <c r="A1145" s="79" t="s">
        <v>847</v>
      </c>
      <c r="B1145" s="473" t="s">
        <v>1963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
      <c r="A1146" s="79" t="s">
        <v>847</v>
      </c>
      <c r="B1146" s="473" t="s">
        <v>1964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
      <c r="A1147" s="79" t="s">
        <v>847</v>
      </c>
      <c r="B1147" s="473" t="s">
        <v>1965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
      <c r="A1148" s="79" t="s">
        <v>847</v>
      </c>
      <c r="B1148" s="473" t="s">
        <v>1966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
      <c r="A1149" s="79" t="s">
        <v>847</v>
      </c>
      <c r="B1149" s="473" t="s">
        <v>1967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
      <c r="A1150" s="79" t="s">
        <v>847</v>
      </c>
      <c r="B1150" s="473" t="s">
        <v>1968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
      <c r="A1151" s="79" t="s">
        <v>847</v>
      </c>
      <c r="B1151" s="473" t="s">
        <v>1969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
      <c r="A1152" s="79" t="s">
        <v>847</v>
      </c>
      <c r="B1152" s="473" t="s">
        <v>1970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
      <c r="A1153" s="79" t="s">
        <v>847</v>
      </c>
      <c r="B1153" s="473" t="s">
        <v>1971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
      <c r="A1154" s="79" t="s">
        <v>847</v>
      </c>
      <c r="B1154" s="473" t="s">
        <v>1972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
      <c r="A1155" s="79" t="s">
        <v>847</v>
      </c>
      <c r="B1155" s="473" t="s">
        <v>1973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
      <c r="A1156" s="79" t="s">
        <v>847</v>
      </c>
      <c r="B1156" s="473" t="s">
        <v>1974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
      <c r="A1157" s="79" t="s">
        <v>847</v>
      </c>
      <c r="B1157" s="473" t="s">
        <v>1975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
      <c r="A1158" s="79" t="s">
        <v>847</v>
      </c>
      <c r="B1158" s="473" t="s">
        <v>1976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
      <c r="A1159" s="79" t="s">
        <v>847</v>
      </c>
      <c r="B1159" s="473" t="s">
        <v>1977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
      <c r="A1160" s="79" t="s">
        <v>847</v>
      </c>
      <c r="B1160" s="473" t="s">
        <v>1978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
      <c r="A1161" s="79" t="s">
        <v>847</v>
      </c>
      <c r="B1161" s="473" t="s">
        <v>1979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
      <c r="A1162" s="79" t="s">
        <v>847</v>
      </c>
      <c r="B1162" s="473" t="s">
        <v>1980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
      <c r="A1163" s="79" t="s">
        <v>847</v>
      </c>
      <c r="B1163" s="473" t="s">
        <v>1981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
      <c r="A1164" s="79" t="s">
        <v>847</v>
      </c>
      <c r="B1164" s="473" t="s">
        <v>1982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
      <c r="A1165" s="79" t="s">
        <v>847</v>
      </c>
      <c r="B1165" s="473" t="s">
        <v>1983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
      <c r="A1166" s="79" t="s">
        <v>847</v>
      </c>
      <c r="B1166" s="473" t="s">
        <v>1984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
      <c r="A1167" s="79" t="s">
        <v>847</v>
      </c>
      <c r="B1167" s="473" t="s">
        <v>1985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
      <c r="A1168" s="79" t="s">
        <v>847</v>
      </c>
      <c r="B1168" s="473" t="s">
        <v>1986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
      <c r="A1169" s="79" t="s">
        <v>847</v>
      </c>
      <c r="B1169" s="473" t="s">
        <v>1987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
      <c r="A1170" s="79" t="s">
        <v>847</v>
      </c>
      <c r="B1170" s="473" t="s">
        <v>1988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
      <c r="A1171" s="79" t="s">
        <v>847</v>
      </c>
      <c r="B1171" s="473" t="s">
        <v>1989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
      <c r="A1172" s="79" t="s">
        <v>847</v>
      </c>
      <c r="B1172" s="473" t="s">
        <v>1990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
      <c r="A1173" s="79" t="s">
        <v>847</v>
      </c>
      <c r="B1173" s="473" t="s">
        <v>1991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
      <c r="A1174" s="79" t="s">
        <v>847</v>
      </c>
      <c r="B1174" s="473" t="s">
        <v>1992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
      <c r="A1175" s="79" t="s">
        <v>847</v>
      </c>
      <c r="B1175" s="473" t="s">
        <v>1993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
      <c r="A1176" s="79" t="s">
        <v>847</v>
      </c>
      <c r="B1176" s="473" t="s">
        <v>1994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
      <c r="A1177" s="79" t="s">
        <v>847</v>
      </c>
      <c r="B1177" s="473" t="s">
        <v>1995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
      <c r="A1178" s="79" t="s">
        <v>847</v>
      </c>
      <c r="B1178" s="473" t="s">
        <v>1996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
      <c r="A1179" s="79" t="s">
        <v>847</v>
      </c>
      <c r="B1179" s="473" t="s">
        <v>1997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
      <c r="A1180" s="79" t="s">
        <v>847</v>
      </c>
      <c r="B1180" s="473" t="s">
        <v>1998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
      <c r="A1181" s="79" t="s">
        <v>847</v>
      </c>
      <c r="B1181" s="473" t="s">
        <v>1999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
      <c r="A1182" s="79" t="s">
        <v>847</v>
      </c>
      <c r="B1182" s="473" t="s">
        <v>2000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
      <c r="A1183" s="79" t="s">
        <v>847</v>
      </c>
      <c r="B1183" s="473" t="s">
        <v>2001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
      <c r="A1184" s="79" t="s">
        <v>847</v>
      </c>
      <c r="B1184" s="473" t="s">
        <v>2002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
      <c r="A1185" s="79" t="s">
        <v>847</v>
      </c>
      <c r="B1185" s="473" t="s">
        <v>2003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
      <c r="A1186" s="79" t="s">
        <v>847</v>
      </c>
      <c r="B1186" s="473" t="s">
        <v>2004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
      <c r="A1187" s="79" t="s">
        <v>847</v>
      </c>
      <c r="B1187" s="473" t="s">
        <v>2005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
      <c r="A1188" s="79" t="s">
        <v>847</v>
      </c>
      <c r="B1188" s="473" t="s">
        <v>2006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
      <c r="A1189" s="79" t="s">
        <v>847</v>
      </c>
      <c r="B1189" s="473" t="s">
        <v>2007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
      <c r="A1190" s="79" t="s">
        <v>847</v>
      </c>
      <c r="B1190" s="473" t="s">
        <v>2008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
      <c r="A1191" s="79" t="s">
        <v>847</v>
      </c>
      <c r="B1191" s="473" t="s">
        <v>2009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
      <c r="A1192" s="79" t="s">
        <v>847</v>
      </c>
      <c r="B1192" s="473" t="s">
        <v>2010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
      <c r="A1193" s="79" t="s">
        <v>847</v>
      </c>
      <c r="B1193" s="473" t="s">
        <v>2011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
      <c r="A1194" s="79" t="s">
        <v>847</v>
      </c>
      <c r="B1194" s="473" t="s">
        <v>2012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
      <c r="A1195" s="79" t="s">
        <v>847</v>
      </c>
      <c r="B1195" s="473" t="s">
        <v>2013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
      <c r="A1196" s="79" t="s">
        <v>847</v>
      </c>
      <c r="B1196" s="473" t="s">
        <v>2014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
      <c r="A1197" s="79" t="s">
        <v>847</v>
      </c>
      <c r="B1197" s="473" t="s">
        <v>2015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
      <c r="A1198" s="79" t="s">
        <v>847</v>
      </c>
      <c r="B1198" s="473" t="s">
        <v>2016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
      <c r="A1199" s="79" t="s">
        <v>847</v>
      </c>
      <c r="B1199" s="473" t="s">
        <v>2017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
      <c r="A1200" s="79" t="s">
        <v>847</v>
      </c>
      <c r="B1200" s="473" t="s">
        <v>2018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
      <c r="A1201" s="79" t="s">
        <v>847</v>
      </c>
      <c r="B1201" s="473" t="s">
        <v>2019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
      <c r="A1202" s="79" t="s">
        <v>847</v>
      </c>
      <c r="B1202" s="473" t="s">
        <v>2020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
      <c r="A1203" s="79" t="s">
        <v>847</v>
      </c>
      <c r="B1203" s="473" t="s">
        <v>2021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
      <c r="A1204" s="79" t="s">
        <v>847</v>
      </c>
      <c r="B1204" s="473" t="s">
        <v>2022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
      <c r="A1205" s="79" t="s">
        <v>847</v>
      </c>
      <c r="B1205" s="473" t="s">
        <v>2023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
      <c r="A1206" s="79" t="s">
        <v>847</v>
      </c>
      <c r="B1206" s="473" t="s">
        <v>2024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
      <c r="A1207" s="79" t="s">
        <v>847</v>
      </c>
      <c r="B1207" s="473" t="s">
        <v>2025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
      <c r="A1208" s="79" t="s">
        <v>847</v>
      </c>
      <c r="B1208" s="473" t="s">
        <v>2026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
      <c r="A1209" s="79" t="s">
        <v>847</v>
      </c>
      <c r="B1209" s="473" t="s">
        <v>2027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
      <c r="A1210" s="79" t="s">
        <v>847</v>
      </c>
      <c r="B1210" s="473" t="s">
        <v>2028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
      <c r="A1211" s="79" t="s">
        <v>847</v>
      </c>
      <c r="B1211" s="473" t="s">
        <v>2029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
      <c r="A1212" s="79" t="s">
        <v>847</v>
      </c>
      <c r="B1212" s="473" t="s">
        <v>2030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
      <c r="A1213" s="79" t="s">
        <v>847</v>
      </c>
      <c r="B1213" s="473" t="s">
        <v>2031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
      <c r="A1214" s="79" t="s">
        <v>847</v>
      </c>
      <c r="B1214" s="473" t="s">
        <v>2032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
      <c r="A1215" s="79" t="s">
        <v>847</v>
      </c>
      <c r="B1215" s="473" t="s">
        <v>2033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
      <c r="A1216" s="79" t="s">
        <v>847</v>
      </c>
      <c r="B1216" s="473" t="s">
        <v>2034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
      <c r="A1217" s="79" t="s">
        <v>847</v>
      </c>
      <c r="B1217" s="473" t="s">
        <v>2035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
      <c r="A1218" s="79" t="s">
        <v>847</v>
      </c>
      <c r="B1218" s="473" t="s">
        <v>2036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
      <c r="A1219" s="79" t="s">
        <v>847</v>
      </c>
      <c r="B1219" s="473" t="s">
        <v>2037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
      <c r="A1220" s="79" t="s">
        <v>847</v>
      </c>
      <c r="B1220" s="473" t="s">
        <v>2038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
      <c r="A1221" s="79" t="s">
        <v>847</v>
      </c>
      <c r="B1221" s="473" t="s">
        <v>2039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
      <c r="A1222" s="79" t="s">
        <v>847</v>
      </c>
      <c r="B1222" s="473" t="s">
        <v>2040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
      <c r="A1223" s="79" t="s">
        <v>847</v>
      </c>
      <c r="B1223" s="473" t="s">
        <v>2041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
      <c r="A1224" s="79" t="s">
        <v>847</v>
      </c>
      <c r="B1224" s="473" t="s">
        <v>2042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
      <c r="A1225" s="79" t="s">
        <v>847</v>
      </c>
      <c r="B1225" s="473" t="s">
        <v>2043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
      <c r="A1226" s="79" t="s">
        <v>847</v>
      </c>
      <c r="B1226" s="473" t="s">
        <v>2044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
      <c r="A1227" s="79" t="s">
        <v>847</v>
      </c>
      <c r="B1227" s="473" t="s">
        <v>2045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
      <c r="A1228" s="79" t="s">
        <v>847</v>
      </c>
      <c r="B1228" s="473" t="s">
        <v>2046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
      <c r="A1229" s="79" t="s">
        <v>847</v>
      </c>
      <c r="B1229" s="473" t="s">
        <v>2047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
      <c r="A1230" s="79" t="s">
        <v>847</v>
      </c>
      <c r="B1230" s="473" t="s">
        <v>2048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
      <c r="A1231" s="79" t="s">
        <v>847</v>
      </c>
      <c r="B1231" s="473" t="s">
        <v>2049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
      <c r="A1232" s="79" t="s">
        <v>847</v>
      </c>
      <c r="B1232" s="473" t="s">
        <v>2050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
      <c r="A1233" s="79" t="s">
        <v>847</v>
      </c>
      <c r="B1233" s="473" t="s">
        <v>2051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
      <c r="A1234" s="79" t="s">
        <v>847</v>
      </c>
      <c r="B1234" s="473" t="s">
        <v>2052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
      <c r="A1235" s="79" t="s">
        <v>847</v>
      </c>
      <c r="B1235" s="473" t="s">
        <v>2053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
      <c r="A1236" s="79" t="s">
        <v>847</v>
      </c>
      <c r="B1236" s="473" t="s">
        <v>2054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
      <c r="A1237" s="79" t="s">
        <v>847</v>
      </c>
      <c r="B1237" s="473" t="s">
        <v>2055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
      <c r="A1238" s="79" t="s">
        <v>847</v>
      </c>
      <c r="B1238" s="473" t="s">
        <v>2056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
      <c r="A1239" s="79" t="s">
        <v>847</v>
      </c>
      <c r="B1239" s="473" t="s">
        <v>2057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
      <c r="A1240" s="79" t="s">
        <v>847</v>
      </c>
      <c r="B1240" s="473" t="s">
        <v>2058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
      <c r="A1241" s="79" t="s">
        <v>847</v>
      </c>
      <c r="B1241" s="473" t="s">
        <v>2059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
      <c r="A1242" s="79" t="s">
        <v>847</v>
      </c>
      <c r="B1242" s="473" t="s">
        <v>2060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
      <c r="A1243" s="79" t="s">
        <v>847</v>
      </c>
      <c r="B1243" s="473" t="s">
        <v>2061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
      <c r="A1244" s="79" t="s">
        <v>847</v>
      </c>
      <c r="B1244" s="473" t="s">
        <v>2062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
      <c r="A1245" s="79" t="s">
        <v>847</v>
      </c>
      <c r="B1245" s="473" t="s">
        <v>2063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
      <c r="A1246" s="79" t="s">
        <v>847</v>
      </c>
      <c r="B1246" s="473" t="s">
        <v>2064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
      <c r="A1247" s="79" t="s">
        <v>847</v>
      </c>
      <c r="B1247" s="473" t="s">
        <v>2065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
      <c r="A1248" s="79" t="s">
        <v>847</v>
      </c>
      <c r="B1248" s="473" t="s">
        <v>2066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
      <c r="A1249" s="79" t="s">
        <v>847</v>
      </c>
      <c r="B1249" s="473" t="s">
        <v>2067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
      <c r="A1250" s="79" t="s">
        <v>847</v>
      </c>
      <c r="B1250" s="473" t="s">
        <v>2068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
      <c r="A1251" s="79" t="s">
        <v>847</v>
      </c>
      <c r="B1251" s="473" t="s">
        <v>2069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
      <c r="A1252" s="79" t="s">
        <v>847</v>
      </c>
      <c r="B1252" s="473" t="s">
        <v>2070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
      <c r="A1253" s="79" t="s">
        <v>847</v>
      </c>
      <c r="B1253" s="473" t="s">
        <v>2071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
      <c r="A1254" s="79" t="s">
        <v>847</v>
      </c>
      <c r="B1254" s="473" t="s">
        <v>2072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
      <c r="A1255" s="79" t="s">
        <v>847</v>
      </c>
      <c r="B1255" s="473" t="s">
        <v>2073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
      <c r="A1256" s="79" t="s">
        <v>847</v>
      </c>
      <c r="B1256" s="473" t="s">
        <v>2074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
      <c r="A1257" s="79" t="s">
        <v>847</v>
      </c>
      <c r="B1257" s="473" t="s">
        <v>2075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
      <c r="A1258" s="79" t="s">
        <v>847</v>
      </c>
      <c r="B1258" s="473" t="s">
        <v>2076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
      <c r="A1259" s="79" t="s">
        <v>847</v>
      </c>
      <c r="B1259" s="473" t="s">
        <v>2077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
      <c r="A1260" s="79" t="s">
        <v>847</v>
      </c>
      <c r="B1260" s="473" t="s">
        <v>2078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
      <c r="A1261" s="79" t="s">
        <v>847</v>
      </c>
      <c r="B1261" s="473" t="s">
        <v>2079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
      <c r="A1262" s="79" t="s">
        <v>847</v>
      </c>
      <c r="B1262" s="473" t="s">
        <v>2080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
      <c r="A1263" s="79" t="s">
        <v>847</v>
      </c>
      <c r="B1263" s="473" t="s">
        <v>2081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
      <c r="A1264" s="79" t="s">
        <v>847</v>
      </c>
      <c r="B1264" s="473" t="s">
        <v>2082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
      <c r="A1265" s="79" t="s">
        <v>847</v>
      </c>
      <c r="B1265" s="473" t="s">
        <v>2083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
      <c r="A1266" s="79" t="s">
        <v>847</v>
      </c>
      <c r="B1266" s="473" t="s">
        <v>2084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
      <c r="A1267" s="79" t="s">
        <v>847</v>
      </c>
      <c r="B1267" s="473" t="s">
        <v>2085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
      <c r="A1268" s="79" t="s">
        <v>847</v>
      </c>
      <c r="B1268" s="473" t="s">
        <v>2086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
      <c r="A1269" s="79" t="s">
        <v>847</v>
      </c>
      <c r="B1269" s="473" t="s">
        <v>2087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
      <c r="A1270" s="79" t="s">
        <v>847</v>
      </c>
      <c r="B1270" s="473" t="s">
        <v>2088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
      <c r="A1271" s="79" t="s">
        <v>847</v>
      </c>
      <c r="B1271" s="473" t="s">
        <v>2089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
      <c r="A1272" s="79" t="s">
        <v>847</v>
      </c>
      <c r="B1272" s="473" t="s">
        <v>2090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
      <c r="A1273" s="79" t="s">
        <v>847</v>
      </c>
      <c r="B1273" s="473" t="s">
        <v>2091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
      <c r="A1274" s="79" t="s">
        <v>847</v>
      </c>
      <c r="B1274" s="473" t="s">
        <v>2092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
      <c r="A1275" s="79" t="s">
        <v>847</v>
      </c>
      <c r="B1275" s="473" t="s">
        <v>2093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
      <c r="A1276" s="79" t="s">
        <v>847</v>
      </c>
      <c r="B1276" s="473" t="s">
        <v>2094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
      <c r="A1277" s="79" t="s">
        <v>847</v>
      </c>
      <c r="B1277" s="473" t="s">
        <v>2095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
      <c r="A1278" s="79" t="s">
        <v>847</v>
      </c>
      <c r="B1278" s="473" t="s">
        <v>2096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
      <c r="A1279" s="79" t="s">
        <v>847</v>
      </c>
      <c r="B1279" s="473" t="s">
        <v>2097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
      <c r="A1280" s="79" t="s">
        <v>847</v>
      </c>
      <c r="B1280" s="473" t="s">
        <v>2098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
      <c r="A1281" s="79" t="s">
        <v>847</v>
      </c>
      <c r="B1281" s="473" t="s">
        <v>2099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
      <c r="A1282" s="79" t="s">
        <v>847</v>
      </c>
      <c r="B1282" s="473" t="s">
        <v>2100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
      <c r="A1283" s="79" t="s">
        <v>847</v>
      </c>
      <c r="B1283" s="473" t="s">
        <v>2101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
      <c r="A1284" s="79" t="s">
        <v>847</v>
      </c>
      <c r="B1284" s="473" t="s">
        <v>2102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
      <c r="A1285" s="79" t="s">
        <v>847</v>
      </c>
      <c r="B1285" s="473" t="s">
        <v>2103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
      <c r="A1286" s="79" t="s">
        <v>847</v>
      </c>
      <c r="B1286" s="473" t="s">
        <v>2104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
      <c r="A1287" s="79" t="s">
        <v>847</v>
      </c>
      <c r="B1287" s="473" t="s">
        <v>2105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
      <c r="A1288" s="79" t="s">
        <v>847</v>
      </c>
      <c r="B1288" s="473" t="s">
        <v>2106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
      <c r="A1289" s="79" t="s">
        <v>847</v>
      </c>
      <c r="B1289" s="473" t="s">
        <v>2107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
      <c r="A1290" s="79" t="s">
        <v>847</v>
      </c>
      <c r="B1290" s="473" t="s">
        <v>2108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
      <c r="A1291" s="79" t="s">
        <v>847</v>
      </c>
      <c r="B1291" s="473" t="s">
        <v>2109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
      <c r="A1292" s="79" t="s">
        <v>847</v>
      </c>
      <c r="B1292" s="473" t="s">
        <v>2110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
      <c r="A1293" s="79" t="s">
        <v>847</v>
      </c>
      <c r="B1293" s="473" t="s">
        <v>2111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
      <c r="A1294" s="79" t="s">
        <v>847</v>
      </c>
      <c r="B1294" s="473" t="s">
        <v>2112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
      <c r="A1295" s="79" t="s">
        <v>847</v>
      </c>
      <c r="B1295" s="473" t="s">
        <v>2113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
      <c r="A1296" s="79" t="s">
        <v>847</v>
      </c>
      <c r="B1296" s="473" t="s">
        <v>2114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
      <c r="A1297" s="79" t="s">
        <v>847</v>
      </c>
      <c r="B1297" s="473" t="s">
        <v>2115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
      <c r="A1298" s="79" t="s">
        <v>847</v>
      </c>
      <c r="B1298" s="473" t="s">
        <v>2116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
      <c r="A1299" s="79" t="s">
        <v>847</v>
      </c>
      <c r="B1299" s="473" t="s">
        <v>2117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
      <c r="A1300" s="79" t="s">
        <v>847</v>
      </c>
      <c r="B1300" s="473" t="s">
        <v>2118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
      <c r="A1301" s="79" t="s">
        <v>847</v>
      </c>
      <c r="B1301" s="473" t="s">
        <v>2119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
      <c r="A1302" s="79" t="s">
        <v>847</v>
      </c>
      <c r="B1302" s="473" t="s">
        <v>2120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
      <c r="A1303" s="79" t="s">
        <v>847</v>
      </c>
      <c r="B1303" s="473" t="s">
        <v>2121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
      <c r="A1304" s="79" t="s">
        <v>847</v>
      </c>
      <c r="B1304" s="473" t="s">
        <v>2122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
      <c r="A1305" s="79" t="s">
        <v>847</v>
      </c>
      <c r="B1305" s="473" t="s">
        <v>2123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
      <c r="A1306" s="79" t="s">
        <v>847</v>
      </c>
      <c r="B1306" s="473" t="s">
        <v>2124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
      <c r="A1307" s="79" t="s">
        <v>847</v>
      </c>
      <c r="B1307" s="473" t="s">
        <v>2125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
      <c r="A1308" s="79" t="s">
        <v>847</v>
      </c>
      <c r="B1308" s="473" t="s">
        <v>2126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
      <c r="A1309" s="79" t="s">
        <v>847</v>
      </c>
      <c r="B1309" s="473" t="s">
        <v>2127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
      <c r="A1310" s="79" t="s">
        <v>847</v>
      </c>
      <c r="B1310" s="473" t="s">
        <v>2128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
      <c r="A1311" s="79" t="s">
        <v>847</v>
      </c>
      <c r="B1311" s="473" t="s">
        <v>2129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
      <c r="A1312" s="79" t="s">
        <v>847</v>
      </c>
      <c r="B1312" s="473" t="s">
        <v>2130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
      <c r="A1313" s="79" t="s">
        <v>847</v>
      </c>
      <c r="B1313" s="473" t="s">
        <v>2131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ht="15" x14ac:dyDescent="0.25">
      <c r="A1314" s="103"/>
      <c r="B1314" s="474"/>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
      <c r="A1315" s="53" t="s">
        <v>27</v>
      </c>
      <c r="B1315" s="475" t="s">
        <v>67</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
      <c r="A1316" s="53" t="s">
        <v>27</v>
      </c>
      <c r="B1316" s="476" t="s">
        <v>68</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
      <c r="A1317" s="53" t="s">
        <v>27</v>
      </c>
      <c r="B1317" s="476" t="s">
        <v>69</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
      <c r="A1318" s="53" t="s">
        <v>27</v>
      </c>
      <c r="B1318" s="476" t="s">
        <v>70</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
      <c r="A1319" s="53" t="s">
        <v>27</v>
      </c>
      <c r="B1319" s="476" t="s">
        <v>71</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
      <c r="A1320" s="53" t="s">
        <v>27</v>
      </c>
      <c r="B1320" s="476" t="s">
        <v>72</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
      <c r="A1321" s="54" t="s">
        <v>27</v>
      </c>
      <c r="B1321" s="477" t="s">
        <v>73</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ht="15" x14ac:dyDescent="0.25">
      <c r="A1322" s="107"/>
      <c r="B1322" s="478"/>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
      <c r="A1323" s="58" t="s">
        <v>30</v>
      </c>
      <c r="B1323" s="475" t="s">
        <v>74</v>
      </c>
      <c r="C1323" s="68" t="str">
        <f>CONCATENATE(A1323," - ",B1323)</f>
        <v>NI – Health and Social Care Trusts - Belfast Health and Social Care Trust</v>
      </c>
      <c r="D1323" s="794">
        <f t="shared" ref="D1323:E1327" si="243">I1323</f>
        <v>139590</v>
      </c>
      <c r="E1323" s="794">
        <f t="shared" si="243"/>
        <v>150331</v>
      </c>
      <c r="F1323" s="795">
        <f>G1323+H1323</f>
        <v>365871</v>
      </c>
      <c r="G1323" s="795">
        <f>SUM(M1323:CY1323)</f>
        <v>178525</v>
      </c>
      <c r="H1323" s="796">
        <f>SUM(CZ1323:GL1323)</f>
        <v>187346</v>
      </c>
      <c r="I1323" s="796">
        <f>SUM(AE1323:CY1323)</f>
        <v>139590</v>
      </c>
      <c r="J1323" s="796">
        <f>SUM(DR1323:GL1323)</f>
        <v>150331</v>
      </c>
      <c r="K1323" s="797">
        <f>SUM(M1323:AD1323)</f>
        <v>38935</v>
      </c>
      <c r="L1323" s="794">
        <f>SUM(CZ1323:DQ1323)</f>
        <v>37015</v>
      </c>
      <c r="M1323" s="797">
        <v>1910</v>
      </c>
      <c r="N1323" s="797">
        <v>2017</v>
      </c>
      <c r="O1323" s="797">
        <v>2002</v>
      </c>
      <c r="P1323" s="797">
        <v>2005</v>
      </c>
      <c r="Q1323" s="797">
        <v>2183</v>
      </c>
      <c r="R1323" s="797">
        <v>2080</v>
      </c>
      <c r="S1323" s="797">
        <v>2207</v>
      </c>
      <c r="T1323" s="797">
        <v>2246</v>
      </c>
      <c r="U1323" s="797">
        <v>2236</v>
      </c>
      <c r="V1323" s="797">
        <v>2309</v>
      </c>
      <c r="W1323" s="797">
        <v>2249</v>
      </c>
      <c r="X1323" s="797">
        <v>2330</v>
      </c>
      <c r="Y1323" s="797">
        <v>2296</v>
      </c>
      <c r="Z1323" s="797">
        <v>2211</v>
      </c>
      <c r="AA1323" s="797">
        <v>2228</v>
      </c>
      <c r="AB1323" s="797">
        <v>2249</v>
      </c>
      <c r="AC1323" s="797">
        <v>2115</v>
      </c>
      <c r="AD1323" s="797">
        <v>2062</v>
      </c>
      <c r="AE1323" s="797">
        <v>2289</v>
      </c>
      <c r="AF1323" s="797">
        <v>2993</v>
      </c>
      <c r="AG1323" s="797">
        <v>3026</v>
      </c>
      <c r="AH1323" s="797">
        <v>2617</v>
      </c>
      <c r="AI1323" s="797">
        <v>2730</v>
      </c>
      <c r="AJ1323" s="797">
        <v>2611</v>
      </c>
      <c r="AK1323" s="797">
        <v>2692</v>
      </c>
      <c r="AL1323" s="797">
        <v>2792</v>
      </c>
      <c r="AM1323" s="797">
        <v>2823</v>
      </c>
      <c r="AN1323" s="797">
        <v>2749</v>
      </c>
      <c r="AO1323" s="797">
        <v>2764</v>
      </c>
      <c r="AP1323" s="797">
        <v>2745</v>
      </c>
      <c r="AQ1323" s="797">
        <v>2713</v>
      </c>
      <c r="AR1323" s="797">
        <v>2728</v>
      </c>
      <c r="AS1323" s="797">
        <v>2756</v>
      </c>
      <c r="AT1323" s="797">
        <v>2713</v>
      </c>
      <c r="AU1323" s="797">
        <v>2616</v>
      </c>
      <c r="AV1323" s="797">
        <v>2610</v>
      </c>
      <c r="AW1323" s="797">
        <v>2545</v>
      </c>
      <c r="AX1323" s="797">
        <v>2558</v>
      </c>
      <c r="AY1323" s="797">
        <v>2519</v>
      </c>
      <c r="AZ1323" s="797">
        <v>2414</v>
      </c>
      <c r="BA1323" s="797">
        <v>2334</v>
      </c>
      <c r="BB1323" s="797">
        <v>2362</v>
      </c>
      <c r="BC1323" s="797">
        <v>2307</v>
      </c>
      <c r="BD1323" s="797">
        <v>2369</v>
      </c>
      <c r="BE1323" s="797">
        <v>2178</v>
      </c>
      <c r="BF1323" s="797">
        <v>2103</v>
      </c>
      <c r="BG1323" s="797">
        <v>1943</v>
      </c>
      <c r="BH1323" s="797">
        <v>1958</v>
      </c>
      <c r="BI1323" s="797">
        <v>1910</v>
      </c>
      <c r="BJ1323" s="797">
        <v>1998</v>
      </c>
      <c r="BK1323" s="797">
        <v>2100</v>
      </c>
      <c r="BL1323" s="797">
        <v>2116</v>
      </c>
      <c r="BM1323" s="797">
        <v>2074</v>
      </c>
      <c r="BN1323" s="797">
        <v>2267</v>
      </c>
      <c r="BO1323" s="797">
        <v>2279</v>
      </c>
      <c r="BP1323" s="797">
        <v>2334</v>
      </c>
      <c r="BQ1323" s="797">
        <v>2279</v>
      </c>
      <c r="BR1323" s="797">
        <v>2358</v>
      </c>
      <c r="BS1323" s="797">
        <v>2277</v>
      </c>
      <c r="BT1323" s="797">
        <v>2272</v>
      </c>
      <c r="BU1323" s="797">
        <v>2362</v>
      </c>
      <c r="BV1323" s="797">
        <v>2199</v>
      </c>
      <c r="BW1323" s="797">
        <v>2115</v>
      </c>
      <c r="BX1323" s="797">
        <v>2081</v>
      </c>
      <c r="BY1323" s="797">
        <v>1886</v>
      </c>
      <c r="BZ1323" s="797">
        <v>1877</v>
      </c>
      <c r="CA1323" s="797">
        <v>1703</v>
      </c>
      <c r="CB1323" s="797">
        <v>1677</v>
      </c>
      <c r="CC1323" s="797">
        <v>1554</v>
      </c>
      <c r="CD1323" s="797">
        <v>1565</v>
      </c>
      <c r="CE1323" s="797">
        <v>1335</v>
      </c>
      <c r="CF1323" s="797">
        <v>1255</v>
      </c>
      <c r="CG1323" s="797">
        <v>1316</v>
      </c>
      <c r="CH1323" s="797">
        <v>1194</v>
      </c>
      <c r="CI1323" s="797">
        <v>1141</v>
      </c>
      <c r="CJ1323" s="797">
        <v>1159</v>
      </c>
      <c r="CK1323" s="797">
        <v>1116</v>
      </c>
      <c r="CL1323" s="797">
        <v>990</v>
      </c>
      <c r="CM1323" s="797">
        <v>982</v>
      </c>
      <c r="CN1323" s="797">
        <v>979</v>
      </c>
      <c r="CO1323" s="797">
        <v>894</v>
      </c>
      <c r="CP1323" s="797">
        <v>764</v>
      </c>
      <c r="CQ1323" s="797">
        <v>635</v>
      </c>
      <c r="CR1323" s="797">
        <v>595</v>
      </c>
      <c r="CS1323" s="797">
        <v>580</v>
      </c>
      <c r="CT1323" s="797">
        <v>546</v>
      </c>
      <c r="CU1323" s="797">
        <v>469</v>
      </c>
      <c r="CV1323" s="797">
        <v>396</v>
      </c>
      <c r="CW1323" s="797">
        <v>323</v>
      </c>
      <c r="CX1323" s="797">
        <v>265</v>
      </c>
      <c r="CY1323" s="794">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
      <c r="A1324" s="58" t="s">
        <v>30</v>
      </c>
      <c r="B1324" s="476" t="s">
        <v>75</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
      <c r="A1325" s="58" t="s">
        <v>30</v>
      </c>
      <c r="B1325" s="476" t="s">
        <v>76</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
      <c r="A1326" s="58" t="s">
        <v>30</v>
      </c>
      <c r="B1326" s="476" t="s">
        <v>77</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
      <c r="A1327" s="59" t="s">
        <v>30</v>
      </c>
      <c r="B1327" s="477" t="s">
        <v>78</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ht="15" x14ac:dyDescent="0.25">
      <c r="A1328" s="107"/>
      <c r="B1328" s="478"/>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
      <c r="A1329" s="69" t="s">
        <v>25</v>
      </c>
      <c r="B1329" s="479" t="s">
        <v>79</v>
      </c>
      <c r="C1329" s="68" t="str">
        <f>CONCATENATE(A1329," - ",B1329)</f>
        <v>NHSE regions - East of England</v>
      </c>
      <c r="D1329" s="794">
        <f t="shared" ref="D1329:E1335" si="245">I1329</f>
        <v>2472845</v>
      </c>
      <c r="E1329" s="794">
        <f t="shared" si="245"/>
        <v>2628742</v>
      </c>
      <c r="F1329" s="795">
        <f t="shared" ref="F1329:F1335" si="246">G1329+H1329</f>
        <v>6468665</v>
      </c>
      <c r="G1329" s="795">
        <f t="shared" ref="G1329:G1335" si="247">SUM(M1329:CY1329)</f>
        <v>3173297</v>
      </c>
      <c r="H1329" s="796">
        <f t="shared" ref="H1329:H1335" si="248">SUM(CZ1329:GL1329)</f>
        <v>3295368</v>
      </c>
      <c r="I1329" s="796">
        <f t="shared" ref="I1329:I1335" si="249">SUM(AE1329:CY1329)</f>
        <v>2472845</v>
      </c>
      <c r="J1329" s="796">
        <f t="shared" ref="J1329:J1335" si="250">SUM(DR1329:GL1329)</f>
        <v>2628742</v>
      </c>
      <c r="K1329" s="797">
        <f t="shared" ref="K1329:K1335" si="251">SUM(M1329:AD1329)</f>
        <v>700452</v>
      </c>
      <c r="L1329" s="794">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
      <c r="A1330" s="60" t="s">
        <v>25</v>
      </c>
      <c r="B1330" s="479" t="s">
        <v>80</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
      <c r="A1331" s="60" t="s">
        <v>25</v>
      </c>
      <c r="B1331" s="479" t="s">
        <v>81</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
      <c r="A1332" s="60" t="s">
        <v>25</v>
      </c>
      <c r="B1332" s="479" t="s">
        <v>82</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
      <c r="A1333" s="60" t="s">
        <v>25</v>
      </c>
      <c r="B1333" s="479" t="s">
        <v>83</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
      <c r="A1334" s="60" t="s">
        <v>25</v>
      </c>
      <c r="B1334" s="479" t="s">
        <v>84</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
      <c r="A1335" s="128" t="s">
        <v>25</v>
      </c>
      <c r="B1335" s="479" t="s">
        <v>85</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ht="15" x14ac:dyDescent="0.25">
      <c r="A1336" s="108"/>
      <c r="B1336" s="480"/>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793"/>
      <c r="O1336" s="793"/>
      <c r="P1336" s="793"/>
      <c r="Q1336" s="793"/>
      <c r="R1336" s="793"/>
      <c r="S1336" s="793"/>
      <c r="T1336" s="793"/>
      <c r="U1336" s="793"/>
      <c r="V1336" s="793"/>
      <c r="W1336" s="793"/>
      <c r="X1336" s="793"/>
      <c r="Y1336" s="793"/>
      <c r="Z1336" s="793"/>
      <c r="AA1336" s="793"/>
      <c r="AB1336" s="793"/>
      <c r="AC1336" s="793"/>
      <c r="AD1336" s="793"/>
      <c r="AE1336" s="793"/>
      <c r="AF1336" s="793"/>
      <c r="AG1336" s="793"/>
      <c r="AH1336" s="793"/>
      <c r="AI1336" s="793"/>
      <c r="AJ1336" s="793"/>
      <c r="AK1336" s="793"/>
      <c r="AL1336" s="793"/>
      <c r="AM1336" s="793"/>
      <c r="AN1336" s="793"/>
      <c r="AO1336" s="793"/>
      <c r="AP1336" s="793"/>
      <c r="AQ1336" s="793"/>
      <c r="AR1336" s="793"/>
      <c r="AS1336" s="793"/>
      <c r="AT1336" s="793"/>
      <c r="AU1336" s="793"/>
      <c r="AV1336" s="793"/>
      <c r="AW1336" s="793"/>
      <c r="AX1336" s="793"/>
      <c r="AY1336" s="793"/>
      <c r="AZ1336" s="793"/>
      <c r="BA1336" s="793"/>
      <c r="BB1336" s="793"/>
      <c r="BC1336" s="793"/>
      <c r="BD1336" s="793"/>
      <c r="BE1336" s="793"/>
      <c r="BF1336" s="793"/>
      <c r="BG1336" s="793"/>
      <c r="BH1336" s="793"/>
      <c r="BI1336" s="793"/>
      <c r="BJ1336" s="793"/>
      <c r="BK1336" s="793"/>
      <c r="BL1336" s="793"/>
      <c r="BM1336" s="793"/>
      <c r="BN1336" s="793"/>
      <c r="BO1336" s="793"/>
      <c r="BP1336" s="793"/>
      <c r="BQ1336" s="793"/>
      <c r="BR1336" s="793"/>
      <c r="BS1336" s="793"/>
      <c r="BT1336" s="793"/>
      <c r="BU1336" s="793"/>
      <c r="BV1336" s="793"/>
      <c r="BW1336" s="793"/>
      <c r="BX1336" s="793"/>
      <c r="BY1336" s="793"/>
      <c r="BZ1336" s="793"/>
      <c r="CA1336" s="793"/>
      <c r="CB1336" s="793"/>
      <c r="CC1336" s="793"/>
      <c r="CD1336" s="793"/>
      <c r="CE1336" s="793"/>
      <c r="CF1336" s="793"/>
      <c r="CG1336" s="793"/>
      <c r="CH1336" s="793"/>
      <c r="CI1336" s="793"/>
      <c r="CJ1336" s="793"/>
      <c r="CK1336" s="793"/>
      <c r="CL1336" s="793"/>
      <c r="CM1336" s="793"/>
      <c r="CN1336" s="793"/>
      <c r="CO1336" s="793"/>
      <c r="CP1336" s="793"/>
      <c r="CQ1336" s="793"/>
      <c r="CR1336" s="793"/>
      <c r="CS1336" s="793"/>
      <c r="CT1336" s="793"/>
      <c r="CU1336" s="793"/>
      <c r="CV1336" s="793"/>
      <c r="CW1336" s="793"/>
      <c r="CX1336" s="793"/>
      <c r="CY1336" s="790"/>
      <c r="CZ1336" s="109"/>
      <c r="DA1336" s="793"/>
      <c r="DB1336" s="793"/>
      <c r="DC1336" s="793"/>
      <c r="DD1336" s="793"/>
      <c r="DE1336" s="793"/>
      <c r="DF1336" s="793"/>
      <c r="DG1336" s="793"/>
      <c r="DH1336" s="793"/>
      <c r="DI1336" s="793"/>
      <c r="DJ1336" s="793"/>
      <c r="DK1336" s="793"/>
      <c r="DL1336" s="793"/>
      <c r="DM1336" s="793"/>
      <c r="DN1336" s="793"/>
      <c r="DO1336" s="793"/>
      <c r="DP1336" s="793"/>
      <c r="DQ1336" s="793"/>
      <c r="DR1336" s="793"/>
      <c r="DS1336" s="793"/>
      <c r="DT1336" s="793"/>
      <c r="DU1336" s="793"/>
      <c r="DV1336" s="793"/>
      <c r="DW1336" s="793"/>
      <c r="DX1336" s="793"/>
      <c r="DY1336" s="793"/>
      <c r="DZ1336" s="793"/>
      <c r="EA1336" s="793"/>
      <c r="EB1336" s="793"/>
      <c r="EC1336" s="793"/>
      <c r="ED1336" s="793"/>
      <c r="EE1336" s="793"/>
      <c r="EF1336" s="793"/>
      <c r="EG1336" s="793"/>
      <c r="EH1336" s="793"/>
      <c r="EI1336" s="793"/>
      <c r="EJ1336" s="793"/>
      <c r="EK1336" s="793"/>
      <c r="EL1336" s="793"/>
      <c r="EM1336" s="793"/>
      <c r="EN1336" s="793"/>
      <c r="EO1336" s="793"/>
      <c r="EP1336" s="793"/>
      <c r="EQ1336" s="793"/>
      <c r="ER1336" s="793"/>
      <c r="ES1336" s="793"/>
      <c r="ET1336" s="793"/>
      <c r="EU1336" s="793"/>
      <c r="EV1336" s="793"/>
      <c r="EW1336" s="793"/>
      <c r="EX1336" s="793"/>
      <c r="EY1336" s="793"/>
      <c r="EZ1336" s="793"/>
      <c r="FA1336" s="793"/>
      <c r="FB1336" s="793"/>
      <c r="FC1336" s="793"/>
      <c r="FD1336" s="793"/>
      <c r="FE1336" s="793"/>
      <c r="FF1336" s="793"/>
      <c r="FG1336" s="793"/>
      <c r="FH1336" s="793"/>
      <c r="FI1336" s="793"/>
      <c r="FJ1336" s="793"/>
      <c r="FK1336" s="793"/>
      <c r="FL1336" s="793"/>
      <c r="FM1336" s="793"/>
      <c r="FN1336" s="793"/>
      <c r="FO1336" s="793"/>
      <c r="FP1336" s="793"/>
      <c r="FQ1336" s="793"/>
      <c r="FR1336" s="793"/>
      <c r="FS1336" s="793"/>
      <c r="FT1336" s="793"/>
      <c r="FU1336" s="793"/>
      <c r="FV1336" s="793"/>
      <c r="FW1336" s="793"/>
      <c r="FX1336" s="793"/>
      <c r="FY1336" s="793"/>
      <c r="FZ1336" s="793"/>
      <c r="GA1336" s="793"/>
      <c r="GB1336" s="793"/>
      <c r="GC1336" s="793"/>
      <c r="GD1336" s="793"/>
      <c r="GE1336" s="793"/>
      <c r="GF1336" s="793"/>
      <c r="GG1336" s="793"/>
      <c r="GH1336" s="793"/>
      <c r="GI1336" s="793"/>
      <c r="GJ1336" s="793"/>
      <c r="GK1336" s="793"/>
      <c r="GL1336" s="790"/>
    </row>
    <row r="1337" spans="1:194" s="1" customFormat="1" x14ac:dyDescent="0.2">
      <c r="A1337" s="98" t="s">
        <v>17</v>
      </c>
      <c r="B1337" s="481" t="s">
        <v>86</v>
      </c>
      <c r="C1337" s="798"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795">
        <f t="shared" ref="G1337:G1342" si="257">SUM(M1337:CY1337)</f>
        <v>476033</v>
      </c>
      <c r="H1337" s="796">
        <f t="shared" ref="H1337:H1342" si="258">SUM(CZ1337:GL1337)</f>
        <v>487591</v>
      </c>
      <c r="I1337" s="795">
        <f t="shared" ref="I1337:I1342" si="259">SUM(AE1337:CY1337)</f>
        <v>376293</v>
      </c>
      <c r="J1337" s="94">
        <f t="shared" ref="J1337:J1342" si="260">SUM(DR1337:GL1337)</f>
        <v>392407</v>
      </c>
      <c r="K1337" s="96">
        <f t="shared" ref="K1337:K1342" si="261">SUM(M1337:AD1337)</f>
        <v>99740</v>
      </c>
      <c r="L1337" s="794">
        <f t="shared" ref="L1337:L1342" si="262">SUM(CZ1337:DQ1337)</f>
        <v>95184</v>
      </c>
      <c r="M1337" s="96">
        <v>4477</v>
      </c>
      <c r="N1337" s="797">
        <v>4861</v>
      </c>
      <c r="O1337" s="797">
        <v>4857</v>
      </c>
      <c r="P1337" s="797">
        <v>5120</v>
      </c>
      <c r="Q1337" s="797">
        <v>5340</v>
      </c>
      <c r="R1337" s="797">
        <v>5267</v>
      </c>
      <c r="S1337" s="797">
        <v>5565</v>
      </c>
      <c r="T1337" s="797">
        <v>5775</v>
      </c>
      <c r="U1337" s="797">
        <v>5677</v>
      </c>
      <c r="V1337" s="797">
        <v>5730</v>
      </c>
      <c r="W1337" s="797">
        <v>6094</v>
      </c>
      <c r="X1337" s="797">
        <v>6096</v>
      </c>
      <c r="Y1337" s="797">
        <v>6110</v>
      </c>
      <c r="Z1337" s="797">
        <v>5915</v>
      </c>
      <c r="AA1337" s="797">
        <v>5725</v>
      </c>
      <c r="AB1337" s="797">
        <v>5890</v>
      </c>
      <c r="AC1337" s="797">
        <v>5713</v>
      </c>
      <c r="AD1337" s="797">
        <v>5528</v>
      </c>
      <c r="AE1337" s="797">
        <v>6099</v>
      </c>
      <c r="AF1337" s="797">
        <v>6876</v>
      </c>
      <c r="AG1337" s="797">
        <v>6388</v>
      </c>
      <c r="AH1337" s="797">
        <v>5685</v>
      </c>
      <c r="AI1337" s="797">
        <v>5937</v>
      </c>
      <c r="AJ1337" s="797">
        <v>5922</v>
      </c>
      <c r="AK1337" s="797">
        <v>5776</v>
      </c>
      <c r="AL1337" s="797">
        <v>5647</v>
      </c>
      <c r="AM1337" s="797">
        <v>5858</v>
      </c>
      <c r="AN1337" s="797">
        <v>5531</v>
      </c>
      <c r="AO1337" s="797">
        <v>5733</v>
      </c>
      <c r="AP1337" s="797">
        <v>5627</v>
      </c>
      <c r="AQ1337" s="797">
        <v>5850</v>
      </c>
      <c r="AR1337" s="797">
        <v>5943</v>
      </c>
      <c r="AS1337" s="797">
        <v>6114</v>
      </c>
      <c r="AT1337" s="797">
        <v>6094</v>
      </c>
      <c r="AU1337" s="797">
        <v>6151</v>
      </c>
      <c r="AV1337" s="797">
        <v>6309</v>
      </c>
      <c r="AW1337" s="797">
        <v>6114</v>
      </c>
      <c r="AX1337" s="797">
        <v>6027</v>
      </c>
      <c r="AY1337" s="797">
        <v>6282</v>
      </c>
      <c r="AZ1337" s="797">
        <v>5922</v>
      </c>
      <c r="BA1337" s="797">
        <v>5871</v>
      </c>
      <c r="BB1337" s="797">
        <v>5951</v>
      </c>
      <c r="BC1337" s="797">
        <v>6020</v>
      </c>
      <c r="BD1337" s="797">
        <v>6187</v>
      </c>
      <c r="BE1337" s="797">
        <v>5775</v>
      </c>
      <c r="BF1337" s="797">
        <v>5379</v>
      </c>
      <c r="BG1337" s="797">
        <v>5331</v>
      </c>
      <c r="BH1337" s="797">
        <v>5709</v>
      </c>
      <c r="BI1337" s="797">
        <v>5799</v>
      </c>
      <c r="BJ1337" s="797">
        <v>6184</v>
      </c>
      <c r="BK1337" s="797">
        <v>6388</v>
      </c>
      <c r="BL1337" s="797">
        <v>6475</v>
      </c>
      <c r="BM1337" s="797">
        <v>6677</v>
      </c>
      <c r="BN1337" s="797">
        <v>6361</v>
      </c>
      <c r="BO1337" s="797">
        <v>6577</v>
      </c>
      <c r="BP1337" s="797">
        <v>6657</v>
      </c>
      <c r="BQ1337" s="797">
        <v>6748</v>
      </c>
      <c r="BR1337" s="797">
        <v>6835</v>
      </c>
      <c r="BS1337" s="797">
        <v>6717</v>
      </c>
      <c r="BT1337" s="797">
        <v>6662</v>
      </c>
      <c r="BU1337" s="797">
        <v>6554</v>
      </c>
      <c r="BV1337" s="797">
        <v>6364</v>
      </c>
      <c r="BW1337" s="797">
        <v>6190</v>
      </c>
      <c r="BX1337" s="797">
        <v>5814</v>
      </c>
      <c r="BY1337" s="797">
        <v>5478</v>
      </c>
      <c r="BZ1337" s="797">
        <v>5333</v>
      </c>
      <c r="CA1337" s="797">
        <v>5004</v>
      </c>
      <c r="CB1337" s="797">
        <v>4899</v>
      </c>
      <c r="CC1337" s="797">
        <v>4757</v>
      </c>
      <c r="CD1337" s="797">
        <v>4569</v>
      </c>
      <c r="CE1337" s="797">
        <v>4595</v>
      </c>
      <c r="CF1337" s="797">
        <v>4335</v>
      </c>
      <c r="CG1337" s="797">
        <v>4322</v>
      </c>
      <c r="CH1337" s="797">
        <v>4349</v>
      </c>
      <c r="CI1337" s="797">
        <v>4541</v>
      </c>
      <c r="CJ1337" s="797">
        <v>4699</v>
      </c>
      <c r="CK1337" s="797">
        <v>5003</v>
      </c>
      <c r="CL1337" s="797">
        <v>3836</v>
      </c>
      <c r="CM1337" s="797">
        <v>3450</v>
      </c>
      <c r="CN1337" s="797">
        <v>3356</v>
      </c>
      <c r="CO1337" s="797">
        <v>3094</v>
      </c>
      <c r="CP1337" s="797">
        <v>2626</v>
      </c>
      <c r="CQ1337" s="797">
        <v>2189</v>
      </c>
      <c r="CR1337" s="797">
        <v>2168</v>
      </c>
      <c r="CS1337" s="797">
        <v>2017</v>
      </c>
      <c r="CT1337" s="797">
        <v>1851</v>
      </c>
      <c r="CU1337" s="797">
        <v>1674</v>
      </c>
      <c r="CV1337" s="797">
        <v>1396</v>
      </c>
      <c r="CW1337" s="797">
        <v>1198</v>
      </c>
      <c r="CX1337" s="797">
        <v>1036</v>
      </c>
      <c r="CY1337" s="794">
        <v>3408</v>
      </c>
      <c r="CZ1337" s="96">
        <v>4214</v>
      </c>
      <c r="DA1337" s="797">
        <v>4718</v>
      </c>
      <c r="DB1337" s="797">
        <v>4671</v>
      </c>
      <c r="DC1337" s="797">
        <v>4862</v>
      </c>
      <c r="DD1337" s="797">
        <v>5065</v>
      </c>
      <c r="DE1337" s="797">
        <v>5169</v>
      </c>
      <c r="DF1337" s="797">
        <v>5321</v>
      </c>
      <c r="DG1337" s="797">
        <v>5425</v>
      </c>
      <c r="DH1337" s="797">
        <v>5397</v>
      </c>
      <c r="DI1337" s="797">
        <v>5522</v>
      </c>
      <c r="DJ1337" s="797">
        <v>5473</v>
      </c>
      <c r="DK1337" s="797">
        <v>5801</v>
      </c>
      <c r="DL1337" s="797">
        <v>5680</v>
      </c>
      <c r="DM1337" s="797">
        <v>5657</v>
      </c>
      <c r="DN1337" s="797">
        <v>5637</v>
      </c>
      <c r="DO1337" s="797">
        <v>5871</v>
      </c>
      <c r="DP1337" s="797">
        <v>5372</v>
      </c>
      <c r="DQ1337" s="797">
        <v>5329</v>
      </c>
      <c r="DR1337" s="797">
        <v>5521</v>
      </c>
      <c r="DS1337" s="797">
        <v>5756</v>
      </c>
      <c r="DT1337" s="797">
        <v>5196</v>
      </c>
      <c r="DU1337" s="797">
        <v>4940</v>
      </c>
      <c r="DV1337" s="797">
        <v>5387</v>
      </c>
      <c r="DW1337" s="797">
        <v>5054</v>
      </c>
      <c r="DX1337" s="797">
        <v>5175</v>
      </c>
      <c r="DY1337" s="797">
        <v>5324</v>
      </c>
      <c r="DZ1337" s="797">
        <v>5222</v>
      </c>
      <c r="EA1337" s="797">
        <v>5316</v>
      </c>
      <c r="EB1337" s="797">
        <v>5654</v>
      </c>
      <c r="EC1337" s="797">
        <v>5910</v>
      </c>
      <c r="ED1337" s="797">
        <v>5863</v>
      </c>
      <c r="EE1337" s="797">
        <v>6294</v>
      </c>
      <c r="EF1337" s="797">
        <v>6329</v>
      </c>
      <c r="EG1337" s="797">
        <v>6430</v>
      </c>
      <c r="EH1337" s="797">
        <v>6305</v>
      </c>
      <c r="EI1337" s="797">
        <v>6754</v>
      </c>
      <c r="EJ1337" s="797">
        <v>6280</v>
      </c>
      <c r="EK1337" s="797">
        <v>6342</v>
      </c>
      <c r="EL1337" s="797">
        <v>6424</v>
      </c>
      <c r="EM1337" s="797">
        <v>5995</v>
      </c>
      <c r="EN1337" s="797">
        <v>6316</v>
      </c>
      <c r="EO1337" s="797">
        <v>6191</v>
      </c>
      <c r="EP1337" s="797">
        <v>6133</v>
      </c>
      <c r="EQ1337" s="797">
        <v>6099</v>
      </c>
      <c r="ER1337" s="797">
        <v>6038</v>
      </c>
      <c r="ES1337" s="797">
        <v>5723</v>
      </c>
      <c r="ET1337" s="797">
        <v>5676</v>
      </c>
      <c r="EU1337" s="797">
        <v>5725</v>
      </c>
      <c r="EV1337" s="797">
        <v>6188</v>
      </c>
      <c r="EW1337" s="797">
        <v>6328</v>
      </c>
      <c r="EX1337" s="797">
        <v>6666</v>
      </c>
      <c r="EY1337" s="797">
        <v>6467</v>
      </c>
      <c r="EZ1337" s="797">
        <v>6831</v>
      </c>
      <c r="FA1337" s="797">
        <v>6705</v>
      </c>
      <c r="FB1337" s="797">
        <v>6802</v>
      </c>
      <c r="FC1337" s="797">
        <v>7051</v>
      </c>
      <c r="FD1337" s="797">
        <v>7034</v>
      </c>
      <c r="FE1337" s="797">
        <v>6862</v>
      </c>
      <c r="FF1337" s="797">
        <v>7004</v>
      </c>
      <c r="FG1337" s="797">
        <v>6690</v>
      </c>
      <c r="FH1337" s="797">
        <v>6647</v>
      </c>
      <c r="FI1337" s="797">
        <v>6662</v>
      </c>
      <c r="FJ1337" s="797">
        <v>6120</v>
      </c>
      <c r="FK1337" s="797">
        <v>5959</v>
      </c>
      <c r="FL1337" s="797">
        <v>5778</v>
      </c>
      <c r="FM1337" s="797">
        <v>5562</v>
      </c>
      <c r="FN1337" s="797">
        <v>5369</v>
      </c>
      <c r="FO1337" s="797">
        <v>5178</v>
      </c>
      <c r="FP1337" s="797">
        <v>5029</v>
      </c>
      <c r="FQ1337" s="797">
        <v>5175</v>
      </c>
      <c r="FR1337" s="797">
        <v>4921</v>
      </c>
      <c r="FS1337" s="797">
        <v>4769</v>
      </c>
      <c r="FT1337" s="797">
        <v>4774</v>
      </c>
      <c r="FU1337" s="797">
        <v>4911</v>
      </c>
      <c r="FV1337" s="797">
        <v>5048</v>
      </c>
      <c r="FW1337" s="797">
        <v>5069</v>
      </c>
      <c r="FX1337" s="797">
        <v>5634</v>
      </c>
      <c r="FY1337" s="797">
        <v>4367</v>
      </c>
      <c r="FZ1337" s="797">
        <v>4146</v>
      </c>
      <c r="GA1337" s="797">
        <v>3937</v>
      </c>
      <c r="GB1337" s="797">
        <v>3626</v>
      </c>
      <c r="GC1337" s="797">
        <v>3111</v>
      </c>
      <c r="GD1337" s="797">
        <v>2748</v>
      </c>
      <c r="GE1337" s="797">
        <v>2778</v>
      </c>
      <c r="GF1337" s="797">
        <v>2638</v>
      </c>
      <c r="GG1337" s="797">
        <v>2379</v>
      </c>
      <c r="GH1337" s="797">
        <v>2175</v>
      </c>
      <c r="GI1337" s="797">
        <v>2016</v>
      </c>
      <c r="GJ1337" s="797">
        <v>1754</v>
      </c>
      <c r="GK1337" s="797">
        <v>1482</v>
      </c>
      <c r="GL1337" s="794">
        <v>6645</v>
      </c>
    </row>
    <row r="1338" spans="1:194" s="1" customFormat="1" x14ac:dyDescent="0.2">
      <c r="A1338" s="100" t="s">
        <v>17</v>
      </c>
      <c r="B1338" s="482" t="s">
        <v>87</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
      <c r="A1339" s="100" t="s">
        <v>17</v>
      </c>
      <c r="B1339" s="482" t="s">
        <v>88</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
      <c r="A1340" s="100" t="s">
        <v>17</v>
      </c>
      <c r="B1340" s="482" t="s">
        <v>89</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x14ac:dyDescent="0.2">
      <c r="A1341" s="100" t="s">
        <v>17</v>
      </c>
      <c r="B1341" s="482" t="s">
        <v>90</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x14ac:dyDescent="0.2">
      <c r="A1342" s="100" t="s">
        <v>17</v>
      </c>
      <c r="B1342" s="482" t="s">
        <v>91</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x14ac:dyDescent="0.2">
      <c r="A1343" s="100" t="s">
        <v>17</v>
      </c>
      <c r="B1343" s="482" t="s">
        <v>92</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x14ac:dyDescent="0.2">
      <c r="A1344" s="100" t="s">
        <v>17</v>
      </c>
      <c r="B1344" s="482" t="s">
        <v>93</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x14ac:dyDescent="0.2">
      <c r="A1345" s="100" t="s">
        <v>17</v>
      </c>
      <c r="B1345" s="482" t="s">
        <v>94</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x14ac:dyDescent="0.2">
      <c r="A1346" s="100" t="s">
        <v>17</v>
      </c>
      <c r="B1346" s="482" t="s">
        <v>95</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x14ac:dyDescent="0.2">
      <c r="A1347" s="100" t="s">
        <v>17</v>
      </c>
      <c r="B1347" s="482" t="s">
        <v>96</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x14ac:dyDescent="0.2">
      <c r="A1348" s="100" t="s">
        <v>17</v>
      </c>
      <c r="B1348" s="482" t="s">
        <v>97</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x14ac:dyDescent="0.2">
      <c r="A1349" s="100" t="s">
        <v>17</v>
      </c>
      <c r="B1349" s="482" t="s">
        <v>98</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x14ac:dyDescent="0.2">
      <c r="A1350" s="100" t="s">
        <v>17</v>
      </c>
      <c r="B1350" s="482" t="s">
        <v>99</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x14ac:dyDescent="0.2">
      <c r="A1351" s="100" t="s">
        <v>17</v>
      </c>
      <c r="B1351" s="482" t="s">
        <v>100</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x14ac:dyDescent="0.2">
      <c r="A1352" s="100" t="s">
        <v>17</v>
      </c>
      <c r="B1352" s="482" t="s">
        <v>101</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x14ac:dyDescent="0.2">
      <c r="A1353" s="100" t="s">
        <v>17</v>
      </c>
      <c r="B1353" s="482" t="s">
        <v>102</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x14ac:dyDescent="0.2">
      <c r="A1354" s="100" t="s">
        <v>17</v>
      </c>
      <c r="B1354" s="482" t="s">
        <v>103</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x14ac:dyDescent="0.2">
      <c r="A1355" s="100" t="s">
        <v>17</v>
      </c>
      <c r="B1355" s="482" t="s">
        <v>104</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x14ac:dyDescent="0.2">
      <c r="A1356" s="100" t="s">
        <v>17</v>
      </c>
      <c r="B1356" s="482" t="s">
        <v>105</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x14ac:dyDescent="0.2">
      <c r="A1357" s="100" t="s">
        <v>17</v>
      </c>
      <c r="B1357" s="482" t="s">
        <v>106</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x14ac:dyDescent="0.2">
      <c r="A1358" s="100" t="s">
        <v>17</v>
      </c>
      <c r="B1358" s="482" t="s">
        <v>107</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x14ac:dyDescent="0.2">
      <c r="A1359" s="100" t="s">
        <v>17</v>
      </c>
      <c r="B1359" s="482" t="s">
        <v>108</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x14ac:dyDescent="0.2">
      <c r="A1360" s="100" t="s">
        <v>17</v>
      </c>
      <c r="B1360" s="482" t="s">
        <v>109</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x14ac:dyDescent="0.2">
      <c r="A1361" s="100" t="s">
        <v>17</v>
      </c>
      <c r="B1361" s="482" t="s">
        <v>110</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x14ac:dyDescent="0.2">
      <c r="A1362" s="100" t="s">
        <v>17</v>
      </c>
      <c r="B1362" s="482" t="s">
        <v>111</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x14ac:dyDescent="0.2">
      <c r="A1363" s="100" t="s">
        <v>17</v>
      </c>
      <c r="B1363" s="482" t="s">
        <v>112</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x14ac:dyDescent="0.2">
      <c r="A1364" s="100" t="s">
        <v>17</v>
      </c>
      <c r="B1364" s="482" t="s">
        <v>113</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x14ac:dyDescent="0.2">
      <c r="A1365" s="100" t="s">
        <v>17</v>
      </c>
      <c r="B1365" s="482" t="s">
        <v>114</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x14ac:dyDescent="0.2">
      <c r="A1366" s="100" t="s">
        <v>17</v>
      </c>
      <c r="B1366" s="482" t="s">
        <v>115</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x14ac:dyDescent="0.2">
      <c r="A1367" s="100" t="s">
        <v>17</v>
      </c>
      <c r="B1367" s="482" t="s">
        <v>116</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x14ac:dyDescent="0.2">
      <c r="A1368" s="100" t="s">
        <v>17</v>
      </c>
      <c r="B1368" s="482" t="s">
        <v>117</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x14ac:dyDescent="0.2">
      <c r="A1369" s="100" t="s">
        <v>17</v>
      </c>
      <c r="B1369" s="482" t="s">
        <v>118</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x14ac:dyDescent="0.2">
      <c r="A1370" s="100" t="s">
        <v>17</v>
      </c>
      <c r="B1370" s="482" t="s">
        <v>119</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x14ac:dyDescent="0.2">
      <c r="A1371" s="100" t="s">
        <v>17</v>
      </c>
      <c r="B1371" s="482" t="s">
        <v>120</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x14ac:dyDescent="0.2">
      <c r="A1372" s="100" t="s">
        <v>17</v>
      </c>
      <c r="B1372" s="482" t="s">
        <v>121</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x14ac:dyDescent="0.2">
      <c r="A1373" s="100" t="s">
        <v>17</v>
      </c>
      <c r="B1373" s="482" t="s">
        <v>122</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x14ac:dyDescent="0.2">
      <c r="A1374" s="100" t="s">
        <v>17</v>
      </c>
      <c r="B1374" s="482" t="s">
        <v>123</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
      <c r="A1375" s="100" t="s">
        <v>17</v>
      </c>
      <c r="B1375" s="482" t="s">
        <v>124</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
      <c r="A1376" s="100" t="s">
        <v>17</v>
      </c>
      <c r="B1376" s="482" t="s">
        <v>125</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
      <c r="A1377" s="100" t="s">
        <v>17</v>
      </c>
      <c r="B1377" s="482" t="s">
        <v>126</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
      <c r="A1378" s="100" t="s">
        <v>17</v>
      </c>
      <c r="B1378" s="482" t="s">
        <v>127</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ht="15" x14ac:dyDescent="0.25">
      <c r="A1379" s="103"/>
      <c r="B1379" s="483"/>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
      <c r="A1380" s="30" t="s">
        <v>46</v>
      </c>
      <c r="B1380" s="1" t="s">
        <v>128</v>
      </c>
      <c r="C1380" s="68" t="str">
        <f>CONCATENATE(A1380," - ",B1380)</f>
        <v>LA England - Adur</v>
      </c>
      <c r="D1380" s="794">
        <f t="shared" ref="D1380:D1444" si="283">I1380</f>
        <v>24508</v>
      </c>
      <c r="E1380" s="794">
        <f t="shared" ref="E1380:E1444" si="284">J1380</f>
        <v>27095</v>
      </c>
      <c r="F1380" s="795">
        <f t="shared" ref="F1380:F1444" si="285">G1380+H1380</f>
        <v>64687</v>
      </c>
      <c r="G1380" s="795">
        <f t="shared" ref="G1380:G1444" si="286">SUM(M1380:CY1380)</f>
        <v>31332</v>
      </c>
      <c r="H1380" s="796">
        <f t="shared" ref="H1380:H1444" si="287">SUM(CZ1380:GL1380)</f>
        <v>33355</v>
      </c>
      <c r="I1380" s="796">
        <f t="shared" ref="I1380:I1444" si="288">SUM(AE1380:CY1380)</f>
        <v>24508</v>
      </c>
      <c r="J1380" s="796">
        <f t="shared" ref="J1380:J1444" si="289">SUM(DR1380:GL1380)</f>
        <v>27095</v>
      </c>
      <c r="K1380" s="49">
        <f t="shared" ref="K1380:K1444" si="290">SUM(M1380:AD1380)</f>
        <v>6824</v>
      </c>
      <c r="L1380" s="794">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
      <c r="A1381" s="30" t="s">
        <v>46</v>
      </c>
      <c r="B1381" s="1" t="s">
        <v>129</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
      <c r="A1382" s="30" t="s">
        <v>46</v>
      </c>
      <c r="B1382" s="1" t="s">
        <v>130</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
      <c r="A1383" s="30" t="s">
        <v>46</v>
      </c>
      <c r="B1383" s="1" t="s">
        <v>131</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
      <c r="A1384" s="30" t="s">
        <v>46</v>
      </c>
      <c r="B1384" s="1" t="s">
        <v>132</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
      <c r="A1385" s="30" t="s">
        <v>46</v>
      </c>
      <c r="B1385" s="1" t="s">
        <v>133</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
      <c r="A1386" s="30" t="s">
        <v>46</v>
      </c>
      <c r="B1386" s="1" t="s">
        <v>134</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
      <c r="A1387" s="30" t="s">
        <v>46</v>
      </c>
      <c r="B1387" s="1" t="s">
        <v>135</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
      <c r="A1388" s="30" t="s">
        <v>46</v>
      </c>
      <c r="B1388" s="1" t="s">
        <v>136</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
      <c r="A1389" s="30" t="s">
        <v>46</v>
      </c>
      <c r="B1389" s="1" t="s">
        <v>137</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
      <c r="A1390" s="30" t="s">
        <v>46</v>
      </c>
      <c r="B1390" s="1" t="s">
        <v>138</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
      <c r="A1391" s="30" t="s">
        <v>46</v>
      </c>
      <c r="B1391" s="1" t="s">
        <v>139</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
      <c r="A1392" s="30" t="s">
        <v>46</v>
      </c>
      <c r="B1392" s="1" t="s">
        <v>140</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
      <c r="A1393" s="30" t="s">
        <v>46</v>
      </c>
      <c r="B1393" s="1" t="s">
        <v>141</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
      <c r="A1394" s="30" t="s">
        <v>46</v>
      </c>
      <c r="B1394" s="1" t="s">
        <v>142</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
      <c r="A1395" s="30" t="s">
        <v>46</v>
      </c>
      <c r="B1395" s="1" t="s">
        <v>143</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
      <c r="A1396" s="30" t="s">
        <v>46</v>
      </c>
      <c r="B1396" s="1" t="s">
        <v>144</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
      <c r="A1397" s="30" t="s">
        <v>46</v>
      </c>
      <c r="B1397" s="1" t="s">
        <v>145</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
      <c r="A1398" s="30" t="s">
        <v>46</v>
      </c>
      <c r="B1398" s="1" t="s">
        <v>146</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
      <c r="A1399" s="30" t="s">
        <v>46</v>
      </c>
      <c r="B1399" s="1" t="s">
        <v>147</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
      <c r="A1400" s="30" t="s">
        <v>46</v>
      </c>
      <c r="B1400" s="1" t="s">
        <v>148</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
      <c r="A1401" s="30" t="s">
        <v>46</v>
      </c>
      <c r="B1401" s="1" t="s">
        <v>149</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
      <c r="A1402" s="30" t="s">
        <v>46</v>
      </c>
      <c r="B1402" s="1" t="s">
        <v>150</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
      <c r="A1403" s="30" t="s">
        <v>46</v>
      </c>
      <c r="B1403" s="1" t="s">
        <v>151</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
      <c r="A1404" s="30" t="s">
        <v>46</v>
      </c>
      <c r="B1404" s="1" t="s">
        <v>152</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
      <c r="A1405" s="30" t="s">
        <v>46</v>
      </c>
      <c r="B1405" s="1" t="s">
        <v>153</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
      <c r="A1406" s="30" t="s">
        <v>46</v>
      </c>
      <c r="B1406" s="1" t="s">
        <v>154</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
      <c r="A1407" s="30" t="s">
        <v>46</v>
      </c>
      <c r="B1407" s="1" t="s">
        <v>155</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
      <c r="A1408" s="30" t="s">
        <v>46</v>
      </c>
      <c r="B1408" s="1" t="s">
        <v>156</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
      <c r="A1409" s="30" t="s">
        <v>46</v>
      </c>
      <c r="B1409" s="1" t="s">
        <v>157</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
      <c r="A1410" s="30" t="s">
        <v>46</v>
      </c>
      <c r="B1410" s="1" t="s">
        <v>158</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
      <c r="A1411" s="30" t="s">
        <v>46</v>
      </c>
      <c r="B1411" s="1" t="s">
        <v>159</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
      <c r="A1412" s="30" t="s">
        <v>46</v>
      </c>
      <c r="B1412" s="1" t="s">
        <v>160</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
      <c r="A1413" s="30" t="s">
        <v>46</v>
      </c>
      <c r="B1413" s="1" t="s">
        <v>161</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
      <c r="A1414" s="30" t="s">
        <v>46</v>
      </c>
      <c r="B1414" s="1" t="s">
        <v>162</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
      <c r="A1415" s="30" t="s">
        <v>46</v>
      </c>
      <c r="B1415" s="1" t="s">
        <v>163</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
      <c r="A1416" s="30" t="s">
        <v>46</v>
      </c>
      <c r="B1416" s="1" t="s">
        <v>164</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
      <c r="A1417" s="30" t="s">
        <v>46</v>
      </c>
      <c r="B1417" s="1" t="s">
        <v>165</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
      <c r="A1418" s="30" t="s">
        <v>46</v>
      </c>
      <c r="B1418" s="1" t="s">
        <v>166</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
      <c r="A1419" s="30" t="s">
        <v>46</v>
      </c>
      <c r="B1419" s="1" t="s">
        <v>167</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
      <c r="A1420" s="30" t="s">
        <v>46</v>
      </c>
      <c r="B1420" s="1" t="s">
        <v>168</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
      <c r="A1421" s="30" t="s">
        <v>46</v>
      </c>
      <c r="B1421" s="1" t="s">
        <v>169</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
      <c r="A1422" s="30" t="s">
        <v>46</v>
      </c>
      <c r="B1422" s="1" t="s">
        <v>170</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
      <c r="A1423" s="30" t="s">
        <v>46</v>
      </c>
      <c r="B1423" s="1" t="s">
        <v>171</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
      <c r="A1424" s="30" t="s">
        <v>46</v>
      </c>
      <c r="B1424" s="1" t="s">
        <v>172</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
      <c r="A1425" s="30" t="s">
        <v>46</v>
      </c>
      <c r="B1425" s="1" t="s">
        <v>173</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
      <c r="A1426" s="30" t="s">
        <v>46</v>
      </c>
      <c r="B1426" s="1" t="s">
        <v>174</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
      <c r="A1427" s="30" t="s">
        <v>46</v>
      </c>
      <c r="B1427" s="1" t="s">
        <v>175</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
      <c r="A1428" s="30" t="s">
        <v>46</v>
      </c>
      <c r="B1428" s="1" t="s">
        <v>176</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
      <c r="A1429" s="30" t="s">
        <v>46</v>
      </c>
      <c r="B1429" s="1" t="s">
        <v>177</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
      <c r="A1430" s="30" t="s">
        <v>46</v>
      </c>
      <c r="B1430" s="1" t="s">
        <v>178</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
      <c r="A1431" s="30" t="s">
        <v>46</v>
      </c>
      <c r="B1431" s="1" t="s">
        <v>179</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
      <c r="A1432" s="30" t="s">
        <v>46</v>
      </c>
      <c r="B1432" s="1" t="s">
        <v>180</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
      <c r="A1433" s="30" t="s">
        <v>46</v>
      </c>
      <c r="B1433" s="1" t="s">
        <v>181</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
      <c r="A1434" s="30" t="s">
        <v>46</v>
      </c>
      <c r="B1434" s="1" t="s">
        <v>182</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
      <c r="A1435" s="30" t="s">
        <v>46</v>
      </c>
      <c r="B1435" s="1" t="s">
        <v>183</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
      <c r="A1436" s="30" t="s">
        <v>46</v>
      </c>
      <c r="B1436" s="1" t="s">
        <v>184</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
      <c r="A1437" s="30" t="s">
        <v>46</v>
      </c>
      <c r="B1437" s="1" t="s">
        <v>185</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
      <c r="A1438" s="30" t="s">
        <v>46</v>
      </c>
      <c r="B1438" s="1" t="s">
        <v>186</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
      <c r="A1439" s="30" t="s">
        <v>46</v>
      </c>
      <c r="B1439" s="1" t="s">
        <v>187</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
      <c r="A1440" s="30" t="s">
        <v>46</v>
      </c>
      <c r="B1440" s="1" t="s">
        <v>188</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
      <c r="A1441" s="30" t="s">
        <v>46</v>
      </c>
      <c r="B1441" s="1" t="s">
        <v>189</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
      <c r="A1442" s="30" t="s">
        <v>46</v>
      </c>
      <c r="B1442" s="1" t="s">
        <v>190</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
      <c r="A1443" s="30" t="s">
        <v>46</v>
      </c>
      <c r="B1443" s="1" t="s">
        <v>191</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
      <c r="A1444" s="30" t="s">
        <v>46</v>
      </c>
      <c r="B1444" s="1" t="s">
        <v>192</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
      <c r="A1445" s="30" t="s">
        <v>46</v>
      </c>
      <c r="B1445" s="1" t="s">
        <v>193</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
      <c r="A1446" s="30" t="s">
        <v>46</v>
      </c>
      <c r="B1446" s="1" t="s">
        <v>194</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
      <c r="A1447" s="30" t="s">
        <v>46</v>
      </c>
      <c r="B1447" s="1" t="s">
        <v>195</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
      <c r="A1448" s="30" t="s">
        <v>46</v>
      </c>
      <c r="B1448" s="1" t="s">
        <v>196</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
      <c r="A1449" s="30" t="s">
        <v>46</v>
      </c>
      <c r="B1449" s="1" t="s">
        <v>197</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
      <c r="A1450" s="30" t="s">
        <v>46</v>
      </c>
      <c r="B1450" s="1" t="s">
        <v>198</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
      <c r="A1451" s="30" t="s">
        <v>46</v>
      </c>
      <c r="B1451" s="1" t="s">
        <v>199</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
      <c r="A1452" s="30" t="s">
        <v>46</v>
      </c>
      <c r="B1452" s="1" t="s">
        <v>200</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
      <c r="A1453" s="30" t="s">
        <v>46</v>
      </c>
      <c r="B1453" s="1" t="s">
        <v>201</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
      <c r="A1454" s="30" t="s">
        <v>46</v>
      </c>
      <c r="B1454" s="1" t="s">
        <v>202</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
      <c r="A1455" s="30" t="s">
        <v>46</v>
      </c>
      <c r="B1455" s="1" t="s">
        <v>203</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
      <c r="A1456" s="30" t="s">
        <v>46</v>
      </c>
      <c r="B1456" s="1" t="s">
        <v>204</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
      <c r="A1457" s="30" t="s">
        <v>46</v>
      </c>
      <c r="B1457" s="1" t="s">
        <v>205</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
      <c r="A1458" s="30" t="s">
        <v>46</v>
      </c>
      <c r="B1458" s="1" t="s">
        <v>206</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
      <c r="A1459" s="30" t="s">
        <v>46</v>
      </c>
      <c r="B1459" s="1" t="s">
        <v>207</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
      <c r="A1460" s="30" t="s">
        <v>46</v>
      </c>
      <c r="B1460" s="1" t="s">
        <v>208</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
      <c r="A1461" s="30" t="s">
        <v>46</v>
      </c>
      <c r="B1461" s="1" t="s">
        <v>209</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
      <c r="A1462" s="30" t="s">
        <v>46</v>
      </c>
      <c r="B1462" s="1" t="s">
        <v>210</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
      <c r="A1463" s="30" t="s">
        <v>46</v>
      </c>
      <c r="B1463" s="1" t="s">
        <v>211</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
      <c r="A1464" s="30" t="s">
        <v>46</v>
      </c>
      <c r="B1464" s="1" t="s">
        <v>212</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
      <c r="A1465" s="30" t="s">
        <v>46</v>
      </c>
      <c r="B1465" s="1" t="s">
        <v>213</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
      <c r="A1466" s="30" t="s">
        <v>46</v>
      </c>
      <c r="B1466" s="1" t="s">
        <v>214</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
      <c r="A1467" s="30" t="s">
        <v>46</v>
      </c>
      <c r="B1467" s="1" t="s">
        <v>215</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
      <c r="A1468" s="30" t="s">
        <v>46</v>
      </c>
      <c r="B1468" s="1" t="s">
        <v>216</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
      <c r="A1469" s="30" t="s">
        <v>46</v>
      </c>
      <c r="B1469" s="1" t="s">
        <v>217</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
      <c r="A1470" s="30" t="s">
        <v>46</v>
      </c>
      <c r="B1470" s="1" t="s">
        <v>218</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
      <c r="A1471" s="30" t="s">
        <v>46</v>
      </c>
      <c r="B1471" s="1" t="s">
        <v>219</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
      <c r="A1472" s="30" t="s">
        <v>46</v>
      </c>
      <c r="B1472" s="1" t="s">
        <v>220</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
      <c r="A1473" s="30" t="s">
        <v>46</v>
      </c>
      <c r="B1473" s="1" t="s">
        <v>221</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
      <c r="A1474" s="30" t="s">
        <v>46</v>
      </c>
      <c r="B1474" s="1" t="s">
        <v>222</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
      <c r="A1475" s="30" t="s">
        <v>46</v>
      </c>
      <c r="B1475" s="1" t="s">
        <v>223</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
      <c r="A1476" s="30" t="s">
        <v>46</v>
      </c>
      <c r="B1476" s="1" t="s">
        <v>224</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
      <c r="A1477" s="30" t="s">
        <v>46</v>
      </c>
      <c r="B1477" s="1" t="s">
        <v>225</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
      <c r="A1478" s="30" t="s">
        <v>46</v>
      </c>
      <c r="B1478" s="1" t="s">
        <v>226</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
      <c r="A1479" s="30" t="s">
        <v>46</v>
      </c>
      <c r="B1479" s="1" t="s">
        <v>227</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
      <c r="A1480" s="30" t="s">
        <v>46</v>
      </c>
      <c r="B1480" s="1" t="s">
        <v>228</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
      <c r="A1481" s="30" t="s">
        <v>46</v>
      </c>
      <c r="B1481" s="1" t="s">
        <v>229</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
      <c r="A1482" s="30" t="s">
        <v>46</v>
      </c>
      <c r="B1482" s="1" t="s">
        <v>230</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
      <c r="A1483" s="30" t="s">
        <v>46</v>
      </c>
      <c r="B1483" s="1" t="s">
        <v>231</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
      <c r="A1484" s="30" t="s">
        <v>46</v>
      </c>
      <c r="B1484" s="1" t="s">
        <v>232</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
      <c r="A1485" s="30" t="s">
        <v>46</v>
      </c>
      <c r="B1485" s="1" t="s">
        <v>233</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
      <c r="A1486" s="30" t="s">
        <v>46</v>
      </c>
      <c r="B1486" s="1" t="s">
        <v>234</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
      <c r="A1487" s="30" t="s">
        <v>46</v>
      </c>
      <c r="B1487" s="1" t="s">
        <v>235</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
      <c r="A1488" s="30" t="s">
        <v>46</v>
      </c>
      <c r="B1488" s="1" t="s">
        <v>236</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
      <c r="A1489" s="30" t="s">
        <v>46</v>
      </c>
      <c r="B1489" s="1" t="s">
        <v>237</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
      <c r="A1490" s="30" t="s">
        <v>46</v>
      </c>
      <c r="B1490" s="1" t="s">
        <v>238</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
      <c r="A1491" s="30" t="s">
        <v>46</v>
      </c>
      <c r="B1491" s="1" t="s">
        <v>239</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
      <c r="A1492" s="30" t="s">
        <v>46</v>
      </c>
      <c r="B1492" s="1" t="s">
        <v>240</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
      <c r="A1493" s="30" t="s">
        <v>46</v>
      </c>
      <c r="B1493" s="1" t="s">
        <v>241</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
      <c r="A1494" s="30" t="s">
        <v>46</v>
      </c>
      <c r="B1494" s="1" t="s">
        <v>242</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
      <c r="A1495" s="30" t="s">
        <v>46</v>
      </c>
      <c r="B1495" s="1" t="s">
        <v>243</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
      <c r="A1496" s="30" t="s">
        <v>46</v>
      </c>
      <c r="B1496" s="1" t="s">
        <v>244</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
      <c r="A1497" s="30" t="s">
        <v>46</v>
      </c>
      <c r="B1497" s="1" t="s">
        <v>245</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
      <c r="A1498" s="30" t="s">
        <v>46</v>
      </c>
      <c r="B1498" s="1" t="s">
        <v>246</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
      <c r="A1499" s="30" t="s">
        <v>46</v>
      </c>
      <c r="B1499" s="1" t="s">
        <v>247</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
      <c r="A1500" s="30" t="s">
        <v>46</v>
      </c>
      <c r="B1500" s="1" t="s">
        <v>248</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
      <c r="A1501" s="30" t="s">
        <v>46</v>
      </c>
      <c r="B1501" s="1" t="s">
        <v>249</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
      <c r="A1502" s="30" t="s">
        <v>46</v>
      </c>
      <c r="B1502" s="1" t="s">
        <v>250</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
      <c r="A1503" s="30" t="s">
        <v>46</v>
      </c>
      <c r="B1503" s="1" t="s">
        <v>251</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
      <c r="A1504" s="30" t="s">
        <v>46</v>
      </c>
      <c r="B1504" s="1" t="s">
        <v>252</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
      <c r="A1505" s="30" t="s">
        <v>46</v>
      </c>
      <c r="B1505" s="1" t="s">
        <v>253</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
      <c r="A1506" s="30" t="s">
        <v>46</v>
      </c>
      <c r="B1506" s="1" t="s">
        <v>254</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
      <c r="A1507" s="30" t="s">
        <v>46</v>
      </c>
      <c r="B1507" s="1" t="s">
        <v>255</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
      <c r="A1508" s="30" t="s">
        <v>46</v>
      </c>
      <c r="B1508" s="1" t="s">
        <v>256</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
      <c r="A1509" s="30" t="s">
        <v>46</v>
      </c>
      <c r="B1509" s="1" t="s">
        <v>257</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
      <c r="A1510" s="30" t="s">
        <v>46</v>
      </c>
      <c r="B1510" s="1" t="s">
        <v>258</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
      <c r="A1511" s="30" t="s">
        <v>46</v>
      </c>
      <c r="B1511" s="1" t="s">
        <v>259</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
      <c r="A1512" s="30" t="s">
        <v>46</v>
      </c>
      <c r="B1512" s="1" t="s">
        <v>260</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
      <c r="A1513" s="30" t="s">
        <v>46</v>
      </c>
      <c r="B1513" s="1" t="s">
        <v>261</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
      <c r="A1514" s="30" t="s">
        <v>46</v>
      </c>
      <c r="B1514" s="1" t="s">
        <v>262</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
      <c r="A1515" s="30" t="s">
        <v>46</v>
      </c>
      <c r="B1515" s="1" t="s">
        <v>263</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
      <c r="A1516" s="30" t="s">
        <v>46</v>
      </c>
      <c r="B1516" s="1" t="s">
        <v>264</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
      <c r="A1517" s="30" t="s">
        <v>46</v>
      </c>
      <c r="B1517" s="1" t="s">
        <v>265</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
      <c r="A1518" s="30" t="s">
        <v>46</v>
      </c>
      <c r="B1518" s="1" t="s">
        <v>266</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
      <c r="A1519" s="30" t="s">
        <v>46</v>
      </c>
      <c r="B1519" s="1" t="s">
        <v>267</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
      <c r="A1520" s="30" t="s">
        <v>46</v>
      </c>
      <c r="B1520" s="1" t="s">
        <v>268</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
      <c r="A1521" s="30" t="s">
        <v>46</v>
      </c>
      <c r="B1521" s="1" t="s">
        <v>269</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
      <c r="A1522" s="30" t="s">
        <v>46</v>
      </c>
      <c r="B1522" s="1" t="s">
        <v>270</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
      <c r="A1523" s="30" t="s">
        <v>46</v>
      </c>
      <c r="B1523" s="1" t="s">
        <v>271</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
      <c r="A1524" s="30" t="s">
        <v>46</v>
      </c>
      <c r="B1524" s="1" t="s">
        <v>272</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
      <c r="A1525" s="30" t="s">
        <v>46</v>
      </c>
      <c r="B1525" s="1" t="s">
        <v>273</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
      <c r="A1526" s="30" t="s">
        <v>46</v>
      </c>
      <c r="B1526" s="1" t="s">
        <v>274</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
      <c r="A1527" s="30" t="s">
        <v>46</v>
      </c>
      <c r="B1527" s="1" t="s">
        <v>275</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
      <c r="A1528" s="30" t="s">
        <v>46</v>
      </c>
      <c r="B1528" s="1" t="s">
        <v>276</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
      <c r="A1529" s="30" t="s">
        <v>46</v>
      </c>
      <c r="B1529" s="1" t="s">
        <v>277</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
      <c r="A1530" s="30" t="s">
        <v>46</v>
      </c>
      <c r="B1530" s="1" t="s">
        <v>278</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
      <c r="A1531" s="30" t="s">
        <v>46</v>
      </c>
      <c r="B1531" s="1" t="s">
        <v>279</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
      <c r="A1532" s="30" t="s">
        <v>46</v>
      </c>
      <c r="B1532" s="1" t="s">
        <v>280</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
      <c r="A1533" s="30" t="s">
        <v>46</v>
      </c>
      <c r="B1533" s="1" t="s">
        <v>281</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
      <c r="A1534" s="30" t="s">
        <v>46</v>
      </c>
      <c r="B1534" s="1" t="s">
        <v>282</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
      <c r="A1535" s="30" t="s">
        <v>46</v>
      </c>
      <c r="B1535" s="1" t="s">
        <v>283</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
      <c r="A1536" s="30" t="s">
        <v>46</v>
      </c>
      <c r="B1536" s="1" t="s">
        <v>284</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
      <c r="A1537" s="30" t="s">
        <v>46</v>
      </c>
      <c r="B1537" s="1" t="s">
        <v>285</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
      <c r="A1538" s="30" t="s">
        <v>46</v>
      </c>
      <c r="B1538" s="1" t="s">
        <v>286</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
      <c r="A1539" s="30" t="s">
        <v>46</v>
      </c>
      <c r="B1539" s="1" t="s">
        <v>287</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
      <c r="A1540" s="30" t="s">
        <v>46</v>
      </c>
      <c r="B1540" s="1" t="s">
        <v>288</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
      <c r="A1541" s="30" t="s">
        <v>46</v>
      </c>
      <c r="B1541" s="1" t="s">
        <v>289</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
      <c r="A1542" s="30" t="s">
        <v>46</v>
      </c>
      <c r="B1542" s="1" t="s">
        <v>290</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
      <c r="A1543" s="30" t="s">
        <v>46</v>
      </c>
      <c r="B1543" s="1" t="s">
        <v>291</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
      <c r="A1544" s="30" t="s">
        <v>46</v>
      </c>
      <c r="B1544" s="1" t="s">
        <v>292</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
      <c r="A1545" s="30" t="s">
        <v>46</v>
      </c>
      <c r="B1545" s="1" t="s">
        <v>293</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
      <c r="A1546" s="30" t="s">
        <v>46</v>
      </c>
      <c r="B1546" s="1" t="s">
        <v>294</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
      <c r="A1547" s="30" t="s">
        <v>46</v>
      </c>
      <c r="B1547" s="1" t="s">
        <v>295</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
      <c r="A1548" s="30" t="s">
        <v>46</v>
      </c>
      <c r="B1548" s="1" t="s">
        <v>296</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
      <c r="A1549" s="30" t="s">
        <v>46</v>
      </c>
      <c r="B1549" s="1" t="s">
        <v>297</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
      <c r="A1550" s="30" t="s">
        <v>46</v>
      </c>
      <c r="B1550" s="1" t="s">
        <v>298</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
      <c r="A1551" s="30" t="s">
        <v>46</v>
      </c>
      <c r="B1551" s="1" t="s">
        <v>299</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
      <c r="A1552" s="30" t="s">
        <v>46</v>
      </c>
      <c r="B1552" s="1" t="s">
        <v>300</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
      <c r="A1553" s="30" t="s">
        <v>46</v>
      </c>
      <c r="B1553" s="1" t="s">
        <v>301</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
      <c r="A1554" s="30" t="s">
        <v>46</v>
      </c>
      <c r="B1554" s="1" t="s">
        <v>302</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
      <c r="A1555" s="30" t="s">
        <v>46</v>
      </c>
      <c r="B1555" s="1" t="s">
        <v>303</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
      <c r="A1556" s="30" t="s">
        <v>46</v>
      </c>
      <c r="B1556" s="1" t="s">
        <v>304</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
      <c r="A1557" s="30" t="s">
        <v>46</v>
      </c>
      <c r="B1557" s="1" t="s">
        <v>305</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
      <c r="A1558" s="30" t="s">
        <v>46</v>
      </c>
      <c r="B1558" s="1" t="s">
        <v>306</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
      <c r="A1559" s="30" t="s">
        <v>46</v>
      </c>
      <c r="B1559" s="1" t="s">
        <v>307</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
      <c r="A1560" s="30" t="s">
        <v>46</v>
      </c>
      <c r="B1560" s="1" t="s">
        <v>308</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
      <c r="A1561" s="30" t="s">
        <v>46</v>
      </c>
      <c r="B1561" s="1" t="s">
        <v>309</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
      <c r="A1562" s="30" t="s">
        <v>46</v>
      </c>
      <c r="B1562" s="1" t="s">
        <v>310</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
      <c r="A1563" s="30" t="s">
        <v>46</v>
      </c>
      <c r="B1563" s="1" t="s">
        <v>311</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
      <c r="A1564" s="30" t="s">
        <v>46</v>
      </c>
      <c r="B1564" s="1" t="s">
        <v>312</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
      <c r="A1565" s="30" t="s">
        <v>46</v>
      </c>
      <c r="B1565" s="1" t="s">
        <v>313</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
      <c r="A1566" s="30" t="s">
        <v>46</v>
      </c>
      <c r="B1566" s="1" t="s">
        <v>314</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
      <c r="A1567" s="30" t="s">
        <v>46</v>
      </c>
      <c r="B1567" s="1" t="s">
        <v>315</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
      <c r="A1568" s="30" t="s">
        <v>46</v>
      </c>
      <c r="B1568" s="1" t="s">
        <v>316</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
      <c r="A1569" s="30" t="s">
        <v>46</v>
      </c>
      <c r="B1569" s="1" t="s">
        <v>317</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
      <c r="A1570" s="30" t="s">
        <v>46</v>
      </c>
      <c r="B1570" s="1" t="s">
        <v>318</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
      <c r="A1571" s="30" t="s">
        <v>46</v>
      </c>
      <c r="B1571" s="1" t="s">
        <v>319</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
      <c r="A1572" s="30" t="s">
        <v>46</v>
      </c>
      <c r="B1572" s="1" t="s">
        <v>320</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
      <c r="A1573" s="30" t="s">
        <v>46</v>
      </c>
      <c r="B1573" s="1" t="s">
        <v>321</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
      <c r="A1574" s="30" t="s">
        <v>46</v>
      </c>
      <c r="B1574" s="1" t="s">
        <v>322</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
      <c r="A1575" s="30" t="s">
        <v>46</v>
      </c>
      <c r="B1575" s="1" t="s">
        <v>323</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
      <c r="A1576" s="30" t="s">
        <v>46</v>
      </c>
      <c r="B1576" s="1" t="s">
        <v>324</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
      <c r="A1577" s="30" t="s">
        <v>46</v>
      </c>
      <c r="B1577" s="1" t="s">
        <v>325</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
      <c r="A1578" s="30" t="s">
        <v>46</v>
      </c>
      <c r="B1578" s="1" t="s">
        <v>326</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
      <c r="A1579" s="30" t="s">
        <v>46</v>
      </c>
      <c r="B1579" s="1" t="s">
        <v>327</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
      <c r="A1580" s="30" t="s">
        <v>46</v>
      </c>
      <c r="B1580" s="1" t="s">
        <v>328</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
      <c r="A1581" s="30" t="s">
        <v>46</v>
      </c>
      <c r="B1581" s="1" t="s">
        <v>329</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
      <c r="A1582" s="30" t="s">
        <v>46</v>
      </c>
      <c r="B1582" s="1" t="s">
        <v>330</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
      <c r="A1583" s="30" t="s">
        <v>46</v>
      </c>
      <c r="B1583" s="1" t="s">
        <v>331</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
      <c r="A1584" s="30" t="s">
        <v>46</v>
      </c>
      <c r="B1584" s="1" t="s">
        <v>332</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
      <c r="A1585" s="30" t="s">
        <v>46</v>
      </c>
      <c r="B1585" s="1" t="s">
        <v>333</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
      <c r="A1586" s="30" t="s">
        <v>46</v>
      </c>
      <c r="B1586" s="1" t="s">
        <v>334</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
      <c r="A1587" s="30" t="s">
        <v>46</v>
      </c>
      <c r="B1587" s="1" t="s">
        <v>335</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
      <c r="A1588" s="30" t="s">
        <v>46</v>
      </c>
      <c r="B1588" s="1" t="s">
        <v>336</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
      <c r="A1589" s="30" t="s">
        <v>46</v>
      </c>
      <c r="B1589" s="1" t="s">
        <v>337</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
      <c r="A1590" s="30" t="s">
        <v>46</v>
      </c>
      <c r="B1590" s="1" t="s">
        <v>338</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
      <c r="A1591" s="30" t="s">
        <v>46</v>
      </c>
      <c r="B1591" s="1" t="s">
        <v>339</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
      <c r="A1592" s="30" t="s">
        <v>46</v>
      </c>
      <c r="B1592" s="1" t="s">
        <v>340</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
      <c r="A1593" s="30" t="s">
        <v>46</v>
      </c>
      <c r="B1593" s="1" t="s">
        <v>341</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
      <c r="A1594" s="30" t="s">
        <v>46</v>
      </c>
      <c r="B1594" s="1" t="s">
        <v>342</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
      <c r="A1595" s="30" t="s">
        <v>46</v>
      </c>
      <c r="B1595" s="1" t="s">
        <v>343</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
      <c r="A1596" s="30" t="s">
        <v>46</v>
      </c>
      <c r="B1596" s="1" t="s">
        <v>344</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
      <c r="A1597" s="30" t="s">
        <v>46</v>
      </c>
      <c r="B1597" s="1" t="s">
        <v>345</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
      <c r="A1598" s="30" t="s">
        <v>46</v>
      </c>
      <c r="B1598" s="1" t="s">
        <v>346</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
      <c r="A1599" s="30" t="s">
        <v>46</v>
      </c>
      <c r="B1599" s="1" t="s">
        <v>347</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
      <c r="A1600" s="30" t="s">
        <v>46</v>
      </c>
      <c r="B1600" s="1" t="s">
        <v>348</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
      <c r="A1601" s="30" t="s">
        <v>46</v>
      </c>
      <c r="B1601" s="1" t="s">
        <v>349</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
      <c r="A1602" s="30" t="s">
        <v>46</v>
      </c>
      <c r="B1602" s="1" t="s">
        <v>350</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
      <c r="A1603" s="30" t="s">
        <v>46</v>
      </c>
      <c r="B1603" s="1" t="s">
        <v>351</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
      <c r="A1604" s="30" t="s">
        <v>46</v>
      </c>
      <c r="B1604" s="1" t="s">
        <v>352</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
      <c r="A1605" s="30" t="s">
        <v>46</v>
      </c>
      <c r="B1605" s="1" t="s">
        <v>353</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
      <c r="A1606" s="30" t="s">
        <v>46</v>
      </c>
      <c r="B1606" s="1" t="s">
        <v>354</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
      <c r="A1607" s="30" t="s">
        <v>46</v>
      </c>
      <c r="B1607" s="1" t="s">
        <v>355</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
      <c r="A1608" s="30" t="s">
        <v>46</v>
      </c>
      <c r="B1608" s="1" t="s">
        <v>356</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
      <c r="A1609" s="30" t="s">
        <v>46</v>
      </c>
      <c r="B1609" s="1" t="s">
        <v>357</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
      <c r="A1610" s="30" t="s">
        <v>46</v>
      </c>
      <c r="B1610" s="1" t="s">
        <v>358</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
      <c r="A1611" s="30" t="s">
        <v>46</v>
      </c>
      <c r="B1611" s="1" t="s">
        <v>359</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
      <c r="A1612" s="30" t="s">
        <v>46</v>
      </c>
      <c r="B1612" s="1" t="s">
        <v>360</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
      <c r="A1613" s="30" t="s">
        <v>46</v>
      </c>
      <c r="B1613" s="1" t="s">
        <v>361</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
      <c r="A1614" s="30" t="s">
        <v>46</v>
      </c>
      <c r="B1614" s="1" t="s">
        <v>362</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
      <c r="A1615" s="30" t="s">
        <v>46</v>
      </c>
      <c r="B1615" s="1" t="s">
        <v>363</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
      <c r="A1616" s="30" t="s">
        <v>46</v>
      </c>
      <c r="B1616" s="1" t="s">
        <v>364</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
      <c r="A1617" s="30" t="s">
        <v>46</v>
      </c>
      <c r="B1617" s="1" t="s">
        <v>365</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
      <c r="A1618" s="30" t="s">
        <v>46</v>
      </c>
      <c r="B1618" s="1" t="s">
        <v>366</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
      <c r="A1619" s="30" t="s">
        <v>46</v>
      </c>
      <c r="B1619" s="1" t="s">
        <v>367</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
      <c r="A1620" s="30" t="s">
        <v>46</v>
      </c>
      <c r="B1620" s="1" t="s">
        <v>368</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
      <c r="A1621" s="30" t="s">
        <v>46</v>
      </c>
      <c r="B1621" s="1" t="s">
        <v>369</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
      <c r="A1622" s="30" t="s">
        <v>46</v>
      </c>
      <c r="B1622" s="1" t="s">
        <v>370</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
      <c r="A1623" s="30" t="s">
        <v>46</v>
      </c>
      <c r="B1623" s="1" t="s">
        <v>371</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
      <c r="A1624" s="30" t="s">
        <v>46</v>
      </c>
      <c r="B1624" s="1" t="s">
        <v>372</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
      <c r="A1625" s="30" t="s">
        <v>46</v>
      </c>
      <c r="B1625" s="1" t="s">
        <v>373</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
      <c r="A1626" s="30" t="s">
        <v>46</v>
      </c>
      <c r="B1626" s="1" t="s">
        <v>374</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
      <c r="A1627" s="30" t="s">
        <v>46</v>
      </c>
      <c r="B1627" s="1" t="s">
        <v>375</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
      <c r="A1628" s="30" t="s">
        <v>46</v>
      </c>
      <c r="B1628" s="1" t="s">
        <v>376</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
      <c r="A1629" s="30" t="s">
        <v>46</v>
      </c>
      <c r="B1629" s="1" t="s">
        <v>377</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
      <c r="A1630" s="30" t="s">
        <v>46</v>
      </c>
      <c r="B1630" s="1" t="s">
        <v>378</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
      <c r="A1631" s="30" t="s">
        <v>46</v>
      </c>
      <c r="B1631" s="1" t="s">
        <v>379</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
      <c r="A1632" s="30" t="s">
        <v>46</v>
      </c>
      <c r="B1632" s="1" t="s">
        <v>380</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
      <c r="A1633" s="30" t="s">
        <v>46</v>
      </c>
      <c r="B1633" s="1" t="s">
        <v>381</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
      <c r="A1634" s="30" t="s">
        <v>46</v>
      </c>
      <c r="B1634" s="1" t="s">
        <v>382</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
      <c r="A1635" s="30" t="s">
        <v>46</v>
      </c>
      <c r="B1635" s="1" t="s">
        <v>383</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
      <c r="A1636" s="30" t="s">
        <v>46</v>
      </c>
      <c r="B1636" s="1" t="s">
        <v>384</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
      <c r="A1637" s="30" t="s">
        <v>46</v>
      </c>
      <c r="B1637" s="1" t="s">
        <v>385</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
      <c r="A1638" s="30" t="s">
        <v>46</v>
      </c>
      <c r="B1638" s="1" t="s">
        <v>386</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
      <c r="A1639" s="30" t="s">
        <v>46</v>
      </c>
      <c r="B1639" s="1" t="s">
        <v>387</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
      <c r="A1640" s="30" t="s">
        <v>46</v>
      </c>
      <c r="B1640" s="1" t="s">
        <v>388</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
      <c r="A1641" s="30" t="s">
        <v>46</v>
      </c>
      <c r="B1641" s="1" t="s">
        <v>389</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
      <c r="A1642" s="30" t="s">
        <v>46</v>
      </c>
      <c r="B1642" s="1" t="s">
        <v>390</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
      <c r="A1643" s="30" t="s">
        <v>46</v>
      </c>
      <c r="B1643" s="1" t="s">
        <v>391</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
      <c r="A1644" s="30" t="s">
        <v>46</v>
      </c>
      <c r="B1644" s="1" t="s">
        <v>392</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
      <c r="A1645" s="30" t="s">
        <v>46</v>
      </c>
      <c r="B1645" s="1" t="s">
        <v>393</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
      <c r="A1646" s="30" t="s">
        <v>46</v>
      </c>
      <c r="B1646" s="1" t="s">
        <v>394</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
      <c r="A1647" s="30" t="s">
        <v>46</v>
      </c>
      <c r="B1647" s="1" t="s">
        <v>395</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
      <c r="A1648" s="30" t="s">
        <v>46</v>
      </c>
      <c r="B1648" s="1" t="s">
        <v>396</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
      <c r="A1649" s="30" t="s">
        <v>46</v>
      </c>
      <c r="B1649" s="1" t="s">
        <v>397</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
      <c r="A1650" s="30" t="s">
        <v>46</v>
      </c>
      <c r="B1650" s="1" t="s">
        <v>398</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
      <c r="A1651" s="30" t="s">
        <v>46</v>
      </c>
      <c r="B1651" s="1" t="s">
        <v>399</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
      <c r="A1652" s="30" t="s">
        <v>46</v>
      </c>
      <c r="B1652" s="1" t="s">
        <v>400</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
      <c r="A1653" s="30" t="s">
        <v>46</v>
      </c>
      <c r="B1653" s="1" t="s">
        <v>401</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
      <c r="A1654" s="30" t="s">
        <v>46</v>
      </c>
      <c r="B1654" s="1" t="s">
        <v>402</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
      <c r="A1655" s="30" t="s">
        <v>46</v>
      </c>
      <c r="B1655" s="1" t="s">
        <v>403</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
      <c r="A1656" s="30" t="s">
        <v>46</v>
      </c>
      <c r="B1656" s="1" t="s">
        <v>404</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
      <c r="A1657" s="30" t="s">
        <v>46</v>
      </c>
      <c r="B1657" s="1" t="s">
        <v>405</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
      <c r="A1658" s="30" t="s">
        <v>46</v>
      </c>
      <c r="B1658" s="1" t="s">
        <v>406</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
      <c r="A1659" s="30" t="s">
        <v>46</v>
      </c>
      <c r="B1659" s="1" t="s">
        <v>407</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
      <c r="A1660" s="30" t="s">
        <v>46</v>
      </c>
      <c r="B1660" s="1" t="s">
        <v>408</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
      <c r="A1661" s="30" t="s">
        <v>46</v>
      </c>
      <c r="B1661" s="1" t="s">
        <v>409</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
      <c r="A1662" s="30" t="s">
        <v>46</v>
      </c>
      <c r="B1662" s="1" t="s">
        <v>410</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
      <c r="A1663" s="30" t="s">
        <v>46</v>
      </c>
      <c r="B1663" s="1" t="s">
        <v>411</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
      <c r="A1664" s="30" t="s">
        <v>46</v>
      </c>
      <c r="B1664" s="1" t="s">
        <v>412</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
      <c r="A1665" s="30" t="s">
        <v>46</v>
      </c>
      <c r="B1665" s="1" t="s">
        <v>413</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
      <c r="A1666" s="30" t="s">
        <v>46</v>
      </c>
      <c r="B1666" s="1" t="s">
        <v>414</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
      <c r="A1667" s="30" t="s">
        <v>46</v>
      </c>
      <c r="B1667" s="1" t="s">
        <v>415</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
      <c r="A1668" s="30" t="s">
        <v>46</v>
      </c>
      <c r="B1668" s="1" t="s">
        <v>416</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
      <c r="A1669" s="30" t="s">
        <v>46</v>
      </c>
      <c r="B1669" s="1" t="s">
        <v>417</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
      <c r="A1670" s="30" t="s">
        <v>46</v>
      </c>
      <c r="B1670" s="1" t="s">
        <v>418</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
      <c r="A1671" s="30" t="s">
        <v>46</v>
      </c>
      <c r="B1671" s="1" t="s">
        <v>419</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
      <c r="A1672" s="30" t="s">
        <v>46</v>
      </c>
      <c r="B1672" s="1" t="s">
        <v>420</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
      <c r="A1673" s="30" t="s">
        <v>46</v>
      </c>
      <c r="B1673" s="1" t="s">
        <v>421</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
      <c r="A1674" s="30" t="s">
        <v>46</v>
      </c>
      <c r="B1674" s="1" t="s">
        <v>422</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
      <c r="A1675" s="30" t="s">
        <v>46</v>
      </c>
      <c r="B1675" s="1" t="s">
        <v>423</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ht="15" x14ac:dyDescent="0.25">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
      <c r="A1677" s="30" t="s">
        <v>424</v>
      </c>
      <c r="B1677" s="1" t="s">
        <v>425</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68">
        <v>336</v>
      </c>
      <c r="N1677" s="468">
        <v>399</v>
      </c>
      <c r="O1677" s="468">
        <v>349</v>
      </c>
      <c r="P1677" s="468">
        <v>382</v>
      </c>
      <c r="Q1677" s="468">
        <v>397</v>
      </c>
      <c r="R1677" s="468">
        <v>382</v>
      </c>
      <c r="S1677" s="468">
        <v>334</v>
      </c>
      <c r="T1677" s="468">
        <v>370</v>
      </c>
      <c r="U1677" s="468">
        <v>382</v>
      </c>
      <c r="V1677" s="468">
        <v>393</v>
      </c>
      <c r="W1677" s="468">
        <v>402</v>
      </c>
      <c r="X1677" s="468">
        <v>376</v>
      </c>
      <c r="Y1677" s="468">
        <v>426</v>
      </c>
      <c r="Z1677" s="468">
        <v>413</v>
      </c>
      <c r="AA1677" s="468">
        <v>438</v>
      </c>
      <c r="AB1677" s="468">
        <v>396</v>
      </c>
      <c r="AC1677" s="468">
        <v>329</v>
      </c>
      <c r="AD1677" s="468">
        <v>345</v>
      </c>
      <c r="AE1677" s="468">
        <v>361</v>
      </c>
      <c r="AF1677" s="468">
        <v>348</v>
      </c>
      <c r="AG1677" s="468">
        <v>313</v>
      </c>
      <c r="AH1677" s="468">
        <v>306</v>
      </c>
      <c r="AI1677" s="468">
        <v>367</v>
      </c>
      <c r="AJ1677" s="468">
        <v>383</v>
      </c>
      <c r="AK1677" s="468">
        <v>374</v>
      </c>
      <c r="AL1677" s="468">
        <v>407</v>
      </c>
      <c r="AM1677" s="468">
        <v>421</v>
      </c>
      <c r="AN1677" s="468">
        <v>360</v>
      </c>
      <c r="AO1677" s="468">
        <v>366</v>
      </c>
      <c r="AP1677" s="468">
        <v>456</v>
      </c>
      <c r="AQ1677" s="468">
        <v>450</v>
      </c>
      <c r="AR1677" s="468">
        <v>476</v>
      </c>
      <c r="AS1677" s="468">
        <v>463</v>
      </c>
      <c r="AT1677" s="468">
        <v>434</v>
      </c>
      <c r="AU1677" s="468">
        <v>482</v>
      </c>
      <c r="AV1677" s="468">
        <v>412</v>
      </c>
      <c r="AW1677" s="468">
        <v>433</v>
      </c>
      <c r="AX1677" s="468">
        <v>442</v>
      </c>
      <c r="AY1677" s="468">
        <v>438</v>
      </c>
      <c r="AZ1677" s="468">
        <v>396</v>
      </c>
      <c r="BA1677" s="468">
        <v>427</v>
      </c>
      <c r="BB1677" s="468">
        <v>360</v>
      </c>
      <c r="BC1677" s="468">
        <v>384</v>
      </c>
      <c r="BD1677" s="468">
        <v>378</v>
      </c>
      <c r="BE1677" s="468">
        <v>366</v>
      </c>
      <c r="BF1677" s="468">
        <v>352</v>
      </c>
      <c r="BG1677" s="468">
        <v>300</v>
      </c>
      <c r="BH1677" s="468">
        <v>338</v>
      </c>
      <c r="BI1677" s="468">
        <v>409</v>
      </c>
      <c r="BJ1677" s="468">
        <v>382</v>
      </c>
      <c r="BK1677" s="468">
        <v>432</v>
      </c>
      <c r="BL1677" s="468">
        <v>488</v>
      </c>
      <c r="BM1677" s="468">
        <v>474</v>
      </c>
      <c r="BN1677" s="468">
        <v>478</v>
      </c>
      <c r="BO1677" s="468">
        <v>516</v>
      </c>
      <c r="BP1677" s="468">
        <v>504</v>
      </c>
      <c r="BQ1677" s="468">
        <v>497</v>
      </c>
      <c r="BR1677" s="468">
        <v>519</v>
      </c>
      <c r="BS1677" s="468">
        <v>526</v>
      </c>
      <c r="BT1677" s="468">
        <v>509</v>
      </c>
      <c r="BU1677" s="468">
        <v>487</v>
      </c>
      <c r="BV1677" s="468">
        <v>492</v>
      </c>
      <c r="BW1677" s="468">
        <v>426</v>
      </c>
      <c r="BX1677" s="468">
        <v>434</v>
      </c>
      <c r="BY1677" s="468">
        <v>423</v>
      </c>
      <c r="BZ1677" s="468">
        <v>361</v>
      </c>
      <c r="CA1677" s="468">
        <v>439</v>
      </c>
      <c r="CB1677" s="468">
        <v>391</v>
      </c>
      <c r="CC1677" s="468">
        <v>372</v>
      </c>
      <c r="CD1677" s="468">
        <v>348</v>
      </c>
      <c r="CE1677" s="468">
        <v>371</v>
      </c>
      <c r="CF1677" s="468">
        <v>333</v>
      </c>
      <c r="CG1677" s="468">
        <v>348</v>
      </c>
      <c r="CH1677" s="468">
        <v>344</v>
      </c>
      <c r="CI1677" s="468">
        <v>346</v>
      </c>
      <c r="CJ1677" s="468">
        <v>334</v>
      </c>
      <c r="CK1677" s="468">
        <v>378</v>
      </c>
      <c r="CL1677" s="468">
        <v>278</v>
      </c>
      <c r="CM1677" s="468">
        <v>249</v>
      </c>
      <c r="CN1677" s="468">
        <v>228</v>
      </c>
      <c r="CO1677" s="468">
        <v>248</v>
      </c>
      <c r="CP1677" s="468">
        <v>192</v>
      </c>
      <c r="CQ1677" s="468">
        <v>169</v>
      </c>
      <c r="CR1677" s="468">
        <v>139</v>
      </c>
      <c r="CS1677" s="468">
        <v>153</v>
      </c>
      <c r="CT1677" s="468">
        <v>108</v>
      </c>
      <c r="CU1677" s="468">
        <v>90</v>
      </c>
      <c r="CV1677" s="468">
        <v>95</v>
      </c>
      <c r="CW1677" s="468">
        <v>75</v>
      </c>
      <c r="CX1677" s="468">
        <v>40</v>
      </c>
      <c r="CY1677" s="468">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
      <c r="A1678" s="30" t="s">
        <v>34</v>
      </c>
      <c r="B1678" s="1" t="s">
        <v>426</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68">
        <v>678</v>
      </c>
      <c r="N1678" s="468">
        <v>735</v>
      </c>
      <c r="O1678" s="468">
        <v>694</v>
      </c>
      <c r="P1678" s="468">
        <v>730</v>
      </c>
      <c r="Q1678" s="468">
        <v>759</v>
      </c>
      <c r="R1678" s="468">
        <v>792</v>
      </c>
      <c r="S1678" s="468">
        <v>821</v>
      </c>
      <c r="T1678" s="468">
        <v>821</v>
      </c>
      <c r="U1678" s="468">
        <v>863</v>
      </c>
      <c r="V1678" s="468">
        <v>873</v>
      </c>
      <c r="W1678" s="468">
        <v>876</v>
      </c>
      <c r="X1678" s="468">
        <v>873</v>
      </c>
      <c r="Y1678" s="468">
        <v>977</v>
      </c>
      <c r="Z1678" s="468">
        <v>892</v>
      </c>
      <c r="AA1678" s="468">
        <v>927</v>
      </c>
      <c r="AB1678" s="468">
        <v>890</v>
      </c>
      <c r="AC1678" s="468">
        <v>873</v>
      </c>
      <c r="AD1678" s="468">
        <v>842</v>
      </c>
      <c r="AE1678" s="468">
        <v>884</v>
      </c>
      <c r="AF1678" s="468">
        <v>708</v>
      </c>
      <c r="AG1678" s="468">
        <v>645</v>
      </c>
      <c r="AH1678" s="468">
        <v>652</v>
      </c>
      <c r="AI1678" s="468">
        <v>698</v>
      </c>
      <c r="AJ1678" s="468">
        <v>769</v>
      </c>
      <c r="AK1678" s="468">
        <v>835</v>
      </c>
      <c r="AL1678" s="468">
        <v>874</v>
      </c>
      <c r="AM1678" s="468">
        <v>965</v>
      </c>
      <c r="AN1678" s="468">
        <v>892</v>
      </c>
      <c r="AO1678" s="468">
        <v>834</v>
      </c>
      <c r="AP1678" s="468">
        <v>965</v>
      </c>
      <c r="AQ1678" s="468">
        <v>852</v>
      </c>
      <c r="AR1678" s="468">
        <v>987</v>
      </c>
      <c r="AS1678" s="468">
        <v>930</v>
      </c>
      <c r="AT1678" s="468">
        <v>976</v>
      </c>
      <c r="AU1678" s="468">
        <v>1027</v>
      </c>
      <c r="AV1678" s="468">
        <v>1005</v>
      </c>
      <c r="AW1678" s="468">
        <v>992</v>
      </c>
      <c r="AX1678" s="468">
        <v>957</v>
      </c>
      <c r="AY1678" s="468">
        <v>959</v>
      </c>
      <c r="AZ1678" s="468">
        <v>877</v>
      </c>
      <c r="BA1678" s="468">
        <v>888</v>
      </c>
      <c r="BB1678" s="468">
        <v>884</v>
      </c>
      <c r="BC1678" s="468">
        <v>931</v>
      </c>
      <c r="BD1678" s="468">
        <v>952</v>
      </c>
      <c r="BE1678" s="468">
        <v>878</v>
      </c>
      <c r="BF1678" s="468">
        <v>811</v>
      </c>
      <c r="BG1678" s="468">
        <v>774</v>
      </c>
      <c r="BH1678" s="468">
        <v>826</v>
      </c>
      <c r="BI1678" s="468">
        <v>824</v>
      </c>
      <c r="BJ1678" s="468">
        <v>896</v>
      </c>
      <c r="BK1678" s="468">
        <v>894</v>
      </c>
      <c r="BL1678" s="468">
        <v>1000</v>
      </c>
      <c r="BM1678" s="468">
        <v>1085</v>
      </c>
      <c r="BN1678" s="468">
        <v>960</v>
      </c>
      <c r="BO1678" s="468">
        <v>1020</v>
      </c>
      <c r="BP1678" s="468">
        <v>1073</v>
      </c>
      <c r="BQ1678" s="468">
        <v>1054</v>
      </c>
      <c r="BR1678" s="468">
        <v>1090</v>
      </c>
      <c r="BS1678" s="468">
        <v>1053</v>
      </c>
      <c r="BT1678" s="468">
        <v>1076</v>
      </c>
      <c r="BU1678" s="468">
        <v>996</v>
      </c>
      <c r="BV1678" s="468">
        <v>1035</v>
      </c>
      <c r="BW1678" s="468">
        <v>973</v>
      </c>
      <c r="BX1678" s="468">
        <v>921</v>
      </c>
      <c r="BY1678" s="468">
        <v>918</v>
      </c>
      <c r="BZ1678" s="468">
        <v>897</v>
      </c>
      <c r="CA1678" s="468">
        <v>829</v>
      </c>
      <c r="CB1678" s="468">
        <v>815</v>
      </c>
      <c r="CC1678" s="468">
        <v>750</v>
      </c>
      <c r="CD1678" s="468">
        <v>727</v>
      </c>
      <c r="CE1678" s="468">
        <v>766</v>
      </c>
      <c r="CF1678" s="468">
        <v>718</v>
      </c>
      <c r="CG1678" s="468">
        <v>762</v>
      </c>
      <c r="CH1678" s="468">
        <v>709</v>
      </c>
      <c r="CI1678" s="468">
        <v>749</v>
      </c>
      <c r="CJ1678" s="468">
        <v>735</v>
      </c>
      <c r="CK1678" s="468">
        <v>786</v>
      </c>
      <c r="CL1678" s="468">
        <v>615</v>
      </c>
      <c r="CM1678" s="468">
        <v>590</v>
      </c>
      <c r="CN1678" s="468">
        <v>566</v>
      </c>
      <c r="CO1678" s="468">
        <v>476</v>
      </c>
      <c r="CP1678" s="468">
        <v>419</v>
      </c>
      <c r="CQ1678" s="468">
        <v>422</v>
      </c>
      <c r="CR1678" s="468">
        <v>337</v>
      </c>
      <c r="CS1678" s="468">
        <v>305</v>
      </c>
      <c r="CT1678" s="468">
        <v>281</v>
      </c>
      <c r="CU1678" s="468">
        <v>231</v>
      </c>
      <c r="CV1678" s="468">
        <v>208</v>
      </c>
      <c r="CW1678" s="468">
        <v>200</v>
      </c>
      <c r="CX1678" s="468">
        <v>138</v>
      </c>
      <c r="CY1678" s="468">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
      <c r="A1679" s="30" t="s">
        <v>34</v>
      </c>
      <c r="B1679" s="1" t="s">
        <v>427</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68">
        <v>868</v>
      </c>
      <c r="N1679" s="468">
        <v>851</v>
      </c>
      <c r="O1679" s="468">
        <v>826</v>
      </c>
      <c r="P1679" s="468">
        <v>910</v>
      </c>
      <c r="Q1679" s="468">
        <v>954</v>
      </c>
      <c r="R1679" s="468">
        <v>1019</v>
      </c>
      <c r="S1679" s="468">
        <v>993</v>
      </c>
      <c r="T1679" s="468">
        <v>1030</v>
      </c>
      <c r="U1679" s="468">
        <v>1081</v>
      </c>
      <c r="V1679" s="468">
        <v>1074</v>
      </c>
      <c r="W1679" s="468">
        <v>1059</v>
      </c>
      <c r="X1679" s="468">
        <v>1089</v>
      </c>
      <c r="Y1679" s="468">
        <v>1091</v>
      </c>
      <c r="Z1679" s="468">
        <v>1150</v>
      </c>
      <c r="AA1679" s="468">
        <v>1135</v>
      </c>
      <c r="AB1679" s="468">
        <v>1140</v>
      </c>
      <c r="AC1679" s="468">
        <v>1045</v>
      </c>
      <c r="AD1679" s="468">
        <v>1023</v>
      </c>
      <c r="AE1679" s="468">
        <v>1015</v>
      </c>
      <c r="AF1679" s="468">
        <v>998</v>
      </c>
      <c r="AG1679" s="468">
        <v>832</v>
      </c>
      <c r="AH1679" s="468">
        <v>814</v>
      </c>
      <c r="AI1679" s="468">
        <v>945</v>
      </c>
      <c r="AJ1679" s="468">
        <v>990</v>
      </c>
      <c r="AK1679" s="468">
        <v>934</v>
      </c>
      <c r="AL1679" s="468">
        <v>911</v>
      </c>
      <c r="AM1679" s="468">
        <v>1132</v>
      </c>
      <c r="AN1679" s="468">
        <v>1016</v>
      </c>
      <c r="AO1679" s="468">
        <v>1027</v>
      </c>
      <c r="AP1679" s="468">
        <v>1031</v>
      </c>
      <c r="AQ1679" s="468">
        <v>1036</v>
      </c>
      <c r="AR1679" s="468">
        <v>1101</v>
      </c>
      <c r="AS1679" s="468">
        <v>1195</v>
      </c>
      <c r="AT1679" s="468">
        <v>1142</v>
      </c>
      <c r="AU1679" s="468">
        <v>1164</v>
      </c>
      <c r="AV1679" s="468">
        <v>1156</v>
      </c>
      <c r="AW1679" s="468">
        <v>1077</v>
      </c>
      <c r="AX1679" s="468">
        <v>1169</v>
      </c>
      <c r="AY1679" s="468">
        <v>1084</v>
      </c>
      <c r="AZ1679" s="468">
        <v>1094</v>
      </c>
      <c r="BA1679" s="468">
        <v>1056</v>
      </c>
      <c r="BB1679" s="468">
        <v>1014</v>
      </c>
      <c r="BC1679" s="468">
        <v>1068</v>
      </c>
      <c r="BD1679" s="468">
        <v>1083</v>
      </c>
      <c r="BE1679" s="468">
        <v>1005</v>
      </c>
      <c r="BF1679" s="468">
        <v>959</v>
      </c>
      <c r="BG1679" s="468">
        <v>992</v>
      </c>
      <c r="BH1679" s="468">
        <v>980</v>
      </c>
      <c r="BI1679" s="468">
        <v>981</v>
      </c>
      <c r="BJ1679" s="468">
        <v>1080</v>
      </c>
      <c r="BK1679" s="468">
        <v>1114</v>
      </c>
      <c r="BL1679" s="468">
        <v>1156</v>
      </c>
      <c r="BM1679" s="468">
        <v>1242</v>
      </c>
      <c r="BN1679" s="468">
        <v>1119</v>
      </c>
      <c r="BO1679" s="468">
        <v>1281</v>
      </c>
      <c r="BP1679" s="468">
        <v>1265</v>
      </c>
      <c r="BQ1679" s="468">
        <v>1199</v>
      </c>
      <c r="BR1679" s="468">
        <v>1256</v>
      </c>
      <c r="BS1679" s="468">
        <v>1267</v>
      </c>
      <c r="BT1679" s="468">
        <v>1254</v>
      </c>
      <c r="BU1679" s="468">
        <v>1261</v>
      </c>
      <c r="BV1679" s="468">
        <v>1173</v>
      </c>
      <c r="BW1679" s="468">
        <v>1128</v>
      </c>
      <c r="BX1679" s="468">
        <v>1099</v>
      </c>
      <c r="BY1679" s="468">
        <v>1047</v>
      </c>
      <c r="BZ1679" s="468">
        <v>1036</v>
      </c>
      <c r="CA1679" s="468">
        <v>1023</v>
      </c>
      <c r="CB1679" s="468">
        <v>907</v>
      </c>
      <c r="CC1679" s="468">
        <v>853</v>
      </c>
      <c r="CD1679" s="468">
        <v>981</v>
      </c>
      <c r="CE1679" s="468">
        <v>926</v>
      </c>
      <c r="CF1679" s="468">
        <v>837</v>
      </c>
      <c r="CG1679" s="468">
        <v>891</v>
      </c>
      <c r="CH1679" s="468">
        <v>914</v>
      </c>
      <c r="CI1679" s="468">
        <v>798</v>
      </c>
      <c r="CJ1679" s="468">
        <v>935</v>
      </c>
      <c r="CK1679" s="468">
        <v>955</v>
      </c>
      <c r="CL1679" s="468">
        <v>710</v>
      </c>
      <c r="CM1679" s="468">
        <v>643</v>
      </c>
      <c r="CN1679" s="468">
        <v>613</v>
      </c>
      <c r="CO1679" s="468">
        <v>541</v>
      </c>
      <c r="CP1679" s="468">
        <v>548</v>
      </c>
      <c r="CQ1679" s="468">
        <v>393</v>
      </c>
      <c r="CR1679" s="468">
        <v>410</v>
      </c>
      <c r="CS1679" s="468">
        <v>361</v>
      </c>
      <c r="CT1679" s="468">
        <v>311</v>
      </c>
      <c r="CU1679" s="468">
        <v>265</v>
      </c>
      <c r="CV1679" s="468">
        <v>230</v>
      </c>
      <c r="CW1679" s="468">
        <v>175</v>
      </c>
      <c r="CX1679" s="468">
        <v>149</v>
      </c>
      <c r="CY1679" s="468">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
      <c r="A1680" s="30" t="s">
        <v>34</v>
      </c>
      <c r="B1680" s="1" t="s">
        <v>428</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68">
        <v>1856</v>
      </c>
      <c r="N1680" s="468">
        <v>1981</v>
      </c>
      <c r="O1680" s="468">
        <v>1941</v>
      </c>
      <c r="P1680" s="468">
        <v>1924</v>
      </c>
      <c r="Q1680" s="468">
        <v>2013</v>
      </c>
      <c r="R1680" s="468">
        <v>2084</v>
      </c>
      <c r="S1680" s="468">
        <v>2131</v>
      </c>
      <c r="T1680" s="468">
        <v>2257</v>
      </c>
      <c r="U1680" s="468">
        <v>2209</v>
      </c>
      <c r="V1680" s="468">
        <v>2249</v>
      </c>
      <c r="W1680" s="468">
        <v>2197</v>
      </c>
      <c r="X1680" s="468">
        <v>2330</v>
      </c>
      <c r="Y1680" s="468">
        <v>2393</v>
      </c>
      <c r="Z1680" s="468">
        <v>2289</v>
      </c>
      <c r="AA1680" s="468">
        <v>2194</v>
      </c>
      <c r="AB1680" s="468">
        <v>2219</v>
      </c>
      <c r="AC1680" s="468">
        <v>2176</v>
      </c>
      <c r="AD1680" s="468">
        <v>2235</v>
      </c>
      <c r="AE1680" s="468">
        <v>2618</v>
      </c>
      <c r="AF1680" s="468">
        <v>4372</v>
      </c>
      <c r="AG1680" s="468">
        <v>4993</v>
      </c>
      <c r="AH1680" s="468">
        <v>5046</v>
      </c>
      <c r="AI1680" s="468">
        <v>4466</v>
      </c>
      <c r="AJ1680" s="468">
        <v>3868</v>
      </c>
      <c r="AK1680" s="468">
        <v>3679</v>
      </c>
      <c r="AL1680" s="468">
        <v>3544</v>
      </c>
      <c r="AM1680" s="468">
        <v>3562</v>
      </c>
      <c r="AN1680" s="468">
        <v>3432</v>
      </c>
      <c r="AO1680" s="468">
        <v>3283</v>
      </c>
      <c r="AP1680" s="468">
        <v>3098</v>
      </c>
      <c r="AQ1680" s="468">
        <v>3028</v>
      </c>
      <c r="AR1680" s="468">
        <v>2908</v>
      </c>
      <c r="AS1680" s="468">
        <v>2962</v>
      </c>
      <c r="AT1680" s="468">
        <v>2878</v>
      </c>
      <c r="AU1680" s="468">
        <v>2611</v>
      </c>
      <c r="AV1680" s="468">
        <v>2747</v>
      </c>
      <c r="AW1680" s="468">
        <v>2688</v>
      </c>
      <c r="AX1680" s="468">
        <v>2713</v>
      </c>
      <c r="AY1680" s="468">
        <v>2504</v>
      </c>
      <c r="AZ1680" s="468">
        <v>2555</v>
      </c>
      <c r="BA1680" s="468">
        <v>2597</v>
      </c>
      <c r="BB1680" s="468">
        <v>2352</v>
      </c>
      <c r="BC1680" s="468">
        <v>2384</v>
      </c>
      <c r="BD1680" s="468">
        <v>2348</v>
      </c>
      <c r="BE1680" s="468">
        <v>2293</v>
      </c>
      <c r="BF1680" s="468">
        <v>2065</v>
      </c>
      <c r="BG1680" s="468">
        <v>2157</v>
      </c>
      <c r="BH1680" s="468">
        <v>2018</v>
      </c>
      <c r="BI1680" s="468">
        <v>2024</v>
      </c>
      <c r="BJ1680" s="468">
        <v>2075</v>
      </c>
      <c r="BK1680" s="468">
        <v>1911</v>
      </c>
      <c r="BL1680" s="468">
        <v>1963</v>
      </c>
      <c r="BM1680" s="468">
        <v>2087</v>
      </c>
      <c r="BN1680" s="468">
        <v>2050</v>
      </c>
      <c r="BO1680" s="468">
        <v>2082</v>
      </c>
      <c r="BP1680" s="468">
        <v>1988</v>
      </c>
      <c r="BQ1680" s="468">
        <v>2060</v>
      </c>
      <c r="BR1680" s="468">
        <v>1882</v>
      </c>
      <c r="BS1680" s="468">
        <v>1987</v>
      </c>
      <c r="BT1680" s="468">
        <v>1923</v>
      </c>
      <c r="BU1680" s="468">
        <v>1878</v>
      </c>
      <c r="BV1680" s="468">
        <v>1984</v>
      </c>
      <c r="BW1680" s="468">
        <v>1780</v>
      </c>
      <c r="BX1680" s="468">
        <v>1797</v>
      </c>
      <c r="BY1680" s="468">
        <v>1770</v>
      </c>
      <c r="BZ1680" s="468">
        <v>1628</v>
      </c>
      <c r="CA1680" s="468">
        <v>1634</v>
      </c>
      <c r="CB1680" s="468">
        <v>1479</v>
      </c>
      <c r="CC1680" s="468">
        <v>1405</v>
      </c>
      <c r="CD1680" s="468">
        <v>1424</v>
      </c>
      <c r="CE1680" s="468">
        <v>1332</v>
      </c>
      <c r="CF1680" s="468">
        <v>1261</v>
      </c>
      <c r="CG1680" s="468">
        <v>1299</v>
      </c>
      <c r="CH1680" s="468">
        <v>1316</v>
      </c>
      <c r="CI1680" s="468">
        <v>1261</v>
      </c>
      <c r="CJ1680" s="468">
        <v>1222</v>
      </c>
      <c r="CK1680" s="468">
        <v>1315</v>
      </c>
      <c r="CL1680" s="468">
        <v>948</v>
      </c>
      <c r="CM1680" s="468">
        <v>898</v>
      </c>
      <c r="CN1680" s="468">
        <v>876</v>
      </c>
      <c r="CO1680" s="468">
        <v>706</v>
      </c>
      <c r="CP1680" s="468">
        <v>637</v>
      </c>
      <c r="CQ1680" s="468">
        <v>577</v>
      </c>
      <c r="CR1680" s="468">
        <v>553</v>
      </c>
      <c r="CS1680" s="468">
        <v>492</v>
      </c>
      <c r="CT1680" s="468">
        <v>451</v>
      </c>
      <c r="CU1680" s="468">
        <v>405</v>
      </c>
      <c r="CV1680" s="468">
        <v>355</v>
      </c>
      <c r="CW1680" s="468">
        <v>306</v>
      </c>
      <c r="CX1680" s="468">
        <v>234</v>
      </c>
      <c r="CY1680" s="468">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
      <c r="A1681" s="30" t="s">
        <v>34</v>
      </c>
      <c r="B1681" s="1" t="s">
        <v>429</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68">
        <v>813</v>
      </c>
      <c r="N1681" s="468">
        <v>875</v>
      </c>
      <c r="O1681" s="468">
        <v>870</v>
      </c>
      <c r="P1681" s="468">
        <v>874</v>
      </c>
      <c r="Q1681" s="468">
        <v>965</v>
      </c>
      <c r="R1681" s="468">
        <v>984</v>
      </c>
      <c r="S1681" s="468">
        <v>1020</v>
      </c>
      <c r="T1681" s="468">
        <v>1090</v>
      </c>
      <c r="U1681" s="468">
        <v>1073</v>
      </c>
      <c r="V1681" s="468">
        <v>1049</v>
      </c>
      <c r="W1681" s="468">
        <v>1095</v>
      </c>
      <c r="X1681" s="468">
        <v>1193</v>
      </c>
      <c r="Y1681" s="468">
        <v>1195</v>
      </c>
      <c r="Z1681" s="468">
        <v>1160</v>
      </c>
      <c r="AA1681" s="468">
        <v>1127</v>
      </c>
      <c r="AB1681" s="468">
        <v>1143</v>
      </c>
      <c r="AC1681" s="468">
        <v>1159</v>
      </c>
      <c r="AD1681" s="468">
        <v>1162</v>
      </c>
      <c r="AE1681" s="468">
        <v>1080</v>
      </c>
      <c r="AF1681" s="468">
        <v>871</v>
      </c>
      <c r="AG1681" s="468">
        <v>868</v>
      </c>
      <c r="AH1681" s="468">
        <v>842</v>
      </c>
      <c r="AI1681" s="468">
        <v>881</v>
      </c>
      <c r="AJ1681" s="468">
        <v>890</v>
      </c>
      <c r="AK1681" s="468">
        <v>925</v>
      </c>
      <c r="AL1681" s="468">
        <v>951</v>
      </c>
      <c r="AM1681" s="468">
        <v>1027</v>
      </c>
      <c r="AN1681" s="468">
        <v>1012</v>
      </c>
      <c r="AO1681" s="468">
        <v>940</v>
      </c>
      <c r="AP1681" s="468">
        <v>998</v>
      </c>
      <c r="AQ1681" s="468">
        <v>980</v>
      </c>
      <c r="AR1681" s="468">
        <v>1008</v>
      </c>
      <c r="AS1681" s="468">
        <v>1055</v>
      </c>
      <c r="AT1681" s="468">
        <v>1088</v>
      </c>
      <c r="AU1681" s="468">
        <v>1044</v>
      </c>
      <c r="AV1681" s="468">
        <v>1134</v>
      </c>
      <c r="AW1681" s="468">
        <v>1071</v>
      </c>
      <c r="AX1681" s="468">
        <v>1049</v>
      </c>
      <c r="AY1681" s="468">
        <v>1012</v>
      </c>
      <c r="AZ1681" s="468">
        <v>1042</v>
      </c>
      <c r="BA1681" s="468">
        <v>1020</v>
      </c>
      <c r="BB1681" s="468">
        <v>1028</v>
      </c>
      <c r="BC1681" s="468">
        <v>1069</v>
      </c>
      <c r="BD1681" s="468">
        <v>1059</v>
      </c>
      <c r="BE1681" s="468">
        <v>1009</v>
      </c>
      <c r="BF1681" s="468">
        <v>928</v>
      </c>
      <c r="BG1681" s="468">
        <v>925</v>
      </c>
      <c r="BH1681" s="468">
        <v>1017</v>
      </c>
      <c r="BI1681" s="468">
        <v>1045</v>
      </c>
      <c r="BJ1681" s="468">
        <v>1084</v>
      </c>
      <c r="BK1681" s="468">
        <v>1138</v>
      </c>
      <c r="BL1681" s="468">
        <v>1215</v>
      </c>
      <c r="BM1681" s="468">
        <v>1302</v>
      </c>
      <c r="BN1681" s="468">
        <v>1248</v>
      </c>
      <c r="BO1681" s="468">
        <v>1240</v>
      </c>
      <c r="BP1681" s="468">
        <v>1273</v>
      </c>
      <c r="BQ1681" s="468">
        <v>1377</v>
      </c>
      <c r="BR1681" s="468">
        <v>1389</v>
      </c>
      <c r="BS1681" s="468">
        <v>1431</v>
      </c>
      <c r="BT1681" s="468">
        <v>1476</v>
      </c>
      <c r="BU1681" s="468">
        <v>1334</v>
      </c>
      <c r="BV1681" s="468">
        <v>1428</v>
      </c>
      <c r="BW1681" s="468">
        <v>1363</v>
      </c>
      <c r="BX1681" s="468">
        <v>1341</v>
      </c>
      <c r="BY1681" s="468">
        <v>1270</v>
      </c>
      <c r="BZ1681" s="468">
        <v>1293</v>
      </c>
      <c r="CA1681" s="468">
        <v>1258</v>
      </c>
      <c r="CB1681" s="468">
        <v>1171</v>
      </c>
      <c r="CC1681" s="468">
        <v>1265</v>
      </c>
      <c r="CD1681" s="468">
        <v>1215</v>
      </c>
      <c r="CE1681" s="468">
        <v>1179</v>
      </c>
      <c r="CF1681" s="468">
        <v>1140</v>
      </c>
      <c r="CG1681" s="468">
        <v>1091</v>
      </c>
      <c r="CH1681" s="468">
        <v>1125</v>
      </c>
      <c r="CI1681" s="468">
        <v>1143</v>
      </c>
      <c r="CJ1681" s="468">
        <v>1158</v>
      </c>
      <c r="CK1681" s="468">
        <v>1139</v>
      </c>
      <c r="CL1681" s="468">
        <v>969</v>
      </c>
      <c r="CM1681" s="468">
        <v>884</v>
      </c>
      <c r="CN1681" s="468">
        <v>813</v>
      </c>
      <c r="CO1681" s="468">
        <v>736</v>
      </c>
      <c r="CP1681" s="468">
        <v>695</v>
      </c>
      <c r="CQ1681" s="468">
        <v>569</v>
      </c>
      <c r="CR1681" s="468">
        <v>515</v>
      </c>
      <c r="CS1681" s="468">
        <v>476</v>
      </c>
      <c r="CT1681" s="468">
        <v>405</v>
      </c>
      <c r="CU1681" s="468">
        <v>407</v>
      </c>
      <c r="CV1681" s="468">
        <v>308</v>
      </c>
      <c r="CW1681" s="468">
        <v>277</v>
      </c>
      <c r="CX1681" s="468">
        <v>234</v>
      </c>
      <c r="CY1681" s="468">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
      <c r="A1682" s="30" t="s">
        <v>34</v>
      </c>
      <c r="B1682" s="1" t="s">
        <v>430</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68">
        <v>259</v>
      </c>
      <c r="N1682" s="468">
        <v>275</v>
      </c>
      <c r="O1682" s="468">
        <v>247</v>
      </c>
      <c r="P1682" s="468">
        <v>281</v>
      </c>
      <c r="Q1682" s="468">
        <v>292</v>
      </c>
      <c r="R1682" s="468">
        <v>288</v>
      </c>
      <c r="S1682" s="468">
        <v>308</v>
      </c>
      <c r="T1682" s="468">
        <v>347</v>
      </c>
      <c r="U1682" s="468">
        <v>314</v>
      </c>
      <c r="V1682" s="468">
        <v>312</v>
      </c>
      <c r="W1682" s="468">
        <v>369</v>
      </c>
      <c r="X1682" s="468">
        <v>366</v>
      </c>
      <c r="Y1682" s="468">
        <v>382</v>
      </c>
      <c r="Z1682" s="468">
        <v>357</v>
      </c>
      <c r="AA1682" s="468">
        <v>331</v>
      </c>
      <c r="AB1682" s="468">
        <v>335</v>
      </c>
      <c r="AC1682" s="468">
        <v>346</v>
      </c>
      <c r="AD1682" s="468">
        <v>372</v>
      </c>
      <c r="AE1682" s="468">
        <v>487</v>
      </c>
      <c r="AF1682" s="468">
        <v>987</v>
      </c>
      <c r="AG1682" s="468">
        <v>1016</v>
      </c>
      <c r="AH1682" s="468">
        <v>855</v>
      </c>
      <c r="AI1682" s="468">
        <v>757</v>
      </c>
      <c r="AJ1682" s="468">
        <v>576</v>
      </c>
      <c r="AK1682" s="468">
        <v>509</v>
      </c>
      <c r="AL1682" s="468">
        <v>407</v>
      </c>
      <c r="AM1682" s="468">
        <v>332</v>
      </c>
      <c r="AN1682" s="468">
        <v>338</v>
      </c>
      <c r="AO1682" s="468">
        <v>349</v>
      </c>
      <c r="AP1682" s="468">
        <v>360</v>
      </c>
      <c r="AQ1682" s="468">
        <v>311</v>
      </c>
      <c r="AR1682" s="468">
        <v>358</v>
      </c>
      <c r="AS1682" s="468">
        <v>364</v>
      </c>
      <c r="AT1682" s="468">
        <v>347</v>
      </c>
      <c r="AU1682" s="468">
        <v>351</v>
      </c>
      <c r="AV1682" s="468">
        <v>367</v>
      </c>
      <c r="AW1682" s="468">
        <v>326</v>
      </c>
      <c r="AX1682" s="468">
        <v>306</v>
      </c>
      <c r="AY1682" s="468">
        <v>324</v>
      </c>
      <c r="AZ1682" s="468">
        <v>304</v>
      </c>
      <c r="BA1682" s="468">
        <v>337</v>
      </c>
      <c r="BB1682" s="468">
        <v>365</v>
      </c>
      <c r="BC1682" s="468">
        <v>344</v>
      </c>
      <c r="BD1682" s="468">
        <v>319</v>
      </c>
      <c r="BE1682" s="468">
        <v>319</v>
      </c>
      <c r="BF1682" s="468">
        <v>275</v>
      </c>
      <c r="BG1682" s="468">
        <v>308</v>
      </c>
      <c r="BH1682" s="468">
        <v>348</v>
      </c>
      <c r="BI1682" s="468">
        <v>359</v>
      </c>
      <c r="BJ1682" s="468">
        <v>358</v>
      </c>
      <c r="BK1682" s="468">
        <v>350</v>
      </c>
      <c r="BL1682" s="468">
        <v>407</v>
      </c>
      <c r="BM1682" s="468">
        <v>444</v>
      </c>
      <c r="BN1682" s="468">
        <v>443</v>
      </c>
      <c r="BO1682" s="468">
        <v>507</v>
      </c>
      <c r="BP1682" s="468">
        <v>487</v>
      </c>
      <c r="BQ1682" s="468">
        <v>523</v>
      </c>
      <c r="BR1682" s="468">
        <v>523</v>
      </c>
      <c r="BS1682" s="468">
        <v>497</v>
      </c>
      <c r="BT1682" s="468">
        <v>551</v>
      </c>
      <c r="BU1682" s="468">
        <v>557</v>
      </c>
      <c r="BV1682" s="468">
        <v>547</v>
      </c>
      <c r="BW1682" s="468">
        <v>531</v>
      </c>
      <c r="BX1682" s="468">
        <v>504</v>
      </c>
      <c r="BY1682" s="468">
        <v>519</v>
      </c>
      <c r="BZ1682" s="468">
        <v>519</v>
      </c>
      <c r="CA1682" s="468">
        <v>491</v>
      </c>
      <c r="CB1682" s="468">
        <v>513</v>
      </c>
      <c r="CC1682" s="468">
        <v>480</v>
      </c>
      <c r="CD1682" s="468">
        <v>477</v>
      </c>
      <c r="CE1682" s="468">
        <v>452</v>
      </c>
      <c r="CF1682" s="468">
        <v>473</v>
      </c>
      <c r="CG1682" s="468">
        <v>434</v>
      </c>
      <c r="CH1682" s="468">
        <v>460</v>
      </c>
      <c r="CI1682" s="468">
        <v>492</v>
      </c>
      <c r="CJ1682" s="468">
        <v>510</v>
      </c>
      <c r="CK1682" s="468">
        <v>479</v>
      </c>
      <c r="CL1682" s="468">
        <v>356</v>
      </c>
      <c r="CM1682" s="468">
        <v>364</v>
      </c>
      <c r="CN1682" s="468">
        <v>341</v>
      </c>
      <c r="CO1682" s="468">
        <v>332</v>
      </c>
      <c r="CP1682" s="468">
        <v>269</v>
      </c>
      <c r="CQ1682" s="468">
        <v>203</v>
      </c>
      <c r="CR1682" s="468">
        <v>233</v>
      </c>
      <c r="CS1682" s="468">
        <v>180</v>
      </c>
      <c r="CT1682" s="468">
        <v>172</v>
      </c>
      <c r="CU1682" s="468">
        <v>148</v>
      </c>
      <c r="CV1682" s="468">
        <v>118</v>
      </c>
      <c r="CW1682" s="468">
        <v>108</v>
      </c>
      <c r="CX1682" s="468">
        <v>91</v>
      </c>
      <c r="CY1682" s="468">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
      <c r="A1683" s="30" t="s">
        <v>34</v>
      </c>
      <c r="B1683" s="1" t="s">
        <v>431</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68">
        <v>461</v>
      </c>
      <c r="N1683" s="468">
        <v>495</v>
      </c>
      <c r="O1683" s="468">
        <v>470</v>
      </c>
      <c r="P1683" s="468">
        <v>532</v>
      </c>
      <c r="Q1683" s="468">
        <v>535</v>
      </c>
      <c r="R1683" s="468">
        <v>561</v>
      </c>
      <c r="S1683" s="468">
        <v>542</v>
      </c>
      <c r="T1683" s="468">
        <v>575</v>
      </c>
      <c r="U1683" s="468">
        <v>612</v>
      </c>
      <c r="V1683" s="468">
        <v>596</v>
      </c>
      <c r="W1683" s="468">
        <v>620</v>
      </c>
      <c r="X1683" s="468">
        <v>614</v>
      </c>
      <c r="Y1683" s="468">
        <v>704</v>
      </c>
      <c r="Z1683" s="468">
        <v>632</v>
      </c>
      <c r="AA1683" s="468">
        <v>632</v>
      </c>
      <c r="AB1683" s="468">
        <v>607</v>
      </c>
      <c r="AC1683" s="468">
        <v>643</v>
      </c>
      <c r="AD1683" s="468">
        <v>622</v>
      </c>
      <c r="AE1683" s="468">
        <v>611</v>
      </c>
      <c r="AF1683" s="468">
        <v>476</v>
      </c>
      <c r="AG1683" s="468">
        <v>402</v>
      </c>
      <c r="AH1683" s="468">
        <v>411</v>
      </c>
      <c r="AI1683" s="468">
        <v>460</v>
      </c>
      <c r="AJ1683" s="468">
        <v>540</v>
      </c>
      <c r="AK1683" s="468">
        <v>534</v>
      </c>
      <c r="AL1683" s="468">
        <v>614</v>
      </c>
      <c r="AM1683" s="468">
        <v>583</v>
      </c>
      <c r="AN1683" s="468">
        <v>477</v>
      </c>
      <c r="AO1683" s="468">
        <v>568</v>
      </c>
      <c r="AP1683" s="468">
        <v>536</v>
      </c>
      <c r="AQ1683" s="468">
        <v>539</v>
      </c>
      <c r="AR1683" s="468">
        <v>585</v>
      </c>
      <c r="AS1683" s="468">
        <v>621</v>
      </c>
      <c r="AT1683" s="468">
        <v>565</v>
      </c>
      <c r="AU1683" s="468">
        <v>617</v>
      </c>
      <c r="AV1683" s="468">
        <v>578</v>
      </c>
      <c r="AW1683" s="468">
        <v>604</v>
      </c>
      <c r="AX1683" s="468">
        <v>542</v>
      </c>
      <c r="AY1683" s="468">
        <v>582</v>
      </c>
      <c r="AZ1683" s="468">
        <v>560</v>
      </c>
      <c r="BA1683" s="468">
        <v>536</v>
      </c>
      <c r="BB1683" s="468">
        <v>554</v>
      </c>
      <c r="BC1683" s="468">
        <v>611</v>
      </c>
      <c r="BD1683" s="468">
        <v>635</v>
      </c>
      <c r="BE1683" s="468">
        <v>572</v>
      </c>
      <c r="BF1683" s="468">
        <v>480</v>
      </c>
      <c r="BG1683" s="468">
        <v>557</v>
      </c>
      <c r="BH1683" s="468">
        <v>553</v>
      </c>
      <c r="BI1683" s="468">
        <v>568</v>
      </c>
      <c r="BJ1683" s="468">
        <v>609</v>
      </c>
      <c r="BK1683" s="468">
        <v>686</v>
      </c>
      <c r="BL1683" s="468">
        <v>796</v>
      </c>
      <c r="BM1683" s="468">
        <v>785</v>
      </c>
      <c r="BN1683" s="468">
        <v>751</v>
      </c>
      <c r="BO1683" s="468">
        <v>815</v>
      </c>
      <c r="BP1683" s="468">
        <v>781</v>
      </c>
      <c r="BQ1683" s="468">
        <v>835</v>
      </c>
      <c r="BR1683" s="468">
        <v>891</v>
      </c>
      <c r="BS1683" s="468">
        <v>894</v>
      </c>
      <c r="BT1683" s="468">
        <v>874</v>
      </c>
      <c r="BU1683" s="468">
        <v>890</v>
      </c>
      <c r="BV1683" s="468">
        <v>891</v>
      </c>
      <c r="BW1683" s="468">
        <v>898</v>
      </c>
      <c r="BX1683" s="468">
        <v>890</v>
      </c>
      <c r="BY1683" s="468">
        <v>826</v>
      </c>
      <c r="BZ1683" s="468">
        <v>798</v>
      </c>
      <c r="CA1683" s="468">
        <v>792</v>
      </c>
      <c r="CB1683" s="468">
        <v>749</v>
      </c>
      <c r="CC1683" s="468">
        <v>712</v>
      </c>
      <c r="CD1683" s="468">
        <v>775</v>
      </c>
      <c r="CE1683" s="468">
        <v>742</v>
      </c>
      <c r="CF1683" s="468">
        <v>726</v>
      </c>
      <c r="CG1683" s="468">
        <v>759</v>
      </c>
      <c r="CH1683" s="468">
        <v>718</v>
      </c>
      <c r="CI1683" s="468">
        <v>807</v>
      </c>
      <c r="CJ1683" s="468">
        <v>844</v>
      </c>
      <c r="CK1683" s="468">
        <v>825</v>
      </c>
      <c r="CL1683" s="468">
        <v>658</v>
      </c>
      <c r="CM1683" s="468">
        <v>602</v>
      </c>
      <c r="CN1683" s="468">
        <v>563</v>
      </c>
      <c r="CO1683" s="468">
        <v>509</v>
      </c>
      <c r="CP1683" s="468">
        <v>456</v>
      </c>
      <c r="CQ1683" s="468">
        <v>381</v>
      </c>
      <c r="CR1683" s="468">
        <v>343</v>
      </c>
      <c r="CS1683" s="468">
        <v>344</v>
      </c>
      <c r="CT1683" s="468">
        <v>264</v>
      </c>
      <c r="CU1683" s="468">
        <v>245</v>
      </c>
      <c r="CV1683" s="468">
        <v>228</v>
      </c>
      <c r="CW1683" s="468">
        <v>226</v>
      </c>
      <c r="CX1683" s="468">
        <v>166</v>
      </c>
      <c r="CY1683" s="468">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
      <c r="A1684" s="30" t="s">
        <v>34</v>
      </c>
      <c r="B1684" s="1" t="s">
        <v>432</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68">
        <v>401</v>
      </c>
      <c r="N1684" s="468">
        <v>464</v>
      </c>
      <c r="O1684" s="468">
        <v>512</v>
      </c>
      <c r="P1684" s="468">
        <v>526</v>
      </c>
      <c r="Q1684" s="468">
        <v>494</v>
      </c>
      <c r="R1684" s="468">
        <v>503</v>
      </c>
      <c r="S1684" s="468">
        <v>548</v>
      </c>
      <c r="T1684" s="468">
        <v>535</v>
      </c>
      <c r="U1684" s="468">
        <v>564</v>
      </c>
      <c r="V1684" s="468">
        <v>534</v>
      </c>
      <c r="W1684" s="468">
        <v>578</v>
      </c>
      <c r="X1684" s="468">
        <v>560</v>
      </c>
      <c r="Y1684" s="468">
        <v>600</v>
      </c>
      <c r="Z1684" s="468">
        <v>625</v>
      </c>
      <c r="AA1684" s="468">
        <v>616</v>
      </c>
      <c r="AB1684" s="468">
        <v>624</v>
      </c>
      <c r="AC1684" s="468">
        <v>599</v>
      </c>
      <c r="AD1684" s="468">
        <v>600</v>
      </c>
      <c r="AE1684" s="468">
        <v>622</v>
      </c>
      <c r="AF1684" s="468">
        <v>448</v>
      </c>
      <c r="AG1684" s="468">
        <v>447</v>
      </c>
      <c r="AH1684" s="468">
        <v>401</v>
      </c>
      <c r="AI1684" s="468">
        <v>463</v>
      </c>
      <c r="AJ1684" s="468">
        <v>442</v>
      </c>
      <c r="AK1684" s="468">
        <v>460</v>
      </c>
      <c r="AL1684" s="468">
        <v>490</v>
      </c>
      <c r="AM1684" s="468">
        <v>505</v>
      </c>
      <c r="AN1684" s="468">
        <v>514</v>
      </c>
      <c r="AO1684" s="468">
        <v>484</v>
      </c>
      <c r="AP1684" s="468">
        <v>524</v>
      </c>
      <c r="AQ1684" s="468">
        <v>480</v>
      </c>
      <c r="AR1684" s="468">
        <v>514</v>
      </c>
      <c r="AS1684" s="468">
        <v>537</v>
      </c>
      <c r="AT1684" s="468">
        <v>539</v>
      </c>
      <c r="AU1684" s="468">
        <v>492</v>
      </c>
      <c r="AV1684" s="468">
        <v>534</v>
      </c>
      <c r="AW1684" s="468">
        <v>529</v>
      </c>
      <c r="AX1684" s="468">
        <v>505</v>
      </c>
      <c r="AY1684" s="468">
        <v>491</v>
      </c>
      <c r="AZ1684" s="468">
        <v>520</v>
      </c>
      <c r="BA1684" s="468">
        <v>453</v>
      </c>
      <c r="BB1684" s="468">
        <v>497</v>
      </c>
      <c r="BC1684" s="468">
        <v>492</v>
      </c>
      <c r="BD1684" s="468">
        <v>506</v>
      </c>
      <c r="BE1684" s="468">
        <v>470</v>
      </c>
      <c r="BF1684" s="468">
        <v>424</v>
      </c>
      <c r="BG1684" s="468">
        <v>467</v>
      </c>
      <c r="BH1684" s="468">
        <v>512</v>
      </c>
      <c r="BI1684" s="468">
        <v>538</v>
      </c>
      <c r="BJ1684" s="468">
        <v>533</v>
      </c>
      <c r="BK1684" s="468">
        <v>551</v>
      </c>
      <c r="BL1684" s="468">
        <v>641</v>
      </c>
      <c r="BM1684" s="468">
        <v>668</v>
      </c>
      <c r="BN1684" s="468">
        <v>666</v>
      </c>
      <c r="BO1684" s="468">
        <v>668</v>
      </c>
      <c r="BP1684" s="468">
        <v>655</v>
      </c>
      <c r="BQ1684" s="468">
        <v>730</v>
      </c>
      <c r="BR1684" s="468">
        <v>672</v>
      </c>
      <c r="BS1684" s="468">
        <v>765</v>
      </c>
      <c r="BT1684" s="468">
        <v>757</v>
      </c>
      <c r="BU1684" s="468">
        <v>717</v>
      </c>
      <c r="BV1684" s="468">
        <v>753</v>
      </c>
      <c r="BW1684" s="468">
        <v>656</v>
      </c>
      <c r="BX1684" s="468">
        <v>699</v>
      </c>
      <c r="BY1684" s="468">
        <v>663</v>
      </c>
      <c r="BZ1684" s="468">
        <v>644</v>
      </c>
      <c r="CA1684" s="468">
        <v>637</v>
      </c>
      <c r="CB1684" s="468">
        <v>610</v>
      </c>
      <c r="CC1684" s="468">
        <v>595</v>
      </c>
      <c r="CD1684" s="468">
        <v>599</v>
      </c>
      <c r="CE1684" s="468">
        <v>582</v>
      </c>
      <c r="CF1684" s="468">
        <v>534</v>
      </c>
      <c r="CG1684" s="468">
        <v>543</v>
      </c>
      <c r="CH1684" s="468">
        <v>590</v>
      </c>
      <c r="CI1684" s="468">
        <v>638</v>
      </c>
      <c r="CJ1684" s="468">
        <v>658</v>
      </c>
      <c r="CK1684" s="468">
        <v>651</v>
      </c>
      <c r="CL1684" s="468">
        <v>445</v>
      </c>
      <c r="CM1684" s="468">
        <v>418</v>
      </c>
      <c r="CN1684" s="468">
        <v>441</v>
      </c>
      <c r="CO1684" s="468">
        <v>416</v>
      </c>
      <c r="CP1684" s="468">
        <v>329</v>
      </c>
      <c r="CQ1684" s="468">
        <v>319</v>
      </c>
      <c r="CR1684" s="468">
        <v>263</v>
      </c>
      <c r="CS1684" s="468">
        <v>231</v>
      </c>
      <c r="CT1684" s="468">
        <v>211</v>
      </c>
      <c r="CU1684" s="468">
        <v>197</v>
      </c>
      <c r="CV1684" s="468">
        <v>160</v>
      </c>
      <c r="CW1684" s="468">
        <v>148</v>
      </c>
      <c r="CX1684" s="468">
        <v>105</v>
      </c>
      <c r="CY1684" s="468">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
      <c r="A1685" s="30" t="s">
        <v>34</v>
      </c>
      <c r="B1685" s="1" t="s">
        <v>433</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68">
        <v>698</v>
      </c>
      <c r="N1685" s="468">
        <v>720</v>
      </c>
      <c r="O1685" s="468">
        <v>806</v>
      </c>
      <c r="P1685" s="468">
        <v>775</v>
      </c>
      <c r="Q1685" s="468">
        <v>793</v>
      </c>
      <c r="R1685" s="468">
        <v>823</v>
      </c>
      <c r="S1685" s="468">
        <v>841</v>
      </c>
      <c r="T1685" s="468">
        <v>864</v>
      </c>
      <c r="U1685" s="468">
        <v>911</v>
      </c>
      <c r="V1685" s="468">
        <v>911</v>
      </c>
      <c r="W1685" s="468">
        <v>903</v>
      </c>
      <c r="X1685" s="468">
        <v>976</v>
      </c>
      <c r="Y1685" s="468">
        <v>949</v>
      </c>
      <c r="Z1685" s="468">
        <v>1013</v>
      </c>
      <c r="AA1685" s="468">
        <v>950</v>
      </c>
      <c r="AB1685" s="468">
        <v>1048</v>
      </c>
      <c r="AC1685" s="468">
        <v>976</v>
      </c>
      <c r="AD1685" s="468">
        <v>901</v>
      </c>
      <c r="AE1685" s="468">
        <v>898</v>
      </c>
      <c r="AF1685" s="468">
        <v>756</v>
      </c>
      <c r="AG1685" s="468">
        <v>647</v>
      </c>
      <c r="AH1685" s="468">
        <v>684</v>
      </c>
      <c r="AI1685" s="468">
        <v>712</v>
      </c>
      <c r="AJ1685" s="468">
        <v>744</v>
      </c>
      <c r="AK1685" s="468">
        <v>876</v>
      </c>
      <c r="AL1685" s="468">
        <v>855</v>
      </c>
      <c r="AM1685" s="468">
        <v>832</v>
      </c>
      <c r="AN1685" s="468">
        <v>824</v>
      </c>
      <c r="AO1685" s="468">
        <v>834</v>
      </c>
      <c r="AP1685" s="468">
        <v>859</v>
      </c>
      <c r="AQ1685" s="468">
        <v>913</v>
      </c>
      <c r="AR1685" s="468">
        <v>1003</v>
      </c>
      <c r="AS1685" s="468">
        <v>902</v>
      </c>
      <c r="AT1685" s="468">
        <v>907</v>
      </c>
      <c r="AU1685" s="468">
        <v>948</v>
      </c>
      <c r="AV1685" s="468">
        <v>984</v>
      </c>
      <c r="AW1685" s="468">
        <v>951</v>
      </c>
      <c r="AX1685" s="468">
        <v>993</v>
      </c>
      <c r="AY1685" s="468">
        <v>910</v>
      </c>
      <c r="AZ1685" s="468">
        <v>865</v>
      </c>
      <c r="BA1685" s="468">
        <v>894</v>
      </c>
      <c r="BB1685" s="468">
        <v>945</v>
      </c>
      <c r="BC1685" s="468">
        <v>931</v>
      </c>
      <c r="BD1685" s="468">
        <v>937</v>
      </c>
      <c r="BE1685" s="468">
        <v>899</v>
      </c>
      <c r="BF1685" s="468">
        <v>863</v>
      </c>
      <c r="BG1685" s="468">
        <v>807</v>
      </c>
      <c r="BH1685" s="468">
        <v>843</v>
      </c>
      <c r="BI1685" s="468">
        <v>929</v>
      </c>
      <c r="BJ1685" s="468">
        <v>962</v>
      </c>
      <c r="BK1685" s="468">
        <v>993</v>
      </c>
      <c r="BL1685" s="468">
        <v>1135</v>
      </c>
      <c r="BM1685" s="468">
        <v>1166</v>
      </c>
      <c r="BN1685" s="468">
        <v>1169</v>
      </c>
      <c r="BO1685" s="468">
        <v>1223</v>
      </c>
      <c r="BP1685" s="468">
        <v>1217</v>
      </c>
      <c r="BQ1685" s="468">
        <v>1120</v>
      </c>
      <c r="BR1685" s="468">
        <v>1125</v>
      </c>
      <c r="BS1685" s="468">
        <v>1152</v>
      </c>
      <c r="BT1685" s="468">
        <v>1196</v>
      </c>
      <c r="BU1685" s="468">
        <v>1088</v>
      </c>
      <c r="BV1685" s="468">
        <v>1143</v>
      </c>
      <c r="BW1685" s="468">
        <v>1056</v>
      </c>
      <c r="BX1685" s="468">
        <v>1016</v>
      </c>
      <c r="BY1685" s="468">
        <v>1023</v>
      </c>
      <c r="BZ1685" s="468">
        <v>899</v>
      </c>
      <c r="CA1685" s="468">
        <v>872</v>
      </c>
      <c r="CB1685" s="468">
        <v>867</v>
      </c>
      <c r="CC1685" s="468">
        <v>780</v>
      </c>
      <c r="CD1685" s="468">
        <v>796</v>
      </c>
      <c r="CE1685" s="468">
        <v>831</v>
      </c>
      <c r="CF1685" s="468">
        <v>750</v>
      </c>
      <c r="CG1685" s="468">
        <v>867</v>
      </c>
      <c r="CH1685" s="468">
        <v>820</v>
      </c>
      <c r="CI1685" s="468">
        <v>855</v>
      </c>
      <c r="CJ1685" s="468">
        <v>885</v>
      </c>
      <c r="CK1685" s="468">
        <v>975</v>
      </c>
      <c r="CL1685" s="468">
        <v>604</v>
      </c>
      <c r="CM1685" s="468">
        <v>620</v>
      </c>
      <c r="CN1685" s="468">
        <v>617</v>
      </c>
      <c r="CO1685" s="468">
        <v>525</v>
      </c>
      <c r="CP1685" s="468">
        <v>445</v>
      </c>
      <c r="CQ1685" s="468">
        <v>397</v>
      </c>
      <c r="CR1685" s="468">
        <v>393</v>
      </c>
      <c r="CS1685" s="468">
        <v>316</v>
      </c>
      <c r="CT1685" s="468">
        <v>324</v>
      </c>
      <c r="CU1685" s="468">
        <v>263</v>
      </c>
      <c r="CV1685" s="468">
        <v>217</v>
      </c>
      <c r="CW1685" s="468">
        <v>188</v>
      </c>
      <c r="CX1685" s="468">
        <v>137</v>
      </c>
      <c r="CY1685" s="468">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
      <c r="A1686" s="30" t="s">
        <v>34</v>
      </c>
      <c r="B1686" s="1" t="s">
        <v>434</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68">
        <v>505</v>
      </c>
      <c r="N1686" s="468">
        <v>565</v>
      </c>
      <c r="O1686" s="468">
        <v>523</v>
      </c>
      <c r="P1686" s="468">
        <v>553</v>
      </c>
      <c r="Q1686" s="468">
        <v>564</v>
      </c>
      <c r="R1686" s="468">
        <v>601</v>
      </c>
      <c r="S1686" s="468">
        <v>557</v>
      </c>
      <c r="T1686" s="468">
        <v>674</v>
      </c>
      <c r="U1686" s="468">
        <v>595</v>
      </c>
      <c r="V1686" s="468">
        <v>673</v>
      </c>
      <c r="W1686" s="468">
        <v>651</v>
      </c>
      <c r="X1686" s="468">
        <v>667</v>
      </c>
      <c r="Y1686" s="468">
        <v>658</v>
      </c>
      <c r="Z1686" s="468">
        <v>728</v>
      </c>
      <c r="AA1686" s="468">
        <v>669</v>
      </c>
      <c r="AB1686" s="468">
        <v>671</v>
      </c>
      <c r="AC1686" s="468">
        <v>676</v>
      </c>
      <c r="AD1686" s="468">
        <v>643</v>
      </c>
      <c r="AE1686" s="468">
        <v>629</v>
      </c>
      <c r="AF1686" s="468">
        <v>788</v>
      </c>
      <c r="AG1686" s="468">
        <v>949</v>
      </c>
      <c r="AH1686" s="468">
        <v>929</v>
      </c>
      <c r="AI1686" s="468">
        <v>902</v>
      </c>
      <c r="AJ1686" s="468">
        <v>887</v>
      </c>
      <c r="AK1686" s="468">
        <v>831</v>
      </c>
      <c r="AL1686" s="468">
        <v>730</v>
      </c>
      <c r="AM1686" s="468">
        <v>671</v>
      </c>
      <c r="AN1686" s="468">
        <v>661</v>
      </c>
      <c r="AO1686" s="468">
        <v>662</v>
      </c>
      <c r="AP1686" s="468">
        <v>665</v>
      </c>
      <c r="AQ1686" s="468">
        <v>662</v>
      </c>
      <c r="AR1686" s="468">
        <v>698</v>
      </c>
      <c r="AS1686" s="468">
        <v>676</v>
      </c>
      <c r="AT1686" s="468">
        <v>695</v>
      </c>
      <c r="AU1686" s="468">
        <v>693</v>
      </c>
      <c r="AV1686" s="468">
        <v>688</v>
      </c>
      <c r="AW1686" s="468">
        <v>703</v>
      </c>
      <c r="AX1686" s="468">
        <v>619</v>
      </c>
      <c r="AY1686" s="468">
        <v>613</v>
      </c>
      <c r="AZ1686" s="468">
        <v>586</v>
      </c>
      <c r="BA1686" s="468">
        <v>606</v>
      </c>
      <c r="BB1686" s="468">
        <v>606</v>
      </c>
      <c r="BC1686" s="468">
        <v>609</v>
      </c>
      <c r="BD1686" s="468">
        <v>613</v>
      </c>
      <c r="BE1686" s="468">
        <v>572</v>
      </c>
      <c r="BF1686" s="468">
        <v>558</v>
      </c>
      <c r="BG1686" s="468">
        <v>579</v>
      </c>
      <c r="BH1686" s="468">
        <v>617</v>
      </c>
      <c r="BI1686" s="468">
        <v>615</v>
      </c>
      <c r="BJ1686" s="468">
        <v>673</v>
      </c>
      <c r="BK1686" s="468">
        <v>721</v>
      </c>
      <c r="BL1686" s="468">
        <v>782</v>
      </c>
      <c r="BM1686" s="468">
        <v>832</v>
      </c>
      <c r="BN1686" s="468">
        <v>804</v>
      </c>
      <c r="BO1686" s="468">
        <v>784</v>
      </c>
      <c r="BP1686" s="468">
        <v>800</v>
      </c>
      <c r="BQ1686" s="468">
        <v>837</v>
      </c>
      <c r="BR1686" s="468">
        <v>872</v>
      </c>
      <c r="BS1686" s="468">
        <v>868</v>
      </c>
      <c r="BT1686" s="468">
        <v>882</v>
      </c>
      <c r="BU1686" s="468">
        <v>885</v>
      </c>
      <c r="BV1686" s="468">
        <v>876</v>
      </c>
      <c r="BW1686" s="468">
        <v>851</v>
      </c>
      <c r="BX1686" s="468">
        <v>774</v>
      </c>
      <c r="BY1686" s="468">
        <v>760</v>
      </c>
      <c r="BZ1686" s="468">
        <v>811</v>
      </c>
      <c r="CA1686" s="468">
        <v>751</v>
      </c>
      <c r="CB1686" s="468">
        <v>716</v>
      </c>
      <c r="CC1686" s="468">
        <v>721</v>
      </c>
      <c r="CD1686" s="468">
        <v>670</v>
      </c>
      <c r="CE1686" s="468">
        <v>707</v>
      </c>
      <c r="CF1686" s="468">
        <v>639</v>
      </c>
      <c r="CG1686" s="468">
        <v>622</v>
      </c>
      <c r="CH1686" s="468">
        <v>631</v>
      </c>
      <c r="CI1686" s="468">
        <v>708</v>
      </c>
      <c r="CJ1686" s="468">
        <v>740</v>
      </c>
      <c r="CK1686" s="468">
        <v>700</v>
      </c>
      <c r="CL1686" s="468">
        <v>565</v>
      </c>
      <c r="CM1686" s="468">
        <v>496</v>
      </c>
      <c r="CN1686" s="468">
        <v>504</v>
      </c>
      <c r="CO1686" s="468">
        <v>451</v>
      </c>
      <c r="CP1686" s="468">
        <v>360</v>
      </c>
      <c r="CQ1686" s="468">
        <v>283</v>
      </c>
      <c r="CR1686" s="468">
        <v>309</v>
      </c>
      <c r="CS1686" s="468">
        <v>303</v>
      </c>
      <c r="CT1686" s="468">
        <v>230</v>
      </c>
      <c r="CU1686" s="468">
        <v>233</v>
      </c>
      <c r="CV1686" s="468">
        <v>208</v>
      </c>
      <c r="CW1686" s="468">
        <v>169</v>
      </c>
      <c r="CX1686" s="468">
        <v>129</v>
      </c>
      <c r="CY1686" s="468">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
      <c r="A1687" s="30" t="s">
        <v>34</v>
      </c>
      <c r="B1687" s="1" t="s">
        <v>435</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68">
        <v>264</v>
      </c>
      <c r="N1687" s="468">
        <v>280</v>
      </c>
      <c r="O1687" s="468">
        <v>322</v>
      </c>
      <c r="P1687" s="468">
        <v>308</v>
      </c>
      <c r="Q1687" s="468">
        <v>320</v>
      </c>
      <c r="R1687" s="468">
        <v>344</v>
      </c>
      <c r="S1687" s="468">
        <v>395</v>
      </c>
      <c r="T1687" s="468">
        <v>401</v>
      </c>
      <c r="U1687" s="468">
        <v>365</v>
      </c>
      <c r="V1687" s="468">
        <v>394</v>
      </c>
      <c r="W1687" s="468">
        <v>421</v>
      </c>
      <c r="X1687" s="468">
        <v>400</v>
      </c>
      <c r="Y1687" s="468">
        <v>441</v>
      </c>
      <c r="Z1687" s="468">
        <v>413</v>
      </c>
      <c r="AA1687" s="468">
        <v>437</v>
      </c>
      <c r="AB1687" s="468">
        <v>381</v>
      </c>
      <c r="AC1687" s="468">
        <v>394</v>
      </c>
      <c r="AD1687" s="468">
        <v>397</v>
      </c>
      <c r="AE1687" s="468">
        <v>373</v>
      </c>
      <c r="AF1687" s="468">
        <v>298</v>
      </c>
      <c r="AG1687" s="468">
        <v>289</v>
      </c>
      <c r="AH1687" s="468">
        <v>327</v>
      </c>
      <c r="AI1687" s="468">
        <v>296</v>
      </c>
      <c r="AJ1687" s="468">
        <v>278</v>
      </c>
      <c r="AK1687" s="468">
        <v>364</v>
      </c>
      <c r="AL1687" s="468">
        <v>298</v>
      </c>
      <c r="AM1687" s="468">
        <v>306</v>
      </c>
      <c r="AN1687" s="468">
        <v>324</v>
      </c>
      <c r="AO1687" s="468">
        <v>329</v>
      </c>
      <c r="AP1687" s="468">
        <v>360</v>
      </c>
      <c r="AQ1687" s="468">
        <v>346</v>
      </c>
      <c r="AR1687" s="468">
        <v>341</v>
      </c>
      <c r="AS1687" s="468">
        <v>340</v>
      </c>
      <c r="AT1687" s="468">
        <v>357</v>
      </c>
      <c r="AU1687" s="468">
        <v>356</v>
      </c>
      <c r="AV1687" s="468">
        <v>390</v>
      </c>
      <c r="AW1687" s="468">
        <v>375</v>
      </c>
      <c r="AX1687" s="468">
        <v>326</v>
      </c>
      <c r="AY1687" s="468">
        <v>353</v>
      </c>
      <c r="AZ1687" s="468">
        <v>372</v>
      </c>
      <c r="BA1687" s="468">
        <v>339</v>
      </c>
      <c r="BB1687" s="468">
        <v>325</v>
      </c>
      <c r="BC1687" s="468">
        <v>345</v>
      </c>
      <c r="BD1687" s="468">
        <v>369</v>
      </c>
      <c r="BE1687" s="468">
        <v>381</v>
      </c>
      <c r="BF1687" s="468">
        <v>328</v>
      </c>
      <c r="BG1687" s="468">
        <v>317</v>
      </c>
      <c r="BH1687" s="468">
        <v>325</v>
      </c>
      <c r="BI1687" s="468">
        <v>353</v>
      </c>
      <c r="BJ1687" s="468">
        <v>370</v>
      </c>
      <c r="BK1687" s="468">
        <v>436</v>
      </c>
      <c r="BL1687" s="468">
        <v>456</v>
      </c>
      <c r="BM1687" s="468">
        <v>494</v>
      </c>
      <c r="BN1687" s="468">
        <v>445</v>
      </c>
      <c r="BO1687" s="468">
        <v>474</v>
      </c>
      <c r="BP1687" s="468">
        <v>484</v>
      </c>
      <c r="BQ1687" s="468">
        <v>523</v>
      </c>
      <c r="BR1687" s="468">
        <v>492</v>
      </c>
      <c r="BS1687" s="468">
        <v>546</v>
      </c>
      <c r="BT1687" s="468">
        <v>544</v>
      </c>
      <c r="BU1687" s="468">
        <v>582</v>
      </c>
      <c r="BV1687" s="468">
        <v>524</v>
      </c>
      <c r="BW1687" s="468">
        <v>519</v>
      </c>
      <c r="BX1687" s="468">
        <v>551</v>
      </c>
      <c r="BY1687" s="468">
        <v>529</v>
      </c>
      <c r="BZ1687" s="468">
        <v>489</v>
      </c>
      <c r="CA1687" s="468">
        <v>466</v>
      </c>
      <c r="CB1687" s="468">
        <v>489</v>
      </c>
      <c r="CC1687" s="468">
        <v>477</v>
      </c>
      <c r="CD1687" s="468">
        <v>463</v>
      </c>
      <c r="CE1687" s="468">
        <v>456</v>
      </c>
      <c r="CF1687" s="468">
        <v>448</v>
      </c>
      <c r="CG1687" s="468">
        <v>427</v>
      </c>
      <c r="CH1687" s="468">
        <v>465</v>
      </c>
      <c r="CI1687" s="468">
        <v>476</v>
      </c>
      <c r="CJ1687" s="468">
        <v>488</v>
      </c>
      <c r="CK1687" s="468">
        <v>474</v>
      </c>
      <c r="CL1687" s="468">
        <v>336</v>
      </c>
      <c r="CM1687" s="468">
        <v>344</v>
      </c>
      <c r="CN1687" s="468">
        <v>356</v>
      </c>
      <c r="CO1687" s="468">
        <v>322</v>
      </c>
      <c r="CP1687" s="468">
        <v>249</v>
      </c>
      <c r="CQ1687" s="468">
        <v>225</v>
      </c>
      <c r="CR1687" s="468">
        <v>215</v>
      </c>
      <c r="CS1687" s="468">
        <v>230</v>
      </c>
      <c r="CT1687" s="468">
        <v>174</v>
      </c>
      <c r="CU1687" s="468">
        <v>163</v>
      </c>
      <c r="CV1687" s="468">
        <v>124</v>
      </c>
      <c r="CW1687" s="468">
        <v>97</v>
      </c>
      <c r="CX1687" s="468">
        <v>73</v>
      </c>
      <c r="CY1687" s="468">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
      <c r="A1688" s="30" t="s">
        <v>34</v>
      </c>
      <c r="B1688" s="1" t="s">
        <v>436</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68">
        <v>324</v>
      </c>
      <c r="N1688" s="468">
        <v>330</v>
      </c>
      <c r="O1688" s="468">
        <v>336</v>
      </c>
      <c r="P1688" s="468">
        <v>335</v>
      </c>
      <c r="Q1688" s="468">
        <v>319</v>
      </c>
      <c r="R1688" s="468">
        <v>374</v>
      </c>
      <c r="S1688" s="468">
        <v>406</v>
      </c>
      <c r="T1688" s="468">
        <v>392</v>
      </c>
      <c r="U1688" s="468">
        <v>364</v>
      </c>
      <c r="V1688" s="468">
        <v>351</v>
      </c>
      <c r="W1688" s="468">
        <v>355</v>
      </c>
      <c r="X1688" s="468">
        <v>379</v>
      </c>
      <c r="Y1688" s="468">
        <v>408</v>
      </c>
      <c r="Z1688" s="468">
        <v>353</v>
      </c>
      <c r="AA1688" s="468">
        <v>367</v>
      </c>
      <c r="AB1688" s="468">
        <v>373</v>
      </c>
      <c r="AC1688" s="468">
        <v>375</v>
      </c>
      <c r="AD1688" s="468">
        <v>343</v>
      </c>
      <c r="AE1688" s="468">
        <v>298</v>
      </c>
      <c r="AF1688" s="468">
        <v>288</v>
      </c>
      <c r="AG1688" s="468">
        <v>325</v>
      </c>
      <c r="AH1688" s="468">
        <v>284</v>
      </c>
      <c r="AI1688" s="468">
        <v>281</v>
      </c>
      <c r="AJ1688" s="468">
        <v>335</v>
      </c>
      <c r="AK1688" s="468">
        <v>323</v>
      </c>
      <c r="AL1688" s="468">
        <v>328</v>
      </c>
      <c r="AM1688" s="468">
        <v>367</v>
      </c>
      <c r="AN1688" s="468">
        <v>351</v>
      </c>
      <c r="AO1688" s="468">
        <v>332</v>
      </c>
      <c r="AP1688" s="468">
        <v>370</v>
      </c>
      <c r="AQ1688" s="468">
        <v>364</v>
      </c>
      <c r="AR1688" s="468">
        <v>359</v>
      </c>
      <c r="AS1688" s="468">
        <v>386</v>
      </c>
      <c r="AT1688" s="468">
        <v>392</v>
      </c>
      <c r="AU1688" s="468">
        <v>365</v>
      </c>
      <c r="AV1688" s="468">
        <v>390</v>
      </c>
      <c r="AW1688" s="468">
        <v>400</v>
      </c>
      <c r="AX1688" s="468">
        <v>415</v>
      </c>
      <c r="AY1688" s="468">
        <v>443</v>
      </c>
      <c r="AZ1688" s="468">
        <v>404</v>
      </c>
      <c r="BA1688" s="468">
        <v>340</v>
      </c>
      <c r="BB1688" s="468">
        <v>352</v>
      </c>
      <c r="BC1688" s="468">
        <v>383</v>
      </c>
      <c r="BD1688" s="468">
        <v>384</v>
      </c>
      <c r="BE1688" s="468">
        <v>339</v>
      </c>
      <c r="BF1688" s="468">
        <v>282</v>
      </c>
      <c r="BG1688" s="468">
        <v>275</v>
      </c>
      <c r="BH1688" s="468">
        <v>319</v>
      </c>
      <c r="BI1688" s="468">
        <v>327</v>
      </c>
      <c r="BJ1688" s="468">
        <v>293</v>
      </c>
      <c r="BK1688" s="468">
        <v>329</v>
      </c>
      <c r="BL1688" s="468">
        <v>355</v>
      </c>
      <c r="BM1688" s="468">
        <v>387</v>
      </c>
      <c r="BN1688" s="468">
        <v>361</v>
      </c>
      <c r="BO1688" s="468">
        <v>411</v>
      </c>
      <c r="BP1688" s="468">
        <v>384</v>
      </c>
      <c r="BQ1688" s="468">
        <v>380</v>
      </c>
      <c r="BR1688" s="468">
        <v>420</v>
      </c>
      <c r="BS1688" s="468">
        <v>416</v>
      </c>
      <c r="BT1688" s="468">
        <v>425</v>
      </c>
      <c r="BU1688" s="468">
        <v>373</v>
      </c>
      <c r="BV1688" s="468">
        <v>394</v>
      </c>
      <c r="BW1688" s="468">
        <v>360</v>
      </c>
      <c r="BX1688" s="468">
        <v>376</v>
      </c>
      <c r="BY1688" s="468">
        <v>402</v>
      </c>
      <c r="BZ1688" s="468">
        <v>387</v>
      </c>
      <c r="CA1688" s="468">
        <v>318</v>
      </c>
      <c r="CB1688" s="468">
        <v>301</v>
      </c>
      <c r="CC1688" s="468">
        <v>292</v>
      </c>
      <c r="CD1688" s="468">
        <v>317</v>
      </c>
      <c r="CE1688" s="468">
        <v>281</v>
      </c>
      <c r="CF1688" s="468">
        <v>286</v>
      </c>
      <c r="CG1688" s="468">
        <v>288</v>
      </c>
      <c r="CH1688" s="468">
        <v>267</v>
      </c>
      <c r="CI1688" s="468">
        <v>309</v>
      </c>
      <c r="CJ1688" s="468">
        <v>297</v>
      </c>
      <c r="CK1688" s="468">
        <v>242</v>
      </c>
      <c r="CL1688" s="468">
        <v>195</v>
      </c>
      <c r="CM1688" s="468">
        <v>213</v>
      </c>
      <c r="CN1688" s="468">
        <v>203</v>
      </c>
      <c r="CO1688" s="468">
        <v>177</v>
      </c>
      <c r="CP1688" s="468">
        <v>164</v>
      </c>
      <c r="CQ1688" s="468">
        <v>109</v>
      </c>
      <c r="CR1688" s="468">
        <v>113</v>
      </c>
      <c r="CS1688" s="468">
        <v>109</v>
      </c>
      <c r="CT1688" s="468">
        <v>113</v>
      </c>
      <c r="CU1688" s="468">
        <v>76</v>
      </c>
      <c r="CV1688" s="468">
        <v>61</v>
      </c>
      <c r="CW1688" s="468">
        <v>67</v>
      </c>
      <c r="CX1688" s="468">
        <v>42</v>
      </c>
      <c r="CY1688" s="468">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
      <c r="A1689" s="30" t="s">
        <v>34</v>
      </c>
      <c r="B1689" s="1" t="s">
        <v>437</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68">
        <v>354</v>
      </c>
      <c r="N1689" s="468">
        <v>391</v>
      </c>
      <c r="O1689" s="468">
        <v>411</v>
      </c>
      <c r="P1689" s="468">
        <v>441</v>
      </c>
      <c r="Q1689" s="468">
        <v>402</v>
      </c>
      <c r="R1689" s="468">
        <v>455</v>
      </c>
      <c r="S1689" s="468">
        <v>488</v>
      </c>
      <c r="T1689" s="468">
        <v>496</v>
      </c>
      <c r="U1689" s="468">
        <v>504</v>
      </c>
      <c r="V1689" s="468">
        <v>507</v>
      </c>
      <c r="W1689" s="468">
        <v>510</v>
      </c>
      <c r="X1689" s="468">
        <v>540</v>
      </c>
      <c r="Y1689" s="468">
        <v>542</v>
      </c>
      <c r="Z1689" s="468">
        <v>520</v>
      </c>
      <c r="AA1689" s="468">
        <v>570</v>
      </c>
      <c r="AB1689" s="468">
        <v>571</v>
      </c>
      <c r="AC1689" s="468">
        <v>576</v>
      </c>
      <c r="AD1689" s="468">
        <v>517</v>
      </c>
      <c r="AE1689" s="468">
        <v>509</v>
      </c>
      <c r="AF1689" s="468">
        <v>359</v>
      </c>
      <c r="AG1689" s="468">
        <v>271</v>
      </c>
      <c r="AH1689" s="468">
        <v>359</v>
      </c>
      <c r="AI1689" s="468">
        <v>389</v>
      </c>
      <c r="AJ1689" s="468">
        <v>436</v>
      </c>
      <c r="AK1689" s="468">
        <v>476</v>
      </c>
      <c r="AL1689" s="468">
        <v>433</v>
      </c>
      <c r="AM1689" s="468">
        <v>508</v>
      </c>
      <c r="AN1689" s="468">
        <v>469</v>
      </c>
      <c r="AO1689" s="468">
        <v>470</v>
      </c>
      <c r="AP1689" s="468">
        <v>490</v>
      </c>
      <c r="AQ1689" s="468">
        <v>454</v>
      </c>
      <c r="AR1689" s="468">
        <v>531</v>
      </c>
      <c r="AS1689" s="468">
        <v>565</v>
      </c>
      <c r="AT1689" s="468">
        <v>516</v>
      </c>
      <c r="AU1689" s="468">
        <v>515</v>
      </c>
      <c r="AV1689" s="468">
        <v>485</v>
      </c>
      <c r="AW1689" s="468">
        <v>515</v>
      </c>
      <c r="AX1689" s="468">
        <v>481</v>
      </c>
      <c r="AY1689" s="468">
        <v>486</v>
      </c>
      <c r="AZ1689" s="468">
        <v>500</v>
      </c>
      <c r="BA1689" s="468">
        <v>512</v>
      </c>
      <c r="BB1689" s="468">
        <v>485</v>
      </c>
      <c r="BC1689" s="468">
        <v>470</v>
      </c>
      <c r="BD1689" s="468">
        <v>519</v>
      </c>
      <c r="BE1689" s="468">
        <v>521</v>
      </c>
      <c r="BF1689" s="468">
        <v>468</v>
      </c>
      <c r="BG1689" s="468">
        <v>528</v>
      </c>
      <c r="BH1689" s="468">
        <v>501</v>
      </c>
      <c r="BI1689" s="468">
        <v>548</v>
      </c>
      <c r="BJ1689" s="468">
        <v>544</v>
      </c>
      <c r="BK1689" s="468">
        <v>606</v>
      </c>
      <c r="BL1689" s="468">
        <v>670</v>
      </c>
      <c r="BM1689" s="468">
        <v>705</v>
      </c>
      <c r="BN1689" s="468">
        <v>652</v>
      </c>
      <c r="BO1689" s="468">
        <v>695</v>
      </c>
      <c r="BP1689" s="468">
        <v>766</v>
      </c>
      <c r="BQ1689" s="468">
        <v>752</v>
      </c>
      <c r="BR1689" s="468">
        <v>781</v>
      </c>
      <c r="BS1689" s="468">
        <v>754</v>
      </c>
      <c r="BT1689" s="468">
        <v>756</v>
      </c>
      <c r="BU1689" s="468">
        <v>776</v>
      </c>
      <c r="BV1689" s="468">
        <v>719</v>
      </c>
      <c r="BW1689" s="468">
        <v>715</v>
      </c>
      <c r="BX1689" s="468">
        <v>664</v>
      </c>
      <c r="BY1689" s="468">
        <v>631</v>
      </c>
      <c r="BZ1689" s="468">
        <v>679</v>
      </c>
      <c r="CA1689" s="468">
        <v>623</v>
      </c>
      <c r="CB1689" s="468">
        <v>575</v>
      </c>
      <c r="CC1689" s="468">
        <v>599</v>
      </c>
      <c r="CD1689" s="468">
        <v>561</v>
      </c>
      <c r="CE1689" s="468">
        <v>597</v>
      </c>
      <c r="CF1689" s="468">
        <v>600</v>
      </c>
      <c r="CG1689" s="468">
        <v>564</v>
      </c>
      <c r="CH1689" s="468">
        <v>619</v>
      </c>
      <c r="CI1689" s="468">
        <v>586</v>
      </c>
      <c r="CJ1689" s="468">
        <v>582</v>
      </c>
      <c r="CK1689" s="468">
        <v>641</v>
      </c>
      <c r="CL1689" s="468">
        <v>477</v>
      </c>
      <c r="CM1689" s="468">
        <v>455</v>
      </c>
      <c r="CN1689" s="468">
        <v>468</v>
      </c>
      <c r="CO1689" s="468">
        <v>410</v>
      </c>
      <c r="CP1689" s="468">
        <v>349</v>
      </c>
      <c r="CQ1689" s="468">
        <v>293</v>
      </c>
      <c r="CR1689" s="468">
        <v>318</v>
      </c>
      <c r="CS1689" s="468">
        <v>263</v>
      </c>
      <c r="CT1689" s="468">
        <v>221</v>
      </c>
      <c r="CU1689" s="468">
        <v>198</v>
      </c>
      <c r="CV1689" s="468">
        <v>191</v>
      </c>
      <c r="CW1689" s="468">
        <v>149</v>
      </c>
      <c r="CX1689" s="468">
        <v>137</v>
      </c>
      <c r="CY1689" s="468">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
      <c r="A1690" s="30" t="s">
        <v>34</v>
      </c>
      <c r="B1690" s="1" t="s">
        <v>438</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68">
        <v>619</v>
      </c>
      <c r="N1690" s="468">
        <v>647</v>
      </c>
      <c r="O1690" s="468">
        <v>662</v>
      </c>
      <c r="P1690" s="468">
        <v>656</v>
      </c>
      <c r="Q1690" s="468">
        <v>714</v>
      </c>
      <c r="R1690" s="468">
        <v>779</v>
      </c>
      <c r="S1690" s="468">
        <v>782</v>
      </c>
      <c r="T1690" s="468">
        <v>821</v>
      </c>
      <c r="U1690" s="468">
        <v>822</v>
      </c>
      <c r="V1690" s="468">
        <v>830</v>
      </c>
      <c r="W1690" s="468">
        <v>797</v>
      </c>
      <c r="X1690" s="468">
        <v>927</v>
      </c>
      <c r="Y1690" s="468">
        <v>928</v>
      </c>
      <c r="Z1690" s="468">
        <v>867</v>
      </c>
      <c r="AA1690" s="468">
        <v>870</v>
      </c>
      <c r="AB1690" s="468">
        <v>876</v>
      </c>
      <c r="AC1690" s="468">
        <v>850</v>
      </c>
      <c r="AD1690" s="468">
        <v>858</v>
      </c>
      <c r="AE1690" s="468">
        <v>1006</v>
      </c>
      <c r="AF1690" s="468">
        <v>1747</v>
      </c>
      <c r="AG1690" s="468">
        <v>932</v>
      </c>
      <c r="AH1690" s="468">
        <v>866</v>
      </c>
      <c r="AI1690" s="468">
        <v>586</v>
      </c>
      <c r="AJ1690" s="468">
        <v>608</v>
      </c>
      <c r="AK1690" s="468">
        <v>672</v>
      </c>
      <c r="AL1690" s="468">
        <v>707</v>
      </c>
      <c r="AM1690" s="468">
        <v>788</v>
      </c>
      <c r="AN1690" s="468">
        <v>800</v>
      </c>
      <c r="AO1690" s="468">
        <v>814</v>
      </c>
      <c r="AP1690" s="468">
        <v>799</v>
      </c>
      <c r="AQ1690" s="468">
        <v>859</v>
      </c>
      <c r="AR1690" s="468">
        <v>911</v>
      </c>
      <c r="AS1690" s="468">
        <v>868</v>
      </c>
      <c r="AT1690" s="468">
        <v>869</v>
      </c>
      <c r="AU1690" s="468">
        <v>859</v>
      </c>
      <c r="AV1690" s="468">
        <v>835</v>
      </c>
      <c r="AW1690" s="468">
        <v>847</v>
      </c>
      <c r="AX1690" s="468">
        <v>917</v>
      </c>
      <c r="AY1690" s="468">
        <v>882</v>
      </c>
      <c r="AZ1690" s="468">
        <v>884</v>
      </c>
      <c r="BA1690" s="468">
        <v>840</v>
      </c>
      <c r="BB1690" s="468">
        <v>830</v>
      </c>
      <c r="BC1690" s="468">
        <v>824</v>
      </c>
      <c r="BD1690" s="468">
        <v>817</v>
      </c>
      <c r="BE1690" s="468">
        <v>864</v>
      </c>
      <c r="BF1690" s="468">
        <v>816</v>
      </c>
      <c r="BG1690" s="468">
        <v>750</v>
      </c>
      <c r="BH1690" s="468">
        <v>734</v>
      </c>
      <c r="BI1690" s="468">
        <v>817</v>
      </c>
      <c r="BJ1690" s="468">
        <v>770</v>
      </c>
      <c r="BK1690" s="468">
        <v>857</v>
      </c>
      <c r="BL1690" s="468">
        <v>860</v>
      </c>
      <c r="BM1690" s="468">
        <v>958</v>
      </c>
      <c r="BN1690" s="468">
        <v>900</v>
      </c>
      <c r="BO1690" s="468">
        <v>942</v>
      </c>
      <c r="BP1690" s="468">
        <v>998</v>
      </c>
      <c r="BQ1690" s="468">
        <v>956</v>
      </c>
      <c r="BR1690" s="468">
        <v>991</v>
      </c>
      <c r="BS1690" s="468">
        <v>999</v>
      </c>
      <c r="BT1690" s="468">
        <v>1046</v>
      </c>
      <c r="BU1690" s="468">
        <v>982</v>
      </c>
      <c r="BV1690" s="468">
        <v>965</v>
      </c>
      <c r="BW1690" s="468">
        <v>934</v>
      </c>
      <c r="BX1690" s="468">
        <v>956</v>
      </c>
      <c r="BY1690" s="468">
        <v>878</v>
      </c>
      <c r="BZ1690" s="468">
        <v>985</v>
      </c>
      <c r="CA1690" s="468">
        <v>869</v>
      </c>
      <c r="CB1690" s="468">
        <v>790</v>
      </c>
      <c r="CC1690" s="468">
        <v>786</v>
      </c>
      <c r="CD1690" s="468">
        <v>774</v>
      </c>
      <c r="CE1690" s="468">
        <v>795</v>
      </c>
      <c r="CF1690" s="468">
        <v>752</v>
      </c>
      <c r="CG1690" s="468">
        <v>699</v>
      </c>
      <c r="CH1690" s="468">
        <v>763</v>
      </c>
      <c r="CI1690" s="468">
        <v>726</v>
      </c>
      <c r="CJ1690" s="468">
        <v>807</v>
      </c>
      <c r="CK1690" s="468">
        <v>778</v>
      </c>
      <c r="CL1690" s="468">
        <v>554</v>
      </c>
      <c r="CM1690" s="468">
        <v>548</v>
      </c>
      <c r="CN1690" s="468">
        <v>529</v>
      </c>
      <c r="CO1690" s="468">
        <v>478</v>
      </c>
      <c r="CP1690" s="468">
        <v>413</v>
      </c>
      <c r="CQ1690" s="468">
        <v>336</v>
      </c>
      <c r="CR1690" s="468">
        <v>345</v>
      </c>
      <c r="CS1690" s="468">
        <v>292</v>
      </c>
      <c r="CT1690" s="468">
        <v>260</v>
      </c>
      <c r="CU1690" s="468">
        <v>231</v>
      </c>
      <c r="CV1690" s="468">
        <v>207</v>
      </c>
      <c r="CW1690" s="468">
        <v>150</v>
      </c>
      <c r="CX1690" s="468">
        <v>147</v>
      </c>
      <c r="CY1690" s="468">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
      <c r="A1691" s="30" t="s">
        <v>34</v>
      </c>
      <c r="B1691" s="1" t="s">
        <v>439</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68">
        <v>935</v>
      </c>
      <c r="N1691" s="468">
        <v>1016</v>
      </c>
      <c r="O1691" s="468">
        <v>1007</v>
      </c>
      <c r="P1691" s="468">
        <v>1009</v>
      </c>
      <c r="Q1691" s="468">
        <v>1067</v>
      </c>
      <c r="R1691" s="468">
        <v>1039</v>
      </c>
      <c r="S1691" s="468">
        <v>1035</v>
      </c>
      <c r="T1691" s="468">
        <v>1224</v>
      </c>
      <c r="U1691" s="468">
        <v>1104</v>
      </c>
      <c r="V1691" s="468">
        <v>1054</v>
      </c>
      <c r="W1691" s="468">
        <v>1100</v>
      </c>
      <c r="X1691" s="468">
        <v>1042</v>
      </c>
      <c r="Y1691" s="468">
        <v>1081</v>
      </c>
      <c r="Z1691" s="468">
        <v>1049</v>
      </c>
      <c r="AA1691" s="468">
        <v>1137</v>
      </c>
      <c r="AB1691" s="468">
        <v>1129</v>
      </c>
      <c r="AC1691" s="468">
        <v>958</v>
      </c>
      <c r="AD1691" s="468">
        <v>957</v>
      </c>
      <c r="AE1691" s="468">
        <v>959</v>
      </c>
      <c r="AF1691" s="468">
        <v>850</v>
      </c>
      <c r="AG1691" s="468">
        <v>751</v>
      </c>
      <c r="AH1691" s="468">
        <v>735</v>
      </c>
      <c r="AI1691" s="468">
        <v>769</v>
      </c>
      <c r="AJ1691" s="468">
        <v>894</v>
      </c>
      <c r="AK1691" s="468">
        <v>1005</v>
      </c>
      <c r="AL1691" s="468">
        <v>1025</v>
      </c>
      <c r="AM1691" s="468">
        <v>1092</v>
      </c>
      <c r="AN1691" s="468">
        <v>1091</v>
      </c>
      <c r="AO1691" s="468">
        <v>1099</v>
      </c>
      <c r="AP1691" s="468">
        <v>1142</v>
      </c>
      <c r="AQ1691" s="468">
        <v>1308</v>
      </c>
      <c r="AR1691" s="468">
        <v>1286</v>
      </c>
      <c r="AS1691" s="468">
        <v>1324</v>
      </c>
      <c r="AT1691" s="468">
        <v>1217</v>
      </c>
      <c r="AU1691" s="468">
        <v>1325</v>
      </c>
      <c r="AV1691" s="468">
        <v>1387</v>
      </c>
      <c r="AW1691" s="468">
        <v>1245</v>
      </c>
      <c r="AX1691" s="468">
        <v>1190</v>
      </c>
      <c r="AY1691" s="468">
        <v>1291</v>
      </c>
      <c r="AZ1691" s="468">
        <v>1168</v>
      </c>
      <c r="BA1691" s="468">
        <v>1049</v>
      </c>
      <c r="BB1691" s="468">
        <v>1062</v>
      </c>
      <c r="BC1691" s="468">
        <v>1069</v>
      </c>
      <c r="BD1691" s="468">
        <v>1123</v>
      </c>
      <c r="BE1691" s="468">
        <v>1050</v>
      </c>
      <c r="BF1691" s="468">
        <v>962</v>
      </c>
      <c r="BG1691" s="468">
        <v>915</v>
      </c>
      <c r="BH1691" s="468">
        <v>925</v>
      </c>
      <c r="BI1691" s="468">
        <v>956</v>
      </c>
      <c r="BJ1691" s="468">
        <v>945</v>
      </c>
      <c r="BK1691" s="468">
        <v>1005</v>
      </c>
      <c r="BL1691" s="468">
        <v>980</v>
      </c>
      <c r="BM1691" s="468">
        <v>1087</v>
      </c>
      <c r="BN1691" s="468">
        <v>1072</v>
      </c>
      <c r="BO1691" s="468">
        <v>1118</v>
      </c>
      <c r="BP1691" s="468">
        <v>929</v>
      </c>
      <c r="BQ1691" s="468">
        <v>1068</v>
      </c>
      <c r="BR1691" s="468">
        <v>1043</v>
      </c>
      <c r="BS1691" s="468">
        <v>1035</v>
      </c>
      <c r="BT1691" s="468">
        <v>1016</v>
      </c>
      <c r="BU1691" s="468">
        <v>1017</v>
      </c>
      <c r="BV1691" s="468">
        <v>915</v>
      </c>
      <c r="BW1691" s="468">
        <v>967</v>
      </c>
      <c r="BX1691" s="468">
        <v>878</v>
      </c>
      <c r="BY1691" s="468">
        <v>955</v>
      </c>
      <c r="BZ1691" s="468">
        <v>826</v>
      </c>
      <c r="CA1691" s="468">
        <v>782</v>
      </c>
      <c r="CB1691" s="468">
        <v>662</v>
      </c>
      <c r="CC1691" s="468">
        <v>663</v>
      </c>
      <c r="CD1691" s="468">
        <v>706</v>
      </c>
      <c r="CE1691" s="468">
        <v>734</v>
      </c>
      <c r="CF1691" s="468">
        <v>662</v>
      </c>
      <c r="CG1691" s="468">
        <v>588</v>
      </c>
      <c r="CH1691" s="468">
        <v>632</v>
      </c>
      <c r="CI1691" s="468">
        <v>601</v>
      </c>
      <c r="CJ1691" s="468">
        <v>678</v>
      </c>
      <c r="CK1691" s="468">
        <v>722</v>
      </c>
      <c r="CL1691" s="468">
        <v>491</v>
      </c>
      <c r="CM1691" s="468">
        <v>489</v>
      </c>
      <c r="CN1691" s="468">
        <v>471</v>
      </c>
      <c r="CO1691" s="468">
        <v>428</v>
      </c>
      <c r="CP1691" s="468">
        <v>358</v>
      </c>
      <c r="CQ1691" s="468">
        <v>296</v>
      </c>
      <c r="CR1691" s="468">
        <v>291</v>
      </c>
      <c r="CS1691" s="468">
        <v>281</v>
      </c>
      <c r="CT1691" s="468">
        <v>226</v>
      </c>
      <c r="CU1691" s="468">
        <v>209</v>
      </c>
      <c r="CV1691" s="468">
        <v>199</v>
      </c>
      <c r="CW1691" s="468">
        <v>141</v>
      </c>
      <c r="CX1691" s="468">
        <v>118</v>
      </c>
      <c r="CY1691" s="468">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
      <c r="A1692" s="30" t="s">
        <v>34</v>
      </c>
      <c r="B1692" s="1" t="s">
        <v>440</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68">
        <v>527</v>
      </c>
      <c r="N1692" s="468">
        <v>557</v>
      </c>
      <c r="O1692" s="468">
        <v>555</v>
      </c>
      <c r="P1692" s="468">
        <v>581</v>
      </c>
      <c r="Q1692" s="468">
        <v>606</v>
      </c>
      <c r="R1692" s="468">
        <v>651</v>
      </c>
      <c r="S1692" s="468">
        <v>642</v>
      </c>
      <c r="T1692" s="468">
        <v>679</v>
      </c>
      <c r="U1692" s="468">
        <v>704</v>
      </c>
      <c r="V1692" s="468">
        <v>714</v>
      </c>
      <c r="W1692" s="468">
        <v>705</v>
      </c>
      <c r="X1692" s="468">
        <v>709</v>
      </c>
      <c r="Y1692" s="468">
        <v>757</v>
      </c>
      <c r="Z1692" s="468">
        <v>735</v>
      </c>
      <c r="AA1692" s="468">
        <v>698</v>
      </c>
      <c r="AB1692" s="468">
        <v>780</v>
      </c>
      <c r="AC1692" s="468">
        <v>696</v>
      </c>
      <c r="AD1692" s="468">
        <v>764</v>
      </c>
      <c r="AE1692" s="468">
        <v>721</v>
      </c>
      <c r="AF1692" s="468">
        <v>587</v>
      </c>
      <c r="AG1692" s="468">
        <v>490</v>
      </c>
      <c r="AH1692" s="468">
        <v>500</v>
      </c>
      <c r="AI1692" s="468">
        <v>596</v>
      </c>
      <c r="AJ1692" s="468">
        <v>641</v>
      </c>
      <c r="AK1692" s="468">
        <v>603</v>
      </c>
      <c r="AL1692" s="468">
        <v>650</v>
      </c>
      <c r="AM1692" s="468">
        <v>669</v>
      </c>
      <c r="AN1692" s="468">
        <v>616</v>
      </c>
      <c r="AO1692" s="468">
        <v>532</v>
      </c>
      <c r="AP1692" s="468">
        <v>583</v>
      </c>
      <c r="AQ1692" s="468">
        <v>655</v>
      </c>
      <c r="AR1692" s="468">
        <v>732</v>
      </c>
      <c r="AS1692" s="468">
        <v>702</v>
      </c>
      <c r="AT1692" s="468">
        <v>647</v>
      </c>
      <c r="AU1692" s="468">
        <v>607</v>
      </c>
      <c r="AV1692" s="468">
        <v>714</v>
      </c>
      <c r="AW1692" s="468">
        <v>658</v>
      </c>
      <c r="AX1692" s="468">
        <v>651</v>
      </c>
      <c r="AY1692" s="468">
        <v>619</v>
      </c>
      <c r="AZ1692" s="468">
        <v>628</v>
      </c>
      <c r="BA1692" s="468">
        <v>616</v>
      </c>
      <c r="BB1692" s="468">
        <v>626</v>
      </c>
      <c r="BC1692" s="468">
        <v>619</v>
      </c>
      <c r="BD1692" s="468">
        <v>667</v>
      </c>
      <c r="BE1692" s="468">
        <v>608</v>
      </c>
      <c r="BF1692" s="468">
        <v>582</v>
      </c>
      <c r="BG1692" s="468">
        <v>557</v>
      </c>
      <c r="BH1692" s="468">
        <v>583</v>
      </c>
      <c r="BI1692" s="468">
        <v>621</v>
      </c>
      <c r="BJ1692" s="468">
        <v>660</v>
      </c>
      <c r="BK1692" s="468">
        <v>725</v>
      </c>
      <c r="BL1692" s="468">
        <v>748</v>
      </c>
      <c r="BM1692" s="468">
        <v>771</v>
      </c>
      <c r="BN1692" s="468">
        <v>821</v>
      </c>
      <c r="BO1692" s="468">
        <v>820</v>
      </c>
      <c r="BP1692" s="468">
        <v>859</v>
      </c>
      <c r="BQ1692" s="468">
        <v>918</v>
      </c>
      <c r="BR1692" s="468">
        <v>929</v>
      </c>
      <c r="BS1692" s="468">
        <v>940</v>
      </c>
      <c r="BT1692" s="468">
        <v>906</v>
      </c>
      <c r="BU1692" s="468">
        <v>1025</v>
      </c>
      <c r="BV1692" s="468">
        <v>987</v>
      </c>
      <c r="BW1692" s="468">
        <v>922</v>
      </c>
      <c r="BX1692" s="468">
        <v>902</v>
      </c>
      <c r="BY1692" s="468">
        <v>979</v>
      </c>
      <c r="BZ1692" s="468">
        <v>904</v>
      </c>
      <c r="CA1692" s="468">
        <v>858</v>
      </c>
      <c r="CB1692" s="468">
        <v>861</v>
      </c>
      <c r="CC1692" s="468">
        <v>859</v>
      </c>
      <c r="CD1692" s="468">
        <v>881</v>
      </c>
      <c r="CE1692" s="468">
        <v>858</v>
      </c>
      <c r="CF1692" s="468">
        <v>788</v>
      </c>
      <c r="CG1692" s="468">
        <v>819</v>
      </c>
      <c r="CH1692" s="468">
        <v>819</v>
      </c>
      <c r="CI1692" s="468">
        <v>769</v>
      </c>
      <c r="CJ1692" s="468">
        <v>808</v>
      </c>
      <c r="CK1692" s="468">
        <v>861</v>
      </c>
      <c r="CL1692" s="468">
        <v>588</v>
      </c>
      <c r="CM1692" s="468">
        <v>613</v>
      </c>
      <c r="CN1692" s="468">
        <v>589</v>
      </c>
      <c r="CO1692" s="468">
        <v>511</v>
      </c>
      <c r="CP1692" s="468">
        <v>462</v>
      </c>
      <c r="CQ1692" s="468">
        <v>433</v>
      </c>
      <c r="CR1692" s="468">
        <v>384</v>
      </c>
      <c r="CS1692" s="468">
        <v>345</v>
      </c>
      <c r="CT1692" s="468">
        <v>297</v>
      </c>
      <c r="CU1692" s="468">
        <v>234</v>
      </c>
      <c r="CV1692" s="468">
        <v>223</v>
      </c>
      <c r="CW1692" s="468">
        <v>188</v>
      </c>
      <c r="CX1692" s="468">
        <v>113</v>
      </c>
      <c r="CY1692" s="468">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
      <c r="A1693" s="30" t="s">
        <v>34</v>
      </c>
      <c r="B1693" s="1" t="s">
        <v>441</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68">
        <v>500</v>
      </c>
      <c r="N1693" s="468">
        <v>567</v>
      </c>
      <c r="O1693" s="468">
        <v>567</v>
      </c>
      <c r="P1693" s="468">
        <v>565</v>
      </c>
      <c r="Q1693" s="468">
        <v>628</v>
      </c>
      <c r="R1693" s="468">
        <v>679</v>
      </c>
      <c r="S1693" s="468">
        <v>663</v>
      </c>
      <c r="T1693" s="468">
        <v>649</v>
      </c>
      <c r="U1693" s="468">
        <v>706</v>
      </c>
      <c r="V1693" s="468">
        <v>704</v>
      </c>
      <c r="W1693" s="468">
        <v>721</v>
      </c>
      <c r="X1693" s="468">
        <v>696</v>
      </c>
      <c r="Y1693" s="468">
        <v>721</v>
      </c>
      <c r="Z1693" s="468">
        <v>714</v>
      </c>
      <c r="AA1693" s="468">
        <v>729</v>
      </c>
      <c r="AB1693" s="468">
        <v>832</v>
      </c>
      <c r="AC1693" s="468">
        <v>724</v>
      </c>
      <c r="AD1693" s="468">
        <v>726</v>
      </c>
      <c r="AE1693" s="468">
        <v>743</v>
      </c>
      <c r="AF1693" s="468">
        <v>546</v>
      </c>
      <c r="AG1693" s="468">
        <v>499</v>
      </c>
      <c r="AH1693" s="468">
        <v>488</v>
      </c>
      <c r="AI1693" s="468">
        <v>542</v>
      </c>
      <c r="AJ1693" s="468">
        <v>618</v>
      </c>
      <c r="AK1693" s="468">
        <v>731</v>
      </c>
      <c r="AL1693" s="468">
        <v>629</v>
      </c>
      <c r="AM1693" s="468">
        <v>657</v>
      </c>
      <c r="AN1693" s="468">
        <v>702</v>
      </c>
      <c r="AO1693" s="468">
        <v>637</v>
      </c>
      <c r="AP1693" s="468">
        <v>685</v>
      </c>
      <c r="AQ1693" s="468">
        <v>668</v>
      </c>
      <c r="AR1693" s="468">
        <v>675</v>
      </c>
      <c r="AS1693" s="468">
        <v>697</v>
      </c>
      <c r="AT1693" s="468">
        <v>686</v>
      </c>
      <c r="AU1693" s="468">
        <v>676</v>
      </c>
      <c r="AV1693" s="468">
        <v>708</v>
      </c>
      <c r="AW1693" s="468">
        <v>618</v>
      </c>
      <c r="AX1693" s="468">
        <v>646</v>
      </c>
      <c r="AY1693" s="468">
        <v>707</v>
      </c>
      <c r="AZ1693" s="468">
        <v>646</v>
      </c>
      <c r="BA1693" s="468">
        <v>628</v>
      </c>
      <c r="BB1693" s="468">
        <v>688</v>
      </c>
      <c r="BC1693" s="468">
        <v>664</v>
      </c>
      <c r="BD1693" s="468">
        <v>683</v>
      </c>
      <c r="BE1693" s="468">
        <v>662</v>
      </c>
      <c r="BF1693" s="468">
        <v>629</v>
      </c>
      <c r="BG1693" s="468">
        <v>651</v>
      </c>
      <c r="BH1693" s="468">
        <v>664</v>
      </c>
      <c r="BI1693" s="468">
        <v>737</v>
      </c>
      <c r="BJ1693" s="468">
        <v>727</v>
      </c>
      <c r="BK1693" s="468">
        <v>742</v>
      </c>
      <c r="BL1693" s="468">
        <v>939</v>
      </c>
      <c r="BM1693" s="468">
        <v>931</v>
      </c>
      <c r="BN1693" s="468">
        <v>885</v>
      </c>
      <c r="BO1693" s="468">
        <v>995</v>
      </c>
      <c r="BP1693" s="468">
        <v>947</v>
      </c>
      <c r="BQ1693" s="468">
        <v>1071</v>
      </c>
      <c r="BR1693" s="468">
        <v>1051</v>
      </c>
      <c r="BS1693" s="468">
        <v>1105</v>
      </c>
      <c r="BT1693" s="468">
        <v>1052</v>
      </c>
      <c r="BU1693" s="468">
        <v>1097</v>
      </c>
      <c r="BV1693" s="468">
        <v>1105</v>
      </c>
      <c r="BW1693" s="468">
        <v>1093</v>
      </c>
      <c r="BX1693" s="468">
        <v>1092</v>
      </c>
      <c r="BY1693" s="468">
        <v>1073</v>
      </c>
      <c r="BZ1693" s="468">
        <v>974</v>
      </c>
      <c r="CA1693" s="468">
        <v>1011</v>
      </c>
      <c r="CB1693" s="468">
        <v>1034</v>
      </c>
      <c r="CC1693" s="468">
        <v>919</v>
      </c>
      <c r="CD1693" s="468">
        <v>973</v>
      </c>
      <c r="CE1693" s="468">
        <v>971</v>
      </c>
      <c r="CF1693" s="468">
        <v>935</v>
      </c>
      <c r="CG1693" s="468">
        <v>898</v>
      </c>
      <c r="CH1693" s="468">
        <v>940</v>
      </c>
      <c r="CI1693" s="468">
        <v>949</v>
      </c>
      <c r="CJ1693" s="468">
        <v>1019</v>
      </c>
      <c r="CK1693" s="468">
        <v>991</v>
      </c>
      <c r="CL1693" s="468">
        <v>736</v>
      </c>
      <c r="CM1693" s="468">
        <v>674</v>
      </c>
      <c r="CN1693" s="468">
        <v>776</v>
      </c>
      <c r="CO1693" s="468">
        <v>629</v>
      </c>
      <c r="CP1693" s="468">
        <v>531</v>
      </c>
      <c r="CQ1693" s="468">
        <v>455</v>
      </c>
      <c r="CR1693" s="468">
        <v>447</v>
      </c>
      <c r="CS1693" s="468">
        <v>377</v>
      </c>
      <c r="CT1693" s="468">
        <v>377</v>
      </c>
      <c r="CU1693" s="468">
        <v>326</v>
      </c>
      <c r="CV1693" s="468">
        <v>256</v>
      </c>
      <c r="CW1693" s="468">
        <v>251</v>
      </c>
      <c r="CX1693" s="468">
        <v>205</v>
      </c>
      <c r="CY1693" s="468">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
      <c r="A1694" s="30" t="s">
        <v>34</v>
      </c>
      <c r="B1694" s="1" t="s">
        <v>442</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68">
        <v>1140</v>
      </c>
      <c r="N1694" s="468">
        <v>1193</v>
      </c>
      <c r="O1694" s="468">
        <v>1210</v>
      </c>
      <c r="P1694" s="468">
        <v>1259</v>
      </c>
      <c r="Q1694" s="468">
        <v>1323</v>
      </c>
      <c r="R1694" s="468">
        <v>1394</v>
      </c>
      <c r="S1694" s="468">
        <v>1347</v>
      </c>
      <c r="T1694" s="468">
        <v>1353</v>
      </c>
      <c r="U1694" s="468">
        <v>1441</v>
      </c>
      <c r="V1694" s="468">
        <v>1459</v>
      </c>
      <c r="W1694" s="468">
        <v>1469</v>
      </c>
      <c r="X1694" s="468">
        <v>1475</v>
      </c>
      <c r="Y1694" s="468">
        <v>1526</v>
      </c>
      <c r="Z1694" s="468">
        <v>1426</v>
      </c>
      <c r="AA1694" s="468">
        <v>1603</v>
      </c>
      <c r="AB1694" s="468">
        <v>1474</v>
      </c>
      <c r="AC1694" s="468">
        <v>1488</v>
      </c>
      <c r="AD1694" s="468">
        <v>1401</v>
      </c>
      <c r="AE1694" s="468">
        <v>1439</v>
      </c>
      <c r="AF1694" s="468">
        <v>1327</v>
      </c>
      <c r="AG1694" s="468">
        <v>1440</v>
      </c>
      <c r="AH1694" s="468">
        <v>1440</v>
      </c>
      <c r="AI1694" s="468">
        <v>1500</v>
      </c>
      <c r="AJ1694" s="468">
        <v>1367</v>
      </c>
      <c r="AK1694" s="468">
        <v>1559</v>
      </c>
      <c r="AL1694" s="468">
        <v>1408</v>
      </c>
      <c r="AM1694" s="468">
        <v>1581</v>
      </c>
      <c r="AN1694" s="468">
        <v>1460</v>
      </c>
      <c r="AO1694" s="468">
        <v>1582</v>
      </c>
      <c r="AP1694" s="468">
        <v>1538</v>
      </c>
      <c r="AQ1694" s="468">
        <v>1616</v>
      </c>
      <c r="AR1694" s="468">
        <v>1610</v>
      </c>
      <c r="AS1694" s="468">
        <v>1537</v>
      </c>
      <c r="AT1694" s="468">
        <v>1739</v>
      </c>
      <c r="AU1694" s="468">
        <v>1696</v>
      </c>
      <c r="AV1694" s="468">
        <v>1559</v>
      </c>
      <c r="AW1694" s="468">
        <v>1589</v>
      </c>
      <c r="AX1694" s="468">
        <v>1564</v>
      </c>
      <c r="AY1694" s="468">
        <v>1593</v>
      </c>
      <c r="AZ1694" s="468">
        <v>1551</v>
      </c>
      <c r="BA1694" s="468">
        <v>1502</v>
      </c>
      <c r="BB1694" s="468">
        <v>1496</v>
      </c>
      <c r="BC1694" s="468">
        <v>1401</v>
      </c>
      <c r="BD1694" s="468">
        <v>1480</v>
      </c>
      <c r="BE1694" s="468">
        <v>1460</v>
      </c>
      <c r="BF1694" s="468">
        <v>1318</v>
      </c>
      <c r="BG1694" s="468">
        <v>1264</v>
      </c>
      <c r="BH1694" s="468">
        <v>1238</v>
      </c>
      <c r="BI1694" s="468">
        <v>1355</v>
      </c>
      <c r="BJ1694" s="468">
        <v>1271</v>
      </c>
      <c r="BK1694" s="468">
        <v>1523</v>
      </c>
      <c r="BL1694" s="468">
        <v>1620</v>
      </c>
      <c r="BM1694" s="468">
        <v>1690</v>
      </c>
      <c r="BN1694" s="468">
        <v>1562</v>
      </c>
      <c r="BO1694" s="468">
        <v>1621</v>
      </c>
      <c r="BP1694" s="468">
        <v>1659</v>
      </c>
      <c r="BQ1694" s="468">
        <v>1650</v>
      </c>
      <c r="BR1694" s="468">
        <v>1681</v>
      </c>
      <c r="BS1694" s="468">
        <v>1724</v>
      </c>
      <c r="BT1694" s="468">
        <v>1621</v>
      </c>
      <c r="BU1694" s="468">
        <v>1572</v>
      </c>
      <c r="BV1694" s="468">
        <v>1600</v>
      </c>
      <c r="BW1694" s="468">
        <v>1483</v>
      </c>
      <c r="BX1694" s="468">
        <v>1337</v>
      </c>
      <c r="BY1694" s="468">
        <v>1422</v>
      </c>
      <c r="BZ1694" s="468">
        <v>1370</v>
      </c>
      <c r="CA1694" s="468">
        <v>1353</v>
      </c>
      <c r="CB1694" s="468">
        <v>1253</v>
      </c>
      <c r="CC1694" s="468">
        <v>1168</v>
      </c>
      <c r="CD1694" s="468">
        <v>1192</v>
      </c>
      <c r="CE1694" s="468">
        <v>1131</v>
      </c>
      <c r="CF1694" s="468">
        <v>1211</v>
      </c>
      <c r="CG1694" s="468">
        <v>1146</v>
      </c>
      <c r="CH1694" s="468">
        <v>1188</v>
      </c>
      <c r="CI1694" s="468">
        <v>1207</v>
      </c>
      <c r="CJ1694" s="468">
        <v>1233</v>
      </c>
      <c r="CK1694" s="468">
        <v>1235</v>
      </c>
      <c r="CL1694" s="468">
        <v>1028</v>
      </c>
      <c r="CM1694" s="468">
        <v>956</v>
      </c>
      <c r="CN1694" s="468">
        <v>790</v>
      </c>
      <c r="CO1694" s="468">
        <v>668</v>
      </c>
      <c r="CP1694" s="468">
        <v>634</v>
      </c>
      <c r="CQ1694" s="468">
        <v>539</v>
      </c>
      <c r="CR1694" s="468">
        <v>489</v>
      </c>
      <c r="CS1694" s="468">
        <v>429</v>
      </c>
      <c r="CT1694" s="468">
        <v>400</v>
      </c>
      <c r="CU1694" s="468">
        <v>325</v>
      </c>
      <c r="CV1694" s="468">
        <v>310</v>
      </c>
      <c r="CW1694" s="468">
        <v>259</v>
      </c>
      <c r="CX1694" s="468">
        <v>199</v>
      </c>
      <c r="CY1694" s="468">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
      <c r="A1695" s="30" t="s">
        <v>34</v>
      </c>
      <c r="B1695" s="1" t="s">
        <v>443</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68">
        <v>1058</v>
      </c>
      <c r="N1695" s="468">
        <v>1165</v>
      </c>
      <c r="O1695" s="468">
        <v>1112</v>
      </c>
      <c r="P1695" s="468">
        <v>1172</v>
      </c>
      <c r="Q1695" s="468">
        <v>1276</v>
      </c>
      <c r="R1695" s="468">
        <v>1280</v>
      </c>
      <c r="S1695" s="468">
        <v>1294</v>
      </c>
      <c r="T1695" s="468">
        <v>1422</v>
      </c>
      <c r="U1695" s="468">
        <v>1400</v>
      </c>
      <c r="V1695" s="468">
        <v>1380</v>
      </c>
      <c r="W1695" s="468">
        <v>1437</v>
      </c>
      <c r="X1695" s="468">
        <v>1491</v>
      </c>
      <c r="Y1695" s="468">
        <v>1515</v>
      </c>
      <c r="Z1695" s="468">
        <v>1424</v>
      </c>
      <c r="AA1695" s="468">
        <v>1475</v>
      </c>
      <c r="AB1695" s="468">
        <v>1559</v>
      </c>
      <c r="AC1695" s="468">
        <v>1400</v>
      </c>
      <c r="AD1695" s="468">
        <v>1416</v>
      </c>
      <c r="AE1695" s="468">
        <v>1531</v>
      </c>
      <c r="AF1695" s="468">
        <v>1930</v>
      </c>
      <c r="AG1695" s="468">
        <v>2567</v>
      </c>
      <c r="AH1695" s="468">
        <v>2891</v>
      </c>
      <c r="AI1695" s="468">
        <v>2711</v>
      </c>
      <c r="AJ1695" s="468">
        <v>2259</v>
      </c>
      <c r="AK1695" s="468">
        <v>1905</v>
      </c>
      <c r="AL1695" s="468">
        <v>1512</v>
      </c>
      <c r="AM1695" s="468">
        <v>1601</v>
      </c>
      <c r="AN1695" s="468">
        <v>1579</v>
      </c>
      <c r="AO1695" s="468">
        <v>1461</v>
      </c>
      <c r="AP1695" s="468">
        <v>1487</v>
      </c>
      <c r="AQ1695" s="468">
        <v>1489</v>
      </c>
      <c r="AR1695" s="468">
        <v>1578</v>
      </c>
      <c r="AS1695" s="468">
        <v>1618</v>
      </c>
      <c r="AT1695" s="468">
        <v>1710</v>
      </c>
      <c r="AU1695" s="468">
        <v>1510</v>
      </c>
      <c r="AV1695" s="468">
        <v>1561</v>
      </c>
      <c r="AW1695" s="468">
        <v>1551</v>
      </c>
      <c r="AX1695" s="468">
        <v>1529</v>
      </c>
      <c r="AY1695" s="468">
        <v>1639</v>
      </c>
      <c r="AZ1695" s="468">
        <v>1427</v>
      </c>
      <c r="BA1695" s="468">
        <v>1494</v>
      </c>
      <c r="BB1695" s="468">
        <v>1424</v>
      </c>
      <c r="BC1695" s="468">
        <v>1458</v>
      </c>
      <c r="BD1695" s="468">
        <v>1607</v>
      </c>
      <c r="BE1695" s="468">
        <v>1342</v>
      </c>
      <c r="BF1695" s="468">
        <v>1281</v>
      </c>
      <c r="BG1695" s="468">
        <v>1291</v>
      </c>
      <c r="BH1695" s="468">
        <v>1360</v>
      </c>
      <c r="BI1695" s="468">
        <v>1382</v>
      </c>
      <c r="BJ1695" s="468">
        <v>1354</v>
      </c>
      <c r="BK1695" s="468">
        <v>1335</v>
      </c>
      <c r="BL1695" s="468">
        <v>1459</v>
      </c>
      <c r="BM1695" s="468">
        <v>1490</v>
      </c>
      <c r="BN1695" s="468">
        <v>1528</v>
      </c>
      <c r="BO1695" s="468">
        <v>1692</v>
      </c>
      <c r="BP1695" s="468">
        <v>1545</v>
      </c>
      <c r="BQ1695" s="468">
        <v>1520</v>
      </c>
      <c r="BR1695" s="468">
        <v>1533</v>
      </c>
      <c r="BS1695" s="468">
        <v>1670</v>
      </c>
      <c r="BT1695" s="468">
        <v>1629</v>
      </c>
      <c r="BU1695" s="468">
        <v>1477</v>
      </c>
      <c r="BV1695" s="468">
        <v>1504</v>
      </c>
      <c r="BW1695" s="468">
        <v>1450</v>
      </c>
      <c r="BX1695" s="468">
        <v>1418</v>
      </c>
      <c r="BY1695" s="468">
        <v>1382</v>
      </c>
      <c r="BZ1695" s="468">
        <v>1341</v>
      </c>
      <c r="CA1695" s="468">
        <v>1262</v>
      </c>
      <c r="CB1695" s="468">
        <v>1231</v>
      </c>
      <c r="CC1695" s="468">
        <v>1184</v>
      </c>
      <c r="CD1695" s="468">
        <v>1167</v>
      </c>
      <c r="CE1695" s="468">
        <v>1199</v>
      </c>
      <c r="CF1695" s="468">
        <v>1144</v>
      </c>
      <c r="CG1695" s="468">
        <v>1062</v>
      </c>
      <c r="CH1695" s="468">
        <v>1162</v>
      </c>
      <c r="CI1695" s="468">
        <v>1152</v>
      </c>
      <c r="CJ1695" s="468">
        <v>1198</v>
      </c>
      <c r="CK1695" s="468">
        <v>1296</v>
      </c>
      <c r="CL1695" s="468">
        <v>839</v>
      </c>
      <c r="CM1695" s="468">
        <v>878</v>
      </c>
      <c r="CN1695" s="468">
        <v>862</v>
      </c>
      <c r="CO1695" s="468">
        <v>807</v>
      </c>
      <c r="CP1695" s="468">
        <v>699</v>
      </c>
      <c r="CQ1695" s="468">
        <v>561</v>
      </c>
      <c r="CR1695" s="468">
        <v>554</v>
      </c>
      <c r="CS1695" s="468">
        <v>483</v>
      </c>
      <c r="CT1695" s="468">
        <v>465</v>
      </c>
      <c r="CU1695" s="468">
        <v>399</v>
      </c>
      <c r="CV1695" s="468">
        <v>354</v>
      </c>
      <c r="CW1695" s="468">
        <v>304</v>
      </c>
      <c r="CX1695" s="468">
        <v>227</v>
      </c>
      <c r="CY1695" s="468">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
      <c r="A1696" s="30" t="s">
        <v>34</v>
      </c>
      <c r="B1696" s="1" t="s">
        <v>444</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68">
        <v>488</v>
      </c>
      <c r="N1696" s="468">
        <v>536</v>
      </c>
      <c r="O1696" s="468">
        <v>477</v>
      </c>
      <c r="P1696" s="468">
        <v>559</v>
      </c>
      <c r="Q1696" s="468">
        <v>552</v>
      </c>
      <c r="R1696" s="468">
        <v>510</v>
      </c>
      <c r="S1696" s="468">
        <v>560</v>
      </c>
      <c r="T1696" s="468">
        <v>595</v>
      </c>
      <c r="U1696" s="468">
        <v>520</v>
      </c>
      <c r="V1696" s="468">
        <v>560</v>
      </c>
      <c r="W1696" s="468">
        <v>568</v>
      </c>
      <c r="X1696" s="468">
        <v>600</v>
      </c>
      <c r="Y1696" s="468">
        <v>617</v>
      </c>
      <c r="Z1696" s="468">
        <v>583</v>
      </c>
      <c r="AA1696" s="468">
        <v>632</v>
      </c>
      <c r="AB1696" s="468">
        <v>587</v>
      </c>
      <c r="AC1696" s="468">
        <v>566</v>
      </c>
      <c r="AD1696" s="468">
        <v>602</v>
      </c>
      <c r="AE1696" s="468">
        <v>574</v>
      </c>
      <c r="AF1696" s="468">
        <v>433</v>
      </c>
      <c r="AG1696" s="468">
        <v>417</v>
      </c>
      <c r="AH1696" s="468">
        <v>415</v>
      </c>
      <c r="AI1696" s="468">
        <v>426</v>
      </c>
      <c r="AJ1696" s="468">
        <v>473</v>
      </c>
      <c r="AK1696" s="468">
        <v>478</v>
      </c>
      <c r="AL1696" s="468">
        <v>522</v>
      </c>
      <c r="AM1696" s="468">
        <v>600</v>
      </c>
      <c r="AN1696" s="468">
        <v>548</v>
      </c>
      <c r="AO1696" s="468">
        <v>607</v>
      </c>
      <c r="AP1696" s="468">
        <v>562</v>
      </c>
      <c r="AQ1696" s="468">
        <v>542</v>
      </c>
      <c r="AR1696" s="468">
        <v>610</v>
      </c>
      <c r="AS1696" s="468">
        <v>637</v>
      </c>
      <c r="AT1696" s="468">
        <v>624</v>
      </c>
      <c r="AU1696" s="468">
        <v>628</v>
      </c>
      <c r="AV1696" s="468">
        <v>575</v>
      </c>
      <c r="AW1696" s="468">
        <v>605</v>
      </c>
      <c r="AX1696" s="468">
        <v>611</v>
      </c>
      <c r="AY1696" s="468">
        <v>580</v>
      </c>
      <c r="AZ1696" s="468">
        <v>541</v>
      </c>
      <c r="BA1696" s="468">
        <v>549</v>
      </c>
      <c r="BB1696" s="468">
        <v>563</v>
      </c>
      <c r="BC1696" s="468">
        <v>482</v>
      </c>
      <c r="BD1696" s="468">
        <v>532</v>
      </c>
      <c r="BE1696" s="468">
        <v>542</v>
      </c>
      <c r="BF1696" s="468">
        <v>440</v>
      </c>
      <c r="BG1696" s="468">
        <v>519</v>
      </c>
      <c r="BH1696" s="468">
        <v>436</v>
      </c>
      <c r="BI1696" s="468">
        <v>496</v>
      </c>
      <c r="BJ1696" s="468">
        <v>490</v>
      </c>
      <c r="BK1696" s="468">
        <v>555</v>
      </c>
      <c r="BL1696" s="468">
        <v>579</v>
      </c>
      <c r="BM1696" s="468">
        <v>638</v>
      </c>
      <c r="BN1696" s="468">
        <v>629</v>
      </c>
      <c r="BO1696" s="468">
        <v>591</v>
      </c>
      <c r="BP1696" s="468">
        <v>589</v>
      </c>
      <c r="BQ1696" s="468">
        <v>629</v>
      </c>
      <c r="BR1696" s="468">
        <v>632</v>
      </c>
      <c r="BS1696" s="468">
        <v>712</v>
      </c>
      <c r="BT1696" s="468">
        <v>639</v>
      </c>
      <c r="BU1696" s="468">
        <v>673</v>
      </c>
      <c r="BV1696" s="468">
        <v>662</v>
      </c>
      <c r="BW1696" s="468">
        <v>647</v>
      </c>
      <c r="BX1696" s="468">
        <v>569</v>
      </c>
      <c r="BY1696" s="468">
        <v>570</v>
      </c>
      <c r="BZ1696" s="468">
        <v>582</v>
      </c>
      <c r="CA1696" s="468">
        <v>509</v>
      </c>
      <c r="CB1696" s="468">
        <v>481</v>
      </c>
      <c r="CC1696" s="468">
        <v>468</v>
      </c>
      <c r="CD1696" s="468">
        <v>525</v>
      </c>
      <c r="CE1696" s="468">
        <v>460</v>
      </c>
      <c r="CF1696" s="468">
        <v>473</v>
      </c>
      <c r="CG1696" s="468">
        <v>453</v>
      </c>
      <c r="CH1696" s="468">
        <v>449</v>
      </c>
      <c r="CI1696" s="468">
        <v>461</v>
      </c>
      <c r="CJ1696" s="468">
        <v>450</v>
      </c>
      <c r="CK1696" s="468">
        <v>525</v>
      </c>
      <c r="CL1696" s="468">
        <v>373</v>
      </c>
      <c r="CM1696" s="468">
        <v>376</v>
      </c>
      <c r="CN1696" s="468">
        <v>334</v>
      </c>
      <c r="CO1696" s="468">
        <v>283</v>
      </c>
      <c r="CP1696" s="468">
        <v>254</v>
      </c>
      <c r="CQ1696" s="468">
        <v>226</v>
      </c>
      <c r="CR1696" s="468">
        <v>201</v>
      </c>
      <c r="CS1696" s="468">
        <v>207</v>
      </c>
      <c r="CT1696" s="468">
        <v>181</v>
      </c>
      <c r="CU1696" s="468">
        <v>135</v>
      </c>
      <c r="CV1696" s="468">
        <v>127</v>
      </c>
      <c r="CW1696" s="468">
        <v>100</v>
      </c>
      <c r="CX1696" s="468">
        <v>101</v>
      </c>
      <c r="CY1696" s="468">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
      <c r="A1697" s="30" t="s">
        <v>34</v>
      </c>
      <c r="B1697" s="1" t="s">
        <v>445</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68">
        <v>594</v>
      </c>
      <c r="N1697" s="468">
        <v>672</v>
      </c>
      <c r="O1697" s="468">
        <v>677</v>
      </c>
      <c r="P1697" s="468">
        <v>712</v>
      </c>
      <c r="Q1697" s="468">
        <v>754</v>
      </c>
      <c r="R1697" s="468">
        <v>738</v>
      </c>
      <c r="S1697" s="468">
        <v>825</v>
      </c>
      <c r="T1697" s="468">
        <v>782</v>
      </c>
      <c r="U1697" s="468">
        <v>774</v>
      </c>
      <c r="V1697" s="468">
        <v>814</v>
      </c>
      <c r="W1697" s="468">
        <v>875</v>
      </c>
      <c r="X1697" s="468">
        <v>899</v>
      </c>
      <c r="Y1697" s="468">
        <v>880</v>
      </c>
      <c r="Z1697" s="468">
        <v>900</v>
      </c>
      <c r="AA1697" s="468">
        <v>906</v>
      </c>
      <c r="AB1697" s="468">
        <v>863</v>
      </c>
      <c r="AC1697" s="468">
        <v>859</v>
      </c>
      <c r="AD1697" s="468">
        <v>772</v>
      </c>
      <c r="AE1697" s="468">
        <v>733</v>
      </c>
      <c r="AF1697" s="468">
        <v>597</v>
      </c>
      <c r="AG1697" s="468">
        <v>564</v>
      </c>
      <c r="AH1697" s="468">
        <v>512</v>
      </c>
      <c r="AI1697" s="468">
        <v>663</v>
      </c>
      <c r="AJ1697" s="468">
        <v>713</v>
      </c>
      <c r="AK1697" s="468">
        <v>713</v>
      </c>
      <c r="AL1697" s="468">
        <v>669</v>
      </c>
      <c r="AM1697" s="468">
        <v>723</v>
      </c>
      <c r="AN1697" s="468">
        <v>699</v>
      </c>
      <c r="AO1697" s="468">
        <v>711</v>
      </c>
      <c r="AP1697" s="468">
        <v>745</v>
      </c>
      <c r="AQ1697" s="468">
        <v>703</v>
      </c>
      <c r="AR1697" s="468">
        <v>734</v>
      </c>
      <c r="AS1697" s="468">
        <v>736</v>
      </c>
      <c r="AT1697" s="468">
        <v>729</v>
      </c>
      <c r="AU1697" s="468">
        <v>809</v>
      </c>
      <c r="AV1697" s="468">
        <v>846</v>
      </c>
      <c r="AW1697" s="468">
        <v>831</v>
      </c>
      <c r="AX1697" s="468">
        <v>887</v>
      </c>
      <c r="AY1697" s="468">
        <v>751</v>
      </c>
      <c r="AZ1697" s="468">
        <v>763</v>
      </c>
      <c r="BA1697" s="468">
        <v>823</v>
      </c>
      <c r="BB1697" s="468">
        <v>841</v>
      </c>
      <c r="BC1697" s="468">
        <v>930</v>
      </c>
      <c r="BD1697" s="468">
        <v>904</v>
      </c>
      <c r="BE1697" s="468">
        <v>833</v>
      </c>
      <c r="BF1697" s="468">
        <v>696</v>
      </c>
      <c r="BG1697" s="468">
        <v>730</v>
      </c>
      <c r="BH1697" s="468">
        <v>733</v>
      </c>
      <c r="BI1697" s="468">
        <v>808</v>
      </c>
      <c r="BJ1697" s="468">
        <v>779</v>
      </c>
      <c r="BK1697" s="468">
        <v>823</v>
      </c>
      <c r="BL1697" s="468">
        <v>856</v>
      </c>
      <c r="BM1697" s="468">
        <v>879</v>
      </c>
      <c r="BN1697" s="468">
        <v>870</v>
      </c>
      <c r="BO1697" s="468">
        <v>912</v>
      </c>
      <c r="BP1697" s="468">
        <v>884</v>
      </c>
      <c r="BQ1697" s="468">
        <v>932</v>
      </c>
      <c r="BR1697" s="468">
        <v>862</v>
      </c>
      <c r="BS1697" s="468">
        <v>889</v>
      </c>
      <c r="BT1697" s="468">
        <v>947</v>
      </c>
      <c r="BU1697" s="468">
        <v>906</v>
      </c>
      <c r="BV1697" s="468">
        <v>916</v>
      </c>
      <c r="BW1697" s="468">
        <v>915</v>
      </c>
      <c r="BX1697" s="468">
        <v>827</v>
      </c>
      <c r="BY1697" s="468">
        <v>849</v>
      </c>
      <c r="BZ1697" s="468">
        <v>747</v>
      </c>
      <c r="CA1697" s="468">
        <v>787</v>
      </c>
      <c r="CB1697" s="468">
        <v>746</v>
      </c>
      <c r="CC1697" s="468">
        <v>747</v>
      </c>
      <c r="CD1697" s="468">
        <v>737</v>
      </c>
      <c r="CE1697" s="468">
        <v>745</v>
      </c>
      <c r="CF1697" s="468">
        <v>680</v>
      </c>
      <c r="CG1697" s="468">
        <v>701</v>
      </c>
      <c r="CH1697" s="468">
        <v>697</v>
      </c>
      <c r="CI1697" s="468">
        <v>697</v>
      </c>
      <c r="CJ1697" s="468">
        <v>718</v>
      </c>
      <c r="CK1697" s="468">
        <v>744</v>
      </c>
      <c r="CL1697" s="468">
        <v>543</v>
      </c>
      <c r="CM1697" s="468">
        <v>528</v>
      </c>
      <c r="CN1697" s="468">
        <v>542</v>
      </c>
      <c r="CO1697" s="468">
        <v>437</v>
      </c>
      <c r="CP1697" s="468">
        <v>390</v>
      </c>
      <c r="CQ1697" s="468">
        <v>363</v>
      </c>
      <c r="CR1697" s="468">
        <v>328</v>
      </c>
      <c r="CS1697" s="468">
        <v>306</v>
      </c>
      <c r="CT1697" s="468">
        <v>271</v>
      </c>
      <c r="CU1697" s="468">
        <v>211</v>
      </c>
      <c r="CV1697" s="468">
        <v>208</v>
      </c>
      <c r="CW1697" s="468">
        <v>147</v>
      </c>
      <c r="CX1697" s="468">
        <v>131</v>
      </c>
      <c r="CY1697" s="468">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
      <c r="A1698" s="30" t="s">
        <v>34</v>
      </c>
      <c r="B1698" s="1" t="s">
        <v>446</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68">
        <v>645</v>
      </c>
      <c r="N1698" s="468">
        <v>694</v>
      </c>
      <c r="O1698" s="468">
        <v>669</v>
      </c>
      <c r="P1698" s="468">
        <v>760</v>
      </c>
      <c r="Q1698" s="468">
        <v>740</v>
      </c>
      <c r="R1698" s="468">
        <v>727</v>
      </c>
      <c r="S1698" s="468">
        <v>786</v>
      </c>
      <c r="T1698" s="468">
        <v>791</v>
      </c>
      <c r="U1698" s="468">
        <v>773</v>
      </c>
      <c r="V1698" s="468">
        <v>817</v>
      </c>
      <c r="W1698" s="468">
        <v>873</v>
      </c>
      <c r="X1698" s="468">
        <v>853</v>
      </c>
      <c r="Y1698" s="468">
        <v>858</v>
      </c>
      <c r="Z1698" s="468">
        <v>867</v>
      </c>
      <c r="AA1698" s="468">
        <v>882</v>
      </c>
      <c r="AB1698" s="468">
        <v>828</v>
      </c>
      <c r="AC1698" s="468">
        <v>852</v>
      </c>
      <c r="AD1698" s="468">
        <v>834</v>
      </c>
      <c r="AE1698" s="468">
        <v>822</v>
      </c>
      <c r="AF1698" s="468">
        <v>691</v>
      </c>
      <c r="AG1698" s="468">
        <v>622</v>
      </c>
      <c r="AH1698" s="468">
        <v>632</v>
      </c>
      <c r="AI1698" s="468">
        <v>665</v>
      </c>
      <c r="AJ1698" s="468">
        <v>726</v>
      </c>
      <c r="AK1698" s="468">
        <v>779</v>
      </c>
      <c r="AL1698" s="468">
        <v>786</v>
      </c>
      <c r="AM1698" s="468">
        <v>814</v>
      </c>
      <c r="AN1698" s="468">
        <v>776</v>
      </c>
      <c r="AO1698" s="468">
        <v>844</v>
      </c>
      <c r="AP1698" s="468">
        <v>828</v>
      </c>
      <c r="AQ1698" s="468">
        <v>844</v>
      </c>
      <c r="AR1698" s="468">
        <v>781</v>
      </c>
      <c r="AS1698" s="468">
        <v>903</v>
      </c>
      <c r="AT1698" s="468">
        <v>892</v>
      </c>
      <c r="AU1698" s="468">
        <v>864</v>
      </c>
      <c r="AV1698" s="468">
        <v>903</v>
      </c>
      <c r="AW1698" s="468">
        <v>886</v>
      </c>
      <c r="AX1698" s="468">
        <v>939</v>
      </c>
      <c r="AY1698" s="468">
        <v>912</v>
      </c>
      <c r="AZ1698" s="468">
        <v>855</v>
      </c>
      <c r="BA1698" s="468">
        <v>853</v>
      </c>
      <c r="BB1698" s="468">
        <v>823</v>
      </c>
      <c r="BC1698" s="468">
        <v>886</v>
      </c>
      <c r="BD1698" s="468">
        <v>921</v>
      </c>
      <c r="BE1698" s="468">
        <v>882</v>
      </c>
      <c r="BF1698" s="468">
        <v>726</v>
      </c>
      <c r="BG1698" s="468">
        <v>757</v>
      </c>
      <c r="BH1698" s="468">
        <v>801</v>
      </c>
      <c r="BI1698" s="468">
        <v>794</v>
      </c>
      <c r="BJ1698" s="468">
        <v>783</v>
      </c>
      <c r="BK1698" s="468">
        <v>908</v>
      </c>
      <c r="BL1698" s="468">
        <v>954</v>
      </c>
      <c r="BM1698" s="468">
        <v>1009</v>
      </c>
      <c r="BN1698" s="468">
        <v>1001</v>
      </c>
      <c r="BO1698" s="468">
        <v>1001</v>
      </c>
      <c r="BP1698" s="468">
        <v>969</v>
      </c>
      <c r="BQ1698" s="468">
        <v>962</v>
      </c>
      <c r="BR1698" s="468">
        <v>993</v>
      </c>
      <c r="BS1698" s="468">
        <v>983</v>
      </c>
      <c r="BT1698" s="468">
        <v>975</v>
      </c>
      <c r="BU1698" s="468">
        <v>962</v>
      </c>
      <c r="BV1698" s="468">
        <v>895</v>
      </c>
      <c r="BW1698" s="468">
        <v>892</v>
      </c>
      <c r="BX1698" s="468">
        <v>838</v>
      </c>
      <c r="BY1698" s="468">
        <v>735</v>
      </c>
      <c r="BZ1698" s="468">
        <v>787</v>
      </c>
      <c r="CA1698" s="468">
        <v>784</v>
      </c>
      <c r="CB1698" s="468">
        <v>763</v>
      </c>
      <c r="CC1698" s="468">
        <v>694</v>
      </c>
      <c r="CD1698" s="468">
        <v>683</v>
      </c>
      <c r="CE1698" s="468">
        <v>703</v>
      </c>
      <c r="CF1698" s="468">
        <v>668</v>
      </c>
      <c r="CG1698" s="468">
        <v>663</v>
      </c>
      <c r="CH1698" s="468">
        <v>662</v>
      </c>
      <c r="CI1698" s="468">
        <v>675</v>
      </c>
      <c r="CJ1698" s="468">
        <v>680</v>
      </c>
      <c r="CK1698" s="468">
        <v>725</v>
      </c>
      <c r="CL1698" s="468">
        <v>549</v>
      </c>
      <c r="CM1698" s="468">
        <v>478</v>
      </c>
      <c r="CN1698" s="468">
        <v>487</v>
      </c>
      <c r="CO1698" s="468">
        <v>472</v>
      </c>
      <c r="CP1698" s="468">
        <v>402</v>
      </c>
      <c r="CQ1698" s="468">
        <v>321</v>
      </c>
      <c r="CR1698" s="468">
        <v>281</v>
      </c>
      <c r="CS1698" s="468">
        <v>251</v>
      </c>
      <c r="CT1698" s="468">
        <v>253</v>
      </c>
      <c r="CU1698" s="468">
        <v>212</v>
      </c>
      <c r="CV1698" s="468">
        <v>195</v>
      </c>
      <c r="CW1698" s="468">
        <v>135</v>
      </c>
      <c r="CX1698" s="468">
        <v>112</v>
      </c>
      <c r="CY1698" s="468">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ht="15" x14ac:dyDescent="0.25">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
      <c r="A1700" s="30" t="s">
        <v>38</v>
      </c>
      <c r="B1700" s="1" t="s">
        <v>447</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
      <c r="A1701" s="30" t="s">
        <v>38</v>
      </c>
      <c r="B1701" s="1" t="s">
        <v>448</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
      <c r="A1702" s="30" t="s">
        <v>38</v>
      </c>
      <c r="B1702" s="1" t="s">
        <v>449</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
      <c r="A1703" s="30" t="s">
        <v>38</v>
      </c>
      <c r="B1703" s="1" t="s">
        <v>450</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
      <c r="A1704" s="30" t="s">
        <v>38</v>
      </c>
      <c r="B1704" s="1" t="s">
        <v>451</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
      <c r="A1705" s="30" t="s">
        <v>38</v>
      </c>
      <c r="B1705" s="1" t="s">
        <v>452</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
      <c r="A1706" s="30" t="s">
        <v>38</v>
      </c>
      <c r="B1706" s="1" t="s">
        <v>453</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
      <c r="A1707" s="30" t="s">
        <v>38</v>
      </c>
      <c r="B1707" s="1" t="s">
        <v>454</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
      <c r="A1708" s="30" t="s">
        <v>38</v>
      </c>
      <c r="B1708" s="1" t="s">
        <v>455</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
      <c r="A1709" s="30" t="s">
        <v>38</v>
      </c>
      <c r="B1709" s="1" t="s">
        <v>456</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
      <c r="A1710" s="30" t="s">
        <v>38</v>
      </c>
      <c r="B1710" s="1" t="s">
        <v>457</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ht="15" x14ac:dyDescent="0.25">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ht="15" x14ac:dyDescent="0.25">
      <c r="A1714" s="711" t="s">
        <v>458</v>
      </c>
      <c r="B1714" s="712"/>
      <c r="C1714" s="713"/>
      <c r="D1714" s="710"/>
      <c r="E1714" s="710"/>
      <c r="F1714" s="710"/>
      <c r="G1714" s="710"/>
      <c r="H1714" s="710"/>
      <c r="I1714" s="710"/>
      <c r="J1714" s="710"/>
      <c r="K1714" s="710"/>
      <c r="L1714" s="710"/>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ht="15" x14ac:dyDescent="0.25">
      <c r="C1716" s="10"/>
      <c r="D1716" s="488" t="s">
        <v>459</v>
      </c>
      <c r="E1716" s="489" t="s">
        <v>460</v>
      </c>
      <c r="F1716" s="488" t="s">
        <v>461</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5" x14ac:dyDescent="0.25">
      <c r="C1717" s="10"/>
      <c r="D1717" s="490" t="s">
        <v>462</v>
      </c>
      <c r="E1717" s="490" t="s">
        <v>462</v>
      </c>
      <c r="F1717" s="490" t="s">
        <v>462</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5" x14ac:dyDescent="0.25">
      <c r="C1718" s="10"/>
      <c r="D1718" s="490">
        <v>2023</v>
      </c>
      <c r="E1718" s="491">
        <v>2024</v>
      </c>
      <c r="F1718" s="490">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5" x14ac:dyDescent="0.25">
      <c r="C1719" s="1" t="s">
        <v>2132</v>
      </c>
      <c r="D1719" s="492">
        <v>57690323</v>
      </c>
      <c r="E1719" s="493"/>
      <c r="F1719" s="494"/>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5" x14ac:dyDescent="0.25">
      <c r="C1720" s="495" t="s">
        <v>463</v>
      </c>
      <c r="D1720" s="496"/>
      <c r="E1720" s="497"/>
      <c r="F1720" s="492">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5" x14ac:dyDescent="0.25">
      <c r="C1721" s="495" t="s">
        <v>464</v>
      </c>
      <c r="D1721" s="496"/>
      <c r="E1721" s="498"/>
      <c r="F1721" s="691">
        <f>(F1720-D1719)/D1719</f>
        <v>2.5222393017282987E-2</v>
      </c>
      <c r="G1721" s="695">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5" x14ac:dyDescent="0.25">
      <c r="C1722" s="495" t="s">
        <v>465</v>
      </c>
      <c r="D1722" s="496"/>
      <c r="E1722" s="499"/>
      <c r="F1722" s="492">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5" x14ac:dyDescent="0.25">
      <c r="C1723" s="495" t="s">
        <v>466</v>
      </c>
      <c r="D1723" s="496"/>
      <c r="E1723" s="499"/>
      <c r="F1723" s="492">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t="15" hidden="1" x14ac:dyDescent="0.25">
      <c r="A1726" s="711" t="s">
        <v>467</v>
      </c>
      <c r="B1726" s="712"/>
      <c r="C1726" s="713"/>
      <c r="D1726" s="710"/>
      <c r="E1726" s="710"/>
      <c r="F1726" s="710"/>
      <c r="G1726" s="710"/>
      <c r="H1726" s="710"/>
      <c r="I1726" s="710"/>
      <c r="J1726" s="710"/>
      <c r="K1726" s="710"/>
      <c r="L1726" s="710"/>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t="15" hidden="1" x14ac:dyDescent="0.25">
      <c r="D1727" s="81"/>
      <c r="E1727" s="81"/>
      <c r="F1727" s="81"/>
      <c r="G1727" s="81"/>
      <c r="H1727" s="81"/>
      <c r="I1727" s="81"/>
      <c r="J1727" s="500"/>
      <c r="K1727" s="501" t="s">
        <v>468</v>
      </c>
      <c r="L1727" s="50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
      <c r="A1728" s="484"/>
      <c r="B1728" s="485"/>
      <c r="C1728" s="20" t="s">
        <v>469</v>
      </c>
      <c r="D1728" s="127" t="s">
        <v>470</v>
      </c>
      <c r="E1728" s="127" t="s">
        <v>471</v>
      </c>
      <c r="F1728" s="127" t="s">
        <v>472</v>
      </c>
      <c r="G1728" s="127" t="s">
        <v>473</v>
      </c>
      <c r="H1728" s="127" t="s">
        <v>474</v>
      </c>
      <c r="I1728" s="127" t="s">
        <v>475</v>
      </c>
      <c r="J1728" s="697" t="s">
        <v>476</v>
      </c>
      <c r="K1728" s="698" t="s">
        <v>477</v>
      </c>
      <c r="L1728" s="304" t="s">
        <v>478</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
      <c r="A1729" s="486"/>
      <c r="C1729" s="20" t="s">
        <v>479</v>
      </c>
      <c r="D1729" s="1036" t="s">
        <v>480</v>
      </c>
      <c r="E1729" s="1037"/>
      <c r="F1729" s="1037"/>
      <c r="G1729" s="1037"/>
      <c r="H1729" s="1037"/>
      <c r="I1729" s="1038"/>
      <c r="J1729" s="699"/>
      <c r="K1729" s="699"/>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
      <c r="A1730" s="486"/>
      <c r="B1730" s="10">
        <v>0</v>
      </c>
      <c r="C1730" s="126" t="s">
        <v>481</v>
      </c>
      <c r="D1730" s="130"/>
      <c r="E1730" s="130"/>
      <c r="F1730" s="130"/>
      <c r="G1730" s="130"/>
      <c r="H1730" s="130"/>
      <c r="I1730" s="130"/>
      <c r="J1730" s="699"/>
      <c r="K1730" s="699"/>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
      <c r="A1731" s="486"/>
      <c r="B1731" s="10">
        <v>1</v>
      </c>
      <c r="C1731" s="810" t="s">
        <v>482</v>
      </c>
      <c r="D1731" s="432"/>
      <c r="E1731" s="432">
        <v>1.0083396326386167</v>
      </c>
      <c r="F1731" s="432">
        <v>1.0068144721288348</v>
      </c>
      <c r="G1731" s="432">
        <v>1.0052783852289084</v>
      </c>
      <c r="H1731" s="432">
        <v>1.005159569821475</v>
      </c>
      <c r="I1731" s="432">
        <v>1.005034244714381</v>
      </c>
      <c r="J1731" s="700">
        <f>(I1731-100%)/5</f>
        <v>1.0068489428761928E-3</v>
      </c>
      <c r="K1731" s="701">
        <f t="shared" ref="K1731:K1741" si="354">(I1731/100%)^(1/5)-1</f>
        <v>1.0048275559169095E-3</v>
      </c>
      <c r="L1731" s="487">
        <v>1.0048275559169095E-3</v>
      </c>
      <c r="M1731" s="12"/>
      <c r="N1731" s="433"/>
      <c r="O1731" s="434"/>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
      <c r="A1732" s="486" t="s">
        <v>483</v>
      </c>
      <c r="B1732" s="10">
        <v>2</v>
      </c>
      <c r="C1732" s="183" t="s">
        <v>484</v>
      </c>
      <c r="D1732" s="130"/>
      <c r="E1732" s="130">
        <v>0.99220867160133164</v>
      </c>
      <c r="F1732" s="130">
        <v>0.99099332816200558</v>
      </c>
      <c r="G1732" s="130">
        <v>0.99149832442765373</v>
      </c>
      <c r="H1732" s="130">
        <v>0.99306376744162606</v>
      </c>
      <c r="I1732" s="130">
        <v>0.99322960389630777</v>
      </c>
      <c r="J1732" s="700">
        <f t="shared" ref="J1732:J1741" si="355">(I1732-100%)/5</f>
        <v>-1.3540792207384466E-3</v>
      </c>
      <c r="K1732" s="701">
        <f t="shared" si="354"/>
        <v>-1.357761249247913E-3</v>
      </c>
      <c r="L1732" s="437">
        <v>-1.357761249247913E-3</v>
      </c>
      <c r="M1732" s="12"/>
      <c r="N1732" s="433"/>
      <c r="O1732" s="434"/>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
      <c r="A1733" s="486" t="s">
        <v>483</v>
      </c>
      <c r="B1733" s="10">
        <v>3</v>
      </c>
      <c r="C1733" s="183" t="s">
        <v>485</v>
      </c>
      <c r="D1733" s="130"/>
      <c r="E1733" s="130">
        <v>1.0143809141680851</v>
      </c>
      <c r="F1733" s="130">
        <v>1.0083971212477236</v>
      </c>
      <c r="G1733" s="130">
        <v>1.003626338830879</v>
      </c>
      <c r="H1733" s="130">
        <v>1.0019091820289452</v>
      </c>
      <c r="I1733" s="130">
        <v>1.0029969851890055</v>
      </c>
      <c r="J1733" s="700">
        <f t="shared" si="355"/>
        <v>5.993970378010971E-4</v>
      </c>
      <c r="K1733" s="701">
        <f t="shared" si="354"/>
        <v>5.9867977357552782E-4</v>
      </c>
      <c r="L1733" s="437">
        <v>5.9867977357552782E-4</v>
      </c>
      <c r="M1733" s="12"/>
      <c r="N1733" s="433"/>
      <c r="O1733" s="434"/>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
      <c r="A1734" s="486" t="s">
        <v>483</v>
      </c>
      <c r="B1734" s="10">
        <v>4</v>
      </c>
      <c r="C1734" s="183" t="s">
        <v>486</v>
      </c>
      <c r="D1734" s="130"/>
      <c r="E1734" s="130">
        <v>1.0119831388235714</v>
      </c>
      <c r="F1734" s="130">
        <v>1.0123152749187849</v>
      </c>
      <c r="G1734" s="130">
        <v>1.0092966846901532</v>
      </c>
      <c r="H1734" s="130">
        <v>1.0093024499843755</v>
      </c>
      <c r="I1734" s="130">
        <v>1.0058607612889943</v>
      </c>
      <c r="J1734" s="700">
        <f t="shared" si="355"/>
        <v>1.1721522577988531E-3</v>
      </c>
      <c r="K1734" s="701">
        <f t="shared" si="354"/>
        <v>1.1694139993094765E-3</v>
      </c>
      <c r="L1734" s="437">
        <v>1.1694139993094765E-3</v>
      </c>
      <c r="M1734" s="12"/>
      <c r="N1734" s="433"/>
      <c r="O1734" s="434"/>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
      <c r="A1735" s="486" t="s">
        <v>483</v>
      </c>
      <c r="B1735" s="10">
        <v>5</v>
      </c>
      <c r="C1735" s="183" t="s">
        <v>487</v>
      </c>
      <c r="D1735" s="130"/>
      <c r="E1735" s="130">
        <v>0.99868810197260138</v>
      </c>
      <c r="F1735" s="130">
        <v>0.99777419677997459</v>
      </c>
      <c r="G1735" s="130">
        <v>0.99863727568848948</v>
      </c>
      <c r="H1735" s="130">
        <v>0.99899133935284168</v>
      </c>
      <c r="I1735" s="130">
        <v>1.0032834988438057</v>
      </c>
      <c r="J1735" s="700">
        <f t="shared" si="355"/>
        <v>6.5669976876114866E-4</v>
      </c>
      <c r="K1735" s="701">
        <f t="shared" si="354"/>
        <v>6.5583895492138389E-4</v>
      </c>
      <c r="L1735" s="437">
        <v>6.5583895492138389E-4</v>
      </c>
      <c r="M1735" s="12"/>
      <c r="N1735" s="433"/>
      <c r="O1735" s="434"/>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
      <c r="A1736" s="486" t="s">
        <v>483</v>
      </c>
      <c r="B1736" s="10">
        <v>6</v>
      </c>
      <c r="C1736" s="183" t="s">
        <v>488</v>
      </c>
      <c r="D1736" s="130"/>
      <c r="E1736" s="130">
        <v>1.0185737392830623</v>
      </c>
      <c r="F1736" s="130">
        <v>1.018863566736369</v>
      </c>
      <c r="G1736" s="130">
        <v>1.0165082772965106</v>
      </c>
      <c r="H1736" s="130">
        <v>1.0156627003170711</v>
      </c>
      <c r="I1736" s="130">
        <v>1.0139248252188859</v>
      </c>
      <c r="J1736" s="700">
        <f t="shared" si="355"/>
        <v>2.784965043777188E-3</v>
      </c>
      <c r="K1736" s="701">
        <f t="shared" si="354"/>
        <v>2.7695813347723419E-3</v>
      </c>
      <c r="L1736" s="437">
        <v>2.7695813347723419E-3</v>
      </c>
      <c r="M1736" s="12"/>
      <c r="N1736" s="433"/>
      <c r="O1736" s="434"/>
      <c r="P1736" s="12"/>
      <c r="Q1736" s="435"/>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
      <c r="A1737" s="486" t="s">
        <v>483</v>
      </c>
      <c r="B1737" s="10">
        <v>7</v>
      </c>
      <c r="C1737" s="183" t="s">
        <v>489</v>
      </c>
      <c r="D1737" s="130"/>
      <c r="E1737" s="130">
        <v>1.0186430018515642</v>
      </c>
      <c r="F1737" s="130">
        <v>1.016281083830104</v>
      </c>
      <c r="G1737" s="130">
        <v>1.0168046783204194</v>
      </c>
      <c r="H1737" s="130">
        <v>1.0163751107042418</v>
      </c>
      <c r="I1737" s="130">
        <v>1.0143846521681685</v>
      </c>
      <c r="J1737" s="700">
        <f t="shared" si="355"/>
        <v>2.8769304336337064E-3</v>
      </c>
      <c r="K1737" s="701">
        <f t="shared" si="354"/>
        <v>2.8605184225896085E-3</v>
      </c>
      <c r="L1737" s="437">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
      <c r="A1738" s="486" t="s">
        <v>483</v>
      </c>
      <c r="B1738" s="10">
        <v>8</v>
      </c>
      <c r="C1738" s="810" t="s">
        <v>490</v>
      </c>
      <c r="D1738" s="432"/>
      <c r="E1738" s="432">
        <v>1.0115317316189907</v>
      </c>
      <c r="F1738" s="432">
        <v>1.0098854557273558</v>
      </c>
      <c r="G1738" s="432">
        <v>1.0079031437924768</v>
      </c>
      <c r="H1738" s="432">
        <v>1.0074260195736053</v>
      </c>
      <c r="I1738" s="432">
        <v>1.0072146044968846</v>
      </c>
      <c r="J1738" s="700">
        <f t="shared" si="355"/>
        <v>1.4429208993769205E-3</v>
      </c>
      <c r="K1738" s="701">
        <f t="shared" si="354"/>
        <v>1.4387747925457273E-3</v>
      </c>
      <c r="L1738" s="487">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
      <c r="A1739" s="486" t="s">
        <v>483</v>
      </c>
      <c r="B1739" s="10">
        <v>9</v>
      </c>
      <c r="C1739" s="183" t="s">
        <v>491</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700">
        <f t="shared" si="355"/>
        <v>-1.3540792207384466E-3</v>
      </c>
      <c r="K1739" s="701">
        <f t="shared" si="354"/>
        <v>-1.357761249247913E-3</v>
      </c>
      <c r="L1739" s="437">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
      <c r="A1740" s="486" t="s">
        <v>483</v>
      </c>
      <c r="B1740" s="10">
        <v>10</v>
      </c>
      <c r="C1740" s="183" t="s">
        <v>492</v>
      </c>
      <c r="D1740" s="130"/>
      <c r="E1740" s="130">
        <v>1.0101622336917053</v>
      </c>
      <c r="F1740" s="130">
        <v>1.0086801518353343</v>
      </c>
      <c r="G1740" s="130">
        <v>1.0069295256394797</v>
      </c>
      <c r="H1740" s="130">
        <v>1.0064889037252818</v>
      </c>
      <c r="I1740" s="130">
        <v>1.0062891385473149</v>
      </c>
      <c r="J1740" s="700">
        <f t="shared" si="355"/>
        <v>1.2578277094629886E-3</v>
      </c>
      <c r="K1740" s="701">
        <f t="shared" si="354"/>
        <v>1.2546753363396057E-3</v>
      </c>
      <c r="L1740" s="437">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
      <c r="A1741" s="486" t="s">
        <v>483</v>
      </c>
      <c r="B1741" s="10">
        <v>11</v>
      </c>
      <c r="C1741" s="183" t="s">
        <v>493</v>
      </c>
      <c r="D1741" s="130"/>
      <c r="E1741" s="130">
        <v>1.0095905530762708</v>
      </c>
      <c r="F1741" s="130">
        <v>1.0083132699804231</v>
      </c>
      <c r="G1741" s="130">
        <v>1.006695740502793</v>
      </c>
      <c r="H1741" s="130">
        <v>1.0063437323937274</v>
      </c>
      <c r="I1741" s="130">
        <v>1.0061665544670078</v>
      </c>
      <c r="J1741" s="700">
        <f t="shared" si="355"/>
        <v>1.2333108934015514E-3</v>
      </c>
      <c r="K1741" s="701">
        <f t="shared" si="354"/>
        <v>1.2302799891306115E-3</v>
      </c>
      <c r="L1741" s="437">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
      <c r="A1742" s="486" t="s">
        <v>483</v>
      </c>
      <c r="B1742" s="10">
        <v>12</v>
      </c>
      <c r="C1742" s="183"/>
      <c r="D1742" s="126"/>
      <c r="E1742" s="126"/>
      <c r="F1742" s="126"/>
      <c r="G1742" s="126"/>
      <c r="H1742" s="126"/>
      <c r="I1742" s="126"/>
      <c r="J1742" s="700"/>
      <c r="K1742" s="701"/>
      <c r="L1742" s="70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
      <c r="A1743" s="486" t="s">
        <v>483</v>
      </c>
      <c r="B1743" s="10">
        <v>13</v>
      </c>
      <c r="C1743" s="126"/>
      <c r="D1743" s="126"/>
      <c r="E1743" s="126"/>
      <c r="F1743" s="126"/>
      <c r="G1743" s="126"/>
      <c r="H1743" s="126"/>
      <c r="I1743" s="126"/>
      <c r="J1743" s="700"/>
      <c r="K1743" s="701"/>
      <c r="L1743" s="702"/>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
      <c r="A1744" s="57"/>
      <c r="B1744" s="354">
        <v>14</v>
      </c>
      <c r="C1744" s="126"/>
      <c r="D1744" s="126"/>
      <c r="E1744" s="126"/>
      <c r="F1744" s="126"/>
      <c r="G1744" s="126"/>
      <c r="H1744" s="126"/>
      <c r="I1744" s="126"/>
      <c r="J1744" s="700"/>
      <c r="K1744" s="701"/>
      <c r="L1744" s="702"/>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
      <c r="B1745" s="10">
        <v>15</v>
      </c>
      <c r="C1745" s="126"/>
      <c r="D1745" s="126"/>
      <c r="E1745" s="126"/>
      <c r="F1745" s="126"/>
      <c r="G1745" s="126"/>
      <c r="H1745" s="126"/>
      <c r="I1745" s="126"/>
      <c r="J1745" s="696" t="s">
        <v>494</v>
      </c>
      <c r="K1745" s="699"/>
      <c r="L1745" s="303" t="s">
        <v>495</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
      <c r="E1746" s="14"/>
      <c r="J1746" s="696" t="s">
        <v>496</v>
      </c>
      <c r="K1746" s="699"/>
      <c r="L1746" s="303" t="s">
        <v>497</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
      <c r="E1747" s="443" t="s">
        <v>498</v>
      </c>
      <c r="F1747" s="709"/>
      <c r="G1747" s="709"/>
      <c r="H1747" s="709"/>
      <c r="I1747" s="709"/>
      <c r="J1747" s="696" t="s">
        <v>499</v>
      </c>
      <c r="K1747" s="699"/>
      <c r="L1747" s="303" t="s">
        <v>500</v>
      </c>
      <c r="M1747" s="12"/>
      <c r="N1747" s="12"/>
      <c r="O1747" s="12"/>
      <c r="P1747" s="12"/>
      <c r="Q1747" s="12"/>
      <c r="R1747" s="436"/>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
      <c r="E1748" s="14"/>
      <c r="L1748" s="303" t="s">
        <v>501</v>
      </c>
      <c r="M1748" s="12"/>
      <c r="N1748" s="12"/>
      <c r="O1748" s="12"/>
      <c r="P1748" s="12"/>
      <c r="Q1748" s="12"/>
      <c r="R1748" s="436"/>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
      <c r="E1749" s="14"/>
      <c r="L1749" s="303" t="s">
        <v>502</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
      <c r="E1750" s="14"/>
      <c r="L1750" s="303"/>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
      <c r="C1751" s="10"/>
      <c r="L1751" s="303" t="s">
        <v>503</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t="15" hidden="1" x14ac:dyDescent="0.25">
      <c r="C1752" s="10"/>
      <c r="L1752" s="303" t="s">
        <v>504</v>
      </c>
      <c r="M1752" s="12"/>
      <c r="N1752" s="12"/>
      <c r="O1752" s="500"/>
      <c r="P1752" s="501" t="s">
        <v>505</v>
      </c>
      <c r="Q1752" s="50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45" hidden="1" customHeight="1" x14ac:dyDescent="0.2">
      <c r="C1753" s="10"/>
      <c r="M1753" s="12"/>
      <c r="N1753" s="12"/>
      <c r="O1753" s="708" t="s">
        <v>476</v>
      </c>
      <c r="P1753" s="708" t="s">
        <v>477</v>
      </c>
      <c r="Q1753" s="706" t="s">
        <v>478</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
      <c r="A1754" s="484"/>
      <c r="B1754" s="485"/>
      <c r="C1754" s="810" t="s">
        <v>482</v>
      </c>
      <c r="D1754" s="432"/>
      <c r="E1754" s="432">
        <f>E1731</f>
        <v>1.0083396326386167</v>
      </c>
      <c r="F1754" s="432">
        <f t="shared" ref="F1754:I1754" si="357">F1731</f>
        <v>1.0068144721288348</v>
      </c>
      <c r="G1754" s="432">
        <f t="shared" si="357"/>
        <v>1.0052783852289084</v>
      </c>
      <c r="H1754" s="432">
        <f t="shared" si="357"/>
        <v>1.005159569821475</v>
      </c>
      <c r="I1754" s="432">
        <f t="shared" si="357"/>
        <v>1.005034244714381</v>
      </c>
      <c r="J1754" s="432">
        <v>1.0049046476669568</v>
      </c>
      <c r="K1754" s="432">
        <v>1.0047743417635073</v>
      </c>
      <c r="L1754" s="432">
        <v>1.0046496264171023</v>
      </c>
      <c r="M1754" s="432">
        <v>1.0045344880171496</v>
      </c>
      <c r="N1754" s="432">
        <v>1.0044234456443373</v>
      </c>
      <c r="O1754" s="700">
        <f>(N1754-100%)/10</f>
        <v>4.4234456443372763E-4</v>
      </c>
      <c r="P1754" s="701">
        <f>(N1754/100%)^(1/10)-1</f>
        <v>4.4146651409882054E-4</v>
      </c>
      <c r="Q1754" s="442">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
      <c r="A1755" s="486" t="s">
        <v>506</v>
      </c>
      <c r="C1755" s="126" t="s">
        <v>484</v>
      </c>
      <c r="D1755" s="703"/>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700">
        <f t="shared" ref="O1755:O1764" si="359">(N1755-100%)/10</f>
        <v>-2.7495426767735196E-4</v>
      </c>
      <c r="P1755" s="701">
        <f t="shared" ref="P1755:P1764" si="360">(N1755/100%)^(1/10)-1</f>
        <v>-2.7529506059797981E-4</v>
      </c>
      <c r="Q1755" s="707">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
      <c r="A1756" s="486" t="s">
        <v>506</v>
      </c>
      <c r="C1756" s="126" t="s">
        <v>485</v>
      </c>
      <c r="D1756" s="703"/>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700">
        <f t="shared" si="359"/>
        <v>-1.8398147543005061E-4</v>
      </c>
      <c r="P1756" s="701">
        <f t="shared" si="360"/>
        <v>-1.8413397447925028E-4</v>
      </c>
      <c r="Q1756" s="707">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
      <c r="A1757" s="486" t="s">
        <v>506</v>
      </c>
      <c r="C1757" s="126" t="s">
        <v>486</v>
      </c>
      <c r="D1757" s="703"/>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700">
        <f t="shared" si="359"/>
        <v>2.8297433769999272E-4</v>
      </c>
      <c r="P1757" s="701">
        <f t="shared" si="360"/>
        <v>2.8261464701917483E-4</v>
      </c>
      <c r="Q1757" s="707">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
      <c r="A1758" s="486" t="s">
        <v>506</v>
      </c>
      <c r="C1758" s="126" t="s">
        <v>487</v>
      </c>
      <c r="D1758" s="703"/>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700">
        <f t="shared" si="359"/>
        <v>1.4722659182130116E-3</v>
      </c>
      <c r="P1758" s="701">
        <f t="shared" si="360"/>
        <v>1.4626018574257493E-3</v>
      </c>
      <c r="Q1758" s="707">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
      <c r="A1759" s="486" t="s">
        <v>506</v>
      </c>
      <c r="C1759" s="126" t="s">
        <v>488</v>
      </c>
      <c r="D1759" s="703"/>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700">
        <f t="shared" si="359"/>
        <v>-1.2706952153392903E-4</v>
      </c>
      <c r="P1759" s="701">
        <f t="shared" si="360"/>
        <v>-1.2714224004750641E-4</v>
      </c>
      <c r="Q1759" s="707">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
      <c r="A1760" s="486" t="s">
        <v>506</v>
      </c>
      <c r="C1760" s="126" t="s">
        <v>489</v>
      </c>
      <c r="D1760" s="703"/>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700">
        <f t="shared" si="359"/>
        <v>1.997144648803051E-3</v>
      </c>
      <c r="P1760" s="701">
        <f t="shared" si="360"/>
        <v>1.9794197965237181E-3</v>
      </c>
      <c r="Q1760" s="707">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
      <c r="A1761" s="486" t="s">
        <v>506</v>
      </c>
      <c r="C1761" s="810" t="s">
        <v>490</v>
      </c>
      <c r="D1761" s="432"/>
      <c r="E1761" s="432">
        <f t="shared" si="358"/>
        <v>1.0115317316189907</v>
      </c>
      <c r="F1761" s="432">
        <f t="shared" si="358"/>
        <v>1.0098854557273558</v>
      </c>
      <c r="G1761" s="432">
        <f t="shared" si="358"/>
        <v>1.0079031437924768</v>
      </c>
      <c r="H1761" s="432">
        <f t="shared" si="358"/>
        <v>1.0074260195736053</v>
      </c>
      <c r="I1761" s="432">
        <f t="shared" si="358"/>
        <v>1.0072146044968846</v>
      </c>
      <c r="J1761" s="432">
        <v>1.0071891367326733</v>
      </c>
      <c r="K1761" s="432">
        <v>1.0067029595434946</v>
      </c>
      <c r="L1761" s="432">
        <v>1.0062767419722747</v>
      </c>
      <c r="M1761" s="432">
        <v>1.005993095083189</v>
      </c>
      <c r="N1761" s="432">
        <v>1.0056686088348645</v>
      </c>
      <c r="O1761" s="700">
        <f t="shared" si="359"/>
        <v>5.6686088348645303E-4</v>
      </c>
      <c r="P1761" s="701">
        <f t="shared" si="360"/>
        <v>5.6542006284843183E-4</v>
      </c>
      <c r="Q1761" s="442">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
      <c r="A1762" s="486" t="s">
        <v>506</v>
      </c>
      <c r="C1762" s="126" t="s">
        <v>491</v>
      </c>
      <c r="D1762" s="703"/>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700">
        <f t="shared" si="359"/>
        <v>-2.7495426767735196E-4</v>
      </c>
      <c r="P1762" s="701">
        <f t="shared" si="360"/>
        <v>-2.7529506059797981E-4</v>
      </c>
      <c r="Q1762" s="707">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
      <c r="A1763" s="486" t="s">
        <v>506</v>
      </c>
      <c r="C1763" s="126" t="s">
        <v>492</v>
      </c>
      <c r="D1763" s="703"/>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700">
        <f t="shared" si="359"/>
        <v>5.0246174221415532E-4</v>
      </c>
      <c r="P1763" s="701">
        <f t="shared" si="360"/>
        <v>5.0132923936385687E-4</v>
      </c>
      <c r="Q1763" s="707">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
      <c r="A1764" s="486" t="s">
        <v>506</v>
      </c>
      <c r="C1764" s="126" t="s">
        <v>493</v>
      </c>
      <c r="D1764" s="703"/>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700">
        <f t="shared" si="359"/>
        <v>4.9267004020239205E-4</v>
      </c>
      <c r="P1764" s="701">
        <f t="shared" si="360"/>
        <v>4.9158117922520894E-4</v>
      </c>
      <c r="Q1764" s="707">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
      <c r="A1765" s="486" t="s">
        <v>506</v>
      </c>
      <c r="C1765" s="126"/>
      <c r="D1765" s="703"/>
      <c r="E1765" s="703"/>
      <c r="F1765" s="703"/>
      <c r="G1765" s="703"/>
      <c r="H1765" s="703"/>
      <c r="I1765" s="703"/>
      <c r="J1765" s="703"/>
      <c r="K1765" s="703"/>
      <c r="L1765" s="703"/>
      <c r="M1765" s="703"/>
      <c r="N1765" s="703"/>
      <c r="O1765" s="700"/>
      <c r="P1765" s="701"/>
      <c r="Q1765" s="704"/>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
      <c r="A1766" s="486" t="s">
        <v>506</v>
      </c>
      <c r="C1766" s="126"/>
      <c r="D1766" s="703"/>
      <c r="E1766" s="703"/>
      <c r="F1766" s="703"/>
      <c r="G1766" s="703"/>
      <c r="H1766" s="703"/>
      <c r="I1766" s="703"/>
      <c r="J1766" s="703"/>
      <c r="K1766" s="703"/>
      <c r="L1766" s="703"/>
      <c r="M1766" s="703"/>
      <c r="N1766" s="703"/>
      <c r="O1766" s="700"/>
      <c r="P1766" s="701"/>
      <c r="Q1766" s="704"/>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
      <c r="A1767" s="57"/>
      <c r="B1767" s="354"/>
      <c r="C1767" s="126"/>
      <c r="D1767" s="703"/>
      <c r="E1767" s="703"/>
      <c r="F1767" s="703"/>
      <c r="G1767" s="703"/>
      <c r="H1767" s="703"/>
      <c r="I1767" s="703"/>
      <c r="J1767" s="703"/>
      <c r="K1767" s="703"/>
      <c r="L1767" s="703"/>
      <c r="M1767" s="703"/>
      <c r="N1767" s="703"/>
      <c r="O1767" s="700"/>
      <c r="P1767" s="701"/>
      <c r="Q1767" s="704"/>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
      <c r="C1768" s="10"/>
      <c r="E1768" s="14"/>
      <c r="M1768" s="12"/>
      <c r="N1768" s="12"/>
      <c r="O1768" s="696" t="s">
        <v>494</v>
      </c>
      <c r="P1768" s="699"/>
      <c r="Q1768" s="705" t="s">
        <v>495</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
      <c r="E1769" s="443" t="s">
        <v>498</v>
      </c>
      <c r="F1769" s="709"/>
      <c r="G1769" s="443"/>
      <c r="H1769" s="709"/>
      <c r="I1769" s="709"/>
      <c r="M1769" s="12"/>
      <c r="N1769" s="12"/>
      <c r="O1769" s="696" t="s">
        <v>496</v>
      </c>
      <c r="P1769" s="699"/>
      <c r="Q1769" s="705" t="s">
        <v>497</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
      <c r="C1770" s="10"/>
      <c r="E1770" s="14"/>
      <c r="M1770" s="12"/>
      <c r="N1770" s="12"/>
      <c r="O1770" s="696" t="s">
        <v>499</v>
      </c>
      <c r="P1770" s="699"/>
      <c r="Q1770" s="705" t="s">
        <v>500</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ht="15" x14ac:dyDescent="0.25">
      <c r="A1771" s="711" t="s">
        <v>467</v>
      </c>
      <c r="B1771" s="712"/>
      <c r="C1771" s="713"/>
      <c r="D1771" s="710"/>
      <c r="E1771" s="710"/>
      <c r="F1771" s="710"/>
      <c r="G1771" s="710"/>
      <c r="H1771" s="710"/>
      <c r="I1771" s="710"/>
      <c r="J1771" s="710"/>
      <c r="K1771" s="710"/>
      <c r="L1771" s="710"/>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ht="15" x14ac:dyDescent="0.25">
      <c r="D1772" s="501" t="s">
        <v>468</v>
      </c>
      <c r="E1772" s="501" t="s">
        <v>505</v>
      </c>
      <c r="M1772" s="12"/>
      <c r="N1772" s="12"/>
      <c r="O1772" s="12"/>
      <c r="P1772" s="12"/>
      <c r="Q1772" s="705" t="s">
        <v>502</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
      <c r="A1773" s="484"/>
      <c r="B1773" s="485"/>
      <c r="C1773" s="20" t="s">
        <v>469</v>
      </c>
      <c r="D1773" s="304" t="s">
        <v>478</v>
      </c>
      <c r="E1773" s="304" t="s">
        <v>478</v>
      </c>
      <c r="M1773" s="12"/>
      <c r="N1773" s="12"/>
      <c r="O1773" s="12"/>
      <c r="P1773" s="12"/>
      <c r="Q1773" s="705"/>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
      <c r="A1774" s="486"/>
      <c r="C1774" s="20" t="s">
        <v>479</v>
      </c>
      <c r="E1774" s="14"/>
      <c r="M1774" s="12"/>
      <c r="N1774" s="12"/>
      <c r="O1774" s="12"/>
      <c r="P1774" s="12"/>
      <c r="Q1774" s="705" t="s">
        <v>503</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
      <c r="A1775" s="486"/>
      <c r="B1775" s="10">
        <v>0</v>
      </c>
      <c r="C1775" s="126" t="s">
        <v>481</v>
      </c>
      <c r="E1775" s="14"/>
      <c r="M1775" s="12"/>
      <c r="N1775" s="12"/>
      <c r="O1775" s="12"/>
      <c r="P1775" s="12"/>
      <c r="Q1775" s="705" t="s">
        <v>504</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
      <c r="A1776" s="486"/>
      <c r="B1776" s="10">
        <v>1</v>
      </c>
      <c r="C1776" s="810" t="s">
        <v>482</v>
      </c>
      <c r="D1776" s="816">
        <v>6.1244446078418946E-3</v>
      </c>
      <c r="E1776" s="816">
        <v>5.3906024298502331E-3</v>
      </c>
      <c r="F1776" s="303" t="s">
        <v>2141</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
      <c r="A1777" s="486" t="s">
        <v>483</v>
      </c>
      <c r="B1777" s="10">
        <v>2</v>
      </c>
      <c r="C1777" s="183" t="s">
        <v>484</v>
      </c>
      <c r="D1777" s="815">
        <v>-7.8016393354566338E-3</v>
      </c>
      <c r="E1777" s="815">
        <v>-6.3705142428090999E-3</v>
      </c>
      <c r="F1777" s="303" t="s">
        <v>497</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
      <c r="A1778" s="486" t="s">
        <v>483</v>
      </c>
      <c r="B1778" s="10">
        <v>3</v>
      </c>
      <c r="C1778" s="183" t="s">
        <v>485</v>
      </c>
      <c r="D1778" s="815">
        <v>6.2514987067481265E-3</v>
      </c>
      <c r="E1778" s="815">
        <v>3.5265583166539383E-3</v>
      </c>
      <c r="F1778" s="303" t="s">
        <v>500</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
      <c r="A1779" s="486" t="s">
        <v>483</v>
      </c>
      <c r="B1779" s="10">
        <v>4</v>
      </c>
      <c r="C1779" s="183" t="s">
        <v>486</v>
      </c>
      <c r="D1779" s="815">
        <v>9.748976115757868E-3</v>
      </c>
      <c r="E1779" s="815">
        <v>6.7166791378556745E-3</v>
      </c>
      <c r="F1779" s="303" t="s">
        <v>501</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
      <c r="A1780" s="486" t="s">
        <v>483</v>
      </c>
      <c r="B1780" s="10">
        <v>5</v>
      </c>
      <c r="C1780" s="183" t="s">
        <v>487</v>
      </c>
      <c r="D1780" s="815">
        <v>-5.2701042928582353E-4</v>
      </c>
      <c r="E1780" s="815">
        <v>4.4497734674939782E-3</v>
      </c>
      <c r="F1780" s="303" t="s">
        <v>2142</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
      <c r="A1781" s="486" t="s">
        <v>483</v>
      </c>
      <c r="B1781" s="10">
        <v>6</v>
      </c>
      <c r="C1781" s="183" t="s">
        <v>488</v>
      </c>
      <c r="D1781" s="815">
        <v>1.670494871211603E-2</v>
      </c>
      <c r="E1781" s="815">
        <v>1.0992356943558379E-2</v>
      </c>
      <c r="F1781" s="303"/>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
      <c r="A1782" s="486" t="s">
        <v>483</v>
      </c>
      <c r="B1782" s="10">
        <v>7</v>
      </c>
      <c r="C1782" s="183" t="s">
        <v>489</v>
      </c>
      <c r="D1782" s="815">
        <v>1.649679802463222E-2</v>
      </c>
      <c r="E1782" s="815">
        <v>1.7408508457293692E-2</v>
      </c>
      <c r="F1782" s="303" t="s">
        <v>503</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
      <c r="A1783" s="486" t="s">
        <v>483</v>
      </c>
      <c r="B1783" s="10">
        <v>8</v>
      </c>
      <c r="C1783" s="810" t="s">
        <v>490</v>
      </c>
      <c r="D1783" s="816">
        <v>8.7908194773067497E-3</v>
      </c>
      <c r="E1783" s="816">
        <v>7.5776637279063586E-3</v>
      </c>
      <c r="F1783" s="303" t="s">
        <v>504</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
      <c r="A1784" s="486" t="s">
        <v>483</v>
      </c>
      <c r="B1784" s="10">
        <v>9</v>
      </c>
      <c r="C1784" s="183" t="s">
        <v>491</v>
      </c>
      <c r="D1784" s="815">
        <f>D1777</f>
        <v>-7.8016393354566338E-3</v>
      </c>
      <c r="E1784" s="815">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
      <c r="A1785" s="486" t="s">
        <v>483</v>
      </c>
      <c r="B1785" s="10">
        <v>10</v>
      </c>
      <c r="C1785" s="183" t="s">
        <v>492</v>
      </c>
      <c r="D1785" s="815">
        <v>9.1877436581744298E-3</v>
      </c>
      <c r="E1785" s="815">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
      <c r="A1786" s="486" t="s">
        <v>483</v>
      </c>
      <c r="B1786" s="10">
        <v>11</v>
      </c>
      <c r="C1786" s="183" t="s">
        <v>493</v>
      </c>
      <c r="D1786" s="815">
        <v>8.4136487204315991E-3</v>
      </c>
      <c r="E1786" s="815">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
      <c r="A1787" s="486" t="s">
        <v>483</v>
      </c>
      <c r="B1787" s="10">
        <v>12</v>
      </c>
      <c r="C1787" s="183"/>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
      <c r="A1788" s="486" t="s">
        <v>483</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
      <c r="A1789" s="57"/>
      <c r="B1789" s="354">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
      <c r="B1790" s="10">
        <v>15</v>
      </c>
      <c r="C1790" s="126"/>
      <c r="E1790" s="443" t="s">
        <v>498</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7"/>
  <sheetViews>
    <sheetView showGridLines="0" zoomScale="80" zoomScaleNormal="80" zoomScaleSheetLayoutView="80" workbookViewId="0">
      <selection activeCell="B15" sqref="B15"/>
    </sheetView>
  </sheetViews>
  <sheetFormatPr defaultColWidth="8.85546875" defaultRowHeight="15" x14ac:dyDescent="0.25"/>
  <cols>
    <col min="1" max="1" width="3.5703125" customWidth="1"/>
    <col min="2" max="2" width="50.5703125" style="1" customWidth="1"/>
    <col min="3" max="8" width="11.5703125" customWidth="1"/>
    <col min="9" max="9" width="10.42578125" customWidth="1"/>
    <col min="10" max="12" width="11.42578125" bestFit="1" customWidth="1"/>
    <col min="13" max="13" width="11.42578125" customWidth="1"/>
    <col min="14" max="14" width="1.5703125" customWidth="1"/>
    <col min="15" max="20" width="10.85546875" customWidth="1"/>
    <col min="22" max="35" width="8.85546875" customWidth="1"/>
  </cols>
  <sheetData>
    <row r="1" spans="2:34" ht="30" customHeight="1" x14ac:dyDescent="0.25">
      <c r="B1" s="447" t="str">
        <f>'Inputs and population'!B1</f>
        <v>Enfortumab vedotin with pembrolizumab for untreated unresectable or metastatic urothelial cancer when platinum-based chemotherapy is suitable</v>
      </c>
      <c r="C1" s="115"/>
      <c r="D1" s="115"/>
      <c r="E1" s="115"/>
      <c r="F1" s="115"/>
      <c r="G1" s="115"/>
      <c r="H1" s="115"/>
      <c r="I1" s="115"/>
      <c r="J1" s="115"/>
      <c r="K1" s="115"/>
      <c r="L1" s="115"/>
      <c r="M1" s="115"/>
      <c r="N1" s="115"/>
      <c r="O1" s="115"/>
      <c r="P1" s="115"/>
      <c r="Q1" s="115"/>
      <c r="R1" s="115"/>
      <c r="S1" s="115"/>
      <c r="T1" s="115"/>
    </row>
    <row r="2" spans="2:34" ht="38.1" customHeight="1" x14ac:dyDescent="0.25">
      <c r="B2" s="332" t="s">
        <v>734</v>
      </c>
      <c r="C2" s="115" t="s">
        <v>599</v>
      </c>
      <c r="D2" s="115" t="s">
        <v>599</v>
      </c>
      <c r="E2" s="115" t="s">
        <v>599</v>
      </c>
      <c r="F2" s="115" t="s">
        <v>599</v>
      </c>
      <c r="G2" s="115" t="s">
        <v>599</v>
      </c>
      <c r="H2" s="115"/>
      <c r="I2" s="115" t="s">
        <v>599</v>
      </c>
      <c r="J2" s="115" t="s">
        <v>599</v>
      </c>
      <c r="K2" s="121"/>
      <c r="L2" s="115"/>
      <c r="M2" s="115"/>
      <c r="N2" s="115"/>
      <c r="O2" s="115"/>
      <c r="P2" s="115"/>
      <c r="Q2" s="115"/>
      <c r="R2" s="115"/>
      <c r="S2" s="115"/>
      <c r="T2" s="115"/>
    </row>
    <row r="3" spans="2:34" x14ac:dyDescent="0.25">
      <c r="B3" s="118" t="s">
        <v>599</v>
      </c>
      <c r="C3" s="121" t="s">
        <v>599</v>
      </c>
      <c r="D3" s="121" t="s">
        <v>599</v>
      </c>
      <c r="E3" s="121" t="s">
        <v>599</v>
      </c>
      <c r="F3" s="121" t="s">
        <v>599</v>
      </c>
      <c r="G3" s="121" t="s">
        <v>599</v>
      </c>
      <c r="H3" s="121" t="s">
        <v>599</v>
      </c>
      <c r="I3" s="121" t="s">
        <v>599</v>
      </c>
      <c r="J3" s="121" t="s">
        <v>599</v>
      </c>
      <c r="K3" s="121"/>
      <c r="L3" s="121"/>
      <c r="M3" s="121"/>
      <c r="N3" s="121"/>
      <c r="O3" s="121"/>
      <c r="P3" s="121"/>
      <c r="Q3" s="121"/>
      <c r="R3" s="121"/>
      <c r="S3" s="121"/>
      <c r="T3" s="121"/>
    </row>
    <row r="4" spans="2:34" s="215" customFormat="1" x14ac:dyDescent="0.25">
      <c r="B4" s="220" t="s">
        <v>735</v>
      </c>
      <c r="F4" s="121"/>
      <c r="G4" s="121"/>
      <c r="H4" s="121"/>
      <c r="I4" s="121"/>
      <c r="J4" s="121" t="s">
        <v>599</v>
      </c>
      <c r="K4" s="121"/>
      <c r="L4" s="121"/>
      <c r="M4" s="121"/>
      <c r="N4" s="121"/>
      <c r="O4" s="121"/>
      <c r="P4" s="121"/>
      <c r="Q4" s="121"/>
      <c r="R4" s="121"/>
      <c r="S4" s="121"/>
      <c r="T4" s="121"/>
    </row>
    <row r="5" spans="2:34" s="215" customFormat="1" x14ac:dyDescent="0.25">
      <c r="B5" s="220" t="s">
        <v>736</v>
      </c>
      <c r="F5" s="121"/>
      <c r="G5" s="121"/>
      <c r="H5" s="121"/>
      <c r="I5" s="121"/>
      <c r="J5" s="121"/>
      <c r="K5" s="121"/>
      <c r="L5" s="121"/>
      <c r="M5" s="121"/>
      <c r="N5" s="121"/>
      <c r="O5" s="121"/>
      <c r="P5" s="121"/>
      <c r="Q5" s="121"/>
      <c r="R5" s="121"/>
      <c r="S5" s="121"/>
      <c r="T5" s="121"/>
    </row>
    <row r="6" spans="2:34" s="215" customFormat="1" x14ac:dyDescent="0.25">
      <c r="B6" s="220"/>
      <c r="C6" s="121" t="s">
        <v>599</v>
      </c>
      <c r="D6" s="121" t="s">
        <v>599</v>
      </c>
      <c r="E6" s="121"/>
      <c r="F6" s="121"/>
      <c r="G6" s="121"/>
      <c r="H6" s="121"/>
      <c r="I6" s="121" t="s">
        <v>599</v>
      </c>
      <c r="J6" s="121" t="s">
        <v>599</v>
      </c>
      <c r="K6" s="121"/>
      <c r="L6" s="121"/>
      <c r="M6" s="121"/>
      <c r="N6" s="121"/>
      <c r="O6" s="121"/>
      <c r="P6" s="121"/>
      <c r="Q6" s="121"/>
      <c r="R6" s="121"/>
      <c r="S6" s="121"/>
      <c r="T6" s="121"/>
    </row>
    <row r="7" spans="2:34" s="215" customFormat="1" ht="45" x14ac:dyDescent="0.25">
      <c r="B7" s="231" t="s">
        <v>717</v>
      </c>
      <c r="C7" s="242"/>
      <c r="D7" s="802" t="s">
        <v>737</v>
      </c>
      <c r="E7" s="243" t="s">
        <v>591</v>
      </c>
      <c r="F7" s="243" t="s">
        <v>592</v>
      </c>
      <c r="G7" s="244" t="s">
        <v>714</v>
      </c>
      <c r="H7" s="244" t="s">
        <v>715</v>
      </c>
      <c r="I7" s="243" t="s">
        <v>716</v>
      </c>
      <c r="K7" s="121"/>
      <c r="L7" s="121"/>
      <c r="N7" s="121"/>
      <c r="O7" s="121"/>
      <c r="P7" s="121"/>
      <c r="Q7" s="121"/>
      <c r="R7" s="121"/>
      <c r="S7" s="121"/>
      <c r="T7" s="121"/>
    </row>
    <row r="8" spans="2:34" s="136" customFormat="1" x14ac:dyDescent="0.25">
      <c r="B8" s="203" t="s">
        <v>717</v>
      </c>
      <c r="C8" s="164"/>
      <c r="D8" s="163">
        <f>'Inputs and population'!E34</f>
        <v>1298.5707162590279</v>
      </c>
      <c r="E8" s="163">
        <f>'Inputs and population'!F34</f>
        <v>1309.9862170041781</v>
      </c>
      <c r="F8" s="163">
        <f>'Inputs and population'!G34</f>
        <v>1321.5020693556216</v>
      </c>
      <c r="G8" s="163">
        <f>'Inputs and population'!H34</f>
        <v>1333.1191554862141</v>
      </c>
      <c r="H8" s="163">
        <f>'Inputs and population'!I34</f>
        <v>1344.8383653238332</v>
      </c>
      <c r="I8" s="163">
        <f>'Inputs and population'!J34</f>
        <v>1356.6605966195514</v>
      </c>
      <c r="K8" s="121"/>
      <c r="L8" s="121"/>
    </row>
    <row r="9" spans="2:34" s="215" customFormat="1" x14ac:dyDescent="0.25">
      <c r="B9" s="217" t="s">
        <v>599</v>
      </c>
      <c r="C9" s="121" t="s">
        <v>599</v>
      </c>
      <c r="D9" s="121" t="s">
        <v>599</v>
      </c>
      <c r="E9" s="121" t="s">
        <v>599</v>
      </c>
      <c r="F9" s="121" t="s">
        <v>599</v>
      </c>
      <c r="G9" s="121" t="s">
        <v>599</v>
      </c>
      <c r="H9" s="121"/>
      <c r="I9" s="121"/>
      <c r="K9" s="121"/>
      <c r="L9" s="121"/>
      <c r="N9" s="121"/>
      <c r="O9" s="121"/>
      <c r="P9" s="121"/>
      <c r="Q9" s="121"/>
      <c r="R9" s="121"/>
      <c r="S9" s="121"/>
      <c r="T9" s="121"/>
      <c r="AD9" s="245"/>
      <c r="AE9" s="245"/>
      <c r="AF9" s="245"/>
      <c r="AG9" s="245"/>
      <c r="AH9" s="245"/>
    </row>
    <row r="10" spans="2:34" s="215" customFormat="1" x14ac:dyDescent="0.25">
      <c r="B10" s="305" t="s">
        <v>720</v>
      </c>
      <c r="C10" s="306"/>
      <c r="D10" s="307"/>
      <c r="E10" s="307"/>
      <c r="F10" s="307"/>
      <c r="G10" s="307"/>
      <c r="H10" s="307"/>
      <c r="I10" s="308"/>
      <c r="K10" s="121"/>
      <c r="L10" s="121"/>
      <c r="N10" s="121"/>
      <c r="O10" s="121"/>
      <c r="P10" s="121"/>
      <c r="Q10" s="121"/>
      <c r="R10" s="121"/>
      <c r="S10" s="121"/>
      <c r="T10" s="121"/>
    </row>
    <row r="11" spans="2:34" s="215" customFormat="1" x14ac:dyDescent="0.25">
      <c r="B11" s="217"/>
      <c r="C11" s="121"/>
      <c r="D11" s="121"/>
      <c r="E11" s="121"/>
      <c r="F11" s="121"/>
      <c r="G11" s="121"/>
      <c r="H11" s="121"/>
      <c r="I11" s="121"/>
      <c r="N11" s="121"/>
      <c r="O11" s="121"/>
      <c r="P11" s="121"/>
      <c r="Q11" s="121"/>
      <c r="R11" s="121"/>
      <c r="S11" s="121"/>
      <c r="T11" s="121"/>
      <c r="AD11" s="245"/>
      <c r="AE11" s="245"/>
      <c r="AF11" s="245"/>
      <c r="AG11" s="245"/>
      <c r="AH11" s="245"/>
    </row>
    <row r="12" spans="2:34" s="215" customFormat="1" x14ac:dyDescent="0.25">
      <c r="B12" s="251" t="s">
        <v>738</v>
      </c>
      <c r="C12" s="246"/>
      <c r="D12" s="165"/>
      <c r="E12" s="165"/>
      <c r="F12" s="165"/>
      <c r="G12" s="165"/>
      <c r="H12" s="165"/>
      <c r="I12" s="166"/>
      <c r="N12" s="121"/>
      <c r="O12" s="121"/>
      <c r="P12" s="121"/>
      <c r="Q12" s="121"/>
      <c r="R12" s="121"/>
      <c r="S12" s="121"/>
      <c r="T12" s="121"/>
    </row>
    <row r="13" spans="2:34" s="215" customFormat="1" x14ac:dyDescent="0.25">
      <c r="B13" s="180" t="s">
        <v>2302</v>
      </c>
      <c r="C13" s="919"/>
      <c r="D13" s="247">
        <f>'Inputs and population'!K39</f>
        <v>0</v>
      </c>
      <c r="E13" s="247">
        <f>'Inputs and population'!L39</f>
        <v>720.49241935229804</v>
      </c>
      <c r="F13" s="247">
        <f>'Inputs and population'!M39</f>
        <v>977.91153132316003</v>
      </c>
      <c r="G13" s="247">
        <f>'Inputs and population'!N39</f>
        <v>1066.4953243889713</v>
      </c>
      <c r="H13" s="247">
        <f>'Inputs and population'!O39</f>
        <v>1075.8706922590666</v>
      </c>
      <c r="I13" s="247">
        <f>'Inputs and population'!P39</f>
        <v>1085.3284772956411</v>
      </c>
      <c r="N13" s="121"/>
      <c r="O13" s="121"/>
      <c r="P13" s="121"/>
      <c r="Q13" s="121"/>
      <c r="R13" s="121"/>
      <c r="S13" s="121"/>
      <c r="T13" s="121"/>
      <c r="V13" s="245"/>
      <c r="W13" s="245"/>
      <c r="X13" s="245"/>
      <c r="Y13" s="245"/>
      <c r="Z13" s="245"/>
      <c r="AA13" s="245"/>
      <c r="AC13" s="245"/>
      <c r="AD13" s="245"/>
      <c r="AE13" s="245"/>
      <c r="AF13" s="245"/>
      <c r="AG13" s="245"/>
      <c r="AH13" s="245"/>
    </row>
    <row r="14" spans="2:34" s="215" customFormat="1" x14ac:dyDescent="0.25">
      <c r="B14" s="180" t="s">
        <v>2303</v>
      </c>
      <c r="C14" s="919"/>
      <c r="D14" s="247">
        <f>'Inputs and population'!K40</f>
        <v>0</v>
      </c>
      <c r="E14" s="247">
        <f>'Inputs and population'!L40</f>
        <v>0</v>
      </c>
      <c r="F14" s="247">
        <f>'Inputs and population'!M40</f>
        <v>720.49241935229804</v>
      </c>
      <c r="G14" s="247">
        <f>'Inputs and population'!N40</f>
        <v>977.91153132316003</v>
      </c>
      <c r="H14" s="247">
        <f>'Inputs and population'!O40</f>
        <v>1066.4953243889713</v>
      </c>
      <c r="I14" s="247">
        <f>'Inputs and population'!P40</f>
        <v>1075.8706922590666</v>
      </c>
      <c r="N14" s="121"/>
      <c r="O14" s="121"/>
      <c r="P14" s="121"/>
      <c r="Q14" s="121"/>
      <c r="R14" s="121"/>
      <c r="S14" s="121"/>
      <c r="T14" s="121"/>
      <c r="V14" s="245"/>
      <c r="W14" s="245"/>
      <c r="X14" s="245"/>
      <c r="Y14" s="245"/>
      <c r="Z14" s="245"/>
      <c r="AA14" s="245"/>
      <c r="AC14" s="245"/>
      <c r="AD14" s="245"/>
      <c r="AE14" s="245"/>
      <c r="AF14" s="245"/>
      <c r="AG14" s="245"/>
      <c r="AH14" s="245"/>
    </row>
    <row r="15" spans="2:34" s="215" customFormat="1" x14ac:dyDescent="0.25">
      <c r="B15" s="212" t="s">
        <v>2237</v>
      </c>
      <c r="C15" s="919"/>
      <c r="D15" s="247">
        <f>'Inputs and population'!K41</f>
        <v>701.22818677987516</v>
      </c>
      <c r="E15" s="247">
        <f>'Inputs and population'!L41</f>
        <v>314.39669208100275</v>
      </c>
      <c r="F15" s="247">
        <f>'Inputs and population'!M41</f>
        <v>185.01028970978706</v>
      </c>
      <c r="G15" s="247">
        <f>'Inputs and population'!N41</f>
        <v>146.64310710348354</v>
      </c>
      <c r="H15" s="247">
        <f>'Inputs and population'!O41</f>
        <v>134.48383653238332</v>
      </c>
      <c r="I15" s="247">
        <f>'Inputs and population'!P41</f>
        <v>135.66605966195513</v>
      </c>
      <c r="N15" s="121"/>
      <c r="O15" s="121"/>
      <c r="P15" s="121"/>
      <c r="Q15" s="121"/>
      <c r="R15" s="121"/>
      <c r="S15" s="121"/>
      <c r="T15" s="121"/>
      <c r="V15" s="245"/>
      <c r="W15" s="245"/>
      <c r="X15" s="245"/>
      <c r="Y15" s="245"/>
      <c r="Z15" s="245"/>
      <c r="AA15" s="245"/>
      <c r="AC15" s="245"/>
      <c r="AD15" s="245"/>
      <c r="AE15" s="245"/>
      <c r="AF15" s="245"/>
      <c r="AG15" s="245"/>
      <c r="AH15" s="245"/>
    </row>
    <row r="16" spans="2:34" s="215" customFormat="1" x14ac:dyDescent="0.25">
      <c r="B16" s="212" t="s">
        <v>2238</v>
      </c>
      <c r="C16" s="312"/>
      <c r="D16" s="247">
        <f>'Inputs and population'!K42</f>
        <v>597.34252947915286</v>
      </c>
      <c r="E16" s="247">
        <f>'Inputs and population'!L42</f>
        <v>275.09710557087737</v>
      </c>
      <c r="F16" s="247">
        <f>'Inputs and population'!M42</f>
        <v>158.58024832267458</v>
      </c>
      <c r="G16" s="247">
        <f>'Inputs and population'!N42</f>
        <v>119.98072399375927</v>
      </c>
      <c r="H16" s="247">
        <f>'Inputs and population'!O42</f>
        <v>134.48383653238332</v>
      </c>
      <c r="I16" s="247">
        <f>'Inputs and population'!P42</f>
        <v>135.66605966195513</v>
      </c>
      <c r="N16" s="121"/>
      <c r="O16" s="121"/>
      <c r="P16" s="121"/>
      <c r="Q16" s="121"/>
      <c r="R16" s="121"/>
      <c r="S16" s="121"/>
      <c r="T16" s="121"/>
      <c r="V16" s="245"/>
      <c r="W16" s="245"/>
      <c r="X16" s="245"/>
      <c r="Y16" s="245"/>
      <c r="Z16" s="245"/>
      <c r="AA16" s="245"/>
      <c r="AC16" s="245"/>
      <c r="AD16" s="245"/>
      <c r="AE16" s="245"/>
      <c r="AF16" s="245"/>
      <c r="AG16" s="245"/>
      <c r="AH16" s="245"/>
    </row>
    <row r="17" spans="2:34" s="215" customFormat="1" x14ac:dyDescent="0.25">
      <c r="B17" s="212" t="s">
        <v>2260</v>
      </c>
      <c r="C17" s="312"/>
      <c r="D17" s="247">
        <f>'Inputs and population'!K43</f>
        <v>0</v>
      </c>
      <c r="E17" s="247">
        <f>'Inputs and population'!L43</f>
        <v>0</v>
      </c>
      <c r="F17" s="247">
        <f>'Inputs and population'!M43</f>
        <v>0</v>
      </c>
      <c r="G17" s="247">
        <f>'Inputs and population'!N43</f>
        <v>0</v>
      </c>
      <c r="H17" s="247">
        <f>'Inputs and population'!O43</f>
        <v>0</v>
      </c>
      <c r="I17" s="247">
        <f>'Inputs and population'!P43</f>
        <v>0</v>
      </c>
      <c r="N17" s="121"/>
      <c r="O17" s="121"/>
      <c r="P17" s="121"/>
      <c r="Q17" s="121"/>
      <c r="R17" s="121"/>
      <c r="S17" s="121"/>
      <c r="T17" s="121"/>
      <c r="V17" s="245"/>
      <c r="W17" s="245"/>
      <c r="X17" s="245"/>
      <c r="Y17" s="245"/>
      <c r="Z17" s="245"/>
      <c r="AA17" s="245"/>
      <c r="AC17" s="245"/>
      <c r="AD17" s="245"/>
      <c r="AE17" s="245"/>
      <c r="AF17" s="245"/>
      <c r="AG17" s="245"/>
      <c r="AH17" s="245"/>
    </row>
    <row r="18" spans="2:34" s="215" customFormat="1" x14ac:dyDescent="0.25">
      <c r="B18" s="251" t="s">
        <v>2210</v>
      </c>
      <c r="C18" s="246"/>
      <c r="D18" s="168">
        <f>SUM(D13:D17)</f>
        <v>1298.5707162590279</v>
      </c>
      <c r="E18" s="168">
        <f t="shared" ref="E18:I18" si="0">SUM(E13:E17)</f>
        <v>1309.9862170041781</v>
      </c>
      <c r="F18" s="168">
        <f t="shared" si="0"/>
        <v>2041.9944887079196</v>
      </c>
      <c r="G18" s="168">
        <f t="shared" si="0"/>
        <v>2311.0306868093739</v>
      </c>
      <c r="H18" s="168">
        <f t="shared" si="0"/>
        <v>2411.3336897128047</v>
      </c>
      <c r="I18" s="168">
        <f t="shared" si="0"/>
        <v>2432.5312888786175</v>
      </c>
      <c r="N18" s="121"/>
      <c r="O18" s="121"/>
      <c r="P18" s="121"/>
      <c r="Q18" s="121"/>
      <c r="R18" s="121"/>
      <c r="S18" s="121"/>
      <c r="T18" s="121"/>
      <c r="V18" s="245"/>
      <c r="W18" s="245"/>
      <c r="X18" s="245"/>
      <c r="Y18" s="245"/>
      <c r="Z18" s="245"/>
      <c r="AA18" s="245"/>
      <c r="AC18" s="245"/>
      <c r="AD18" s="245"/>
      <c r="AE18" s="245"/>
      <c r="AF18" s="245"/>
      <c r="AG18" s="245"/>
      <c r="AH18" s="245"/>
    </row>
    <row r="19" spans="2:34" s="215" customFormat="1" x14ac:dyDescent="0.25">
      <c r="B19" s="311" t="str">
        <f>'Inputs and population'!C47</f>
        <v>Gemcitabine + cisplatin</v>
      </c>
      <c r="C19" s="312"/>
      <c r="D19" s="247">
        <f>'Inputs and population'!K47</f>
        <v>0</v>
      </c>
      <c r="E19" s="247">
        <f>'Inputs and population'!L47</f>
        <v>0</v>
      </c>
      <c r="F19" s="247">
        <f>'Inputs and population'!M47</f>
        <v>0</v>
      </c>
      <c r="G19" s="247">
        <f>'Inputs and population'!N47</f>
        <v>0</v>
      </c>
      <c r="H19" s="247">
        <f>'Inputs and population'!O47</f>
        <v>0</v>
      </c>
      <c r="I19" s="247">
        <f>'Inputs and population'!P47</f>
        <v>0</v>
      </c>
      <c r="N19" s="121"/>
      <c r="O19" s="121"/>
      <c r="P19" s="121"/>
      <c r="Q19" s="121"/>
      <c r="R19" s="121"/>
      <c r="S19" s="121"/>
      <c r="T19" s="121"/>
      <c r="V19" s="245"/>
      <c r="W19" s="245"/>
      <c r="X19" s="245"/>
      <c r="Y19" s="245"/>
      <c r="Z19" s="245"/>
      <c r="AA19" s="245"/>
      <c r="AC19" s="245"/>
      <c r="AD19" s="245"/>
      <c r="AE19" s="245"/>
      <c r="AF19" s="245"/>
      <c r="AG19" s="245"/>
      <c r="AH19" s="245"/>
    </row>
    <row r="20" spans="2:34" s="215" customFormat="1" x14ac:dyDescent="0.25">
      <c r="B20" s="311" t="str">
        <f>'Inputs and population'!C48</f>
        <v>Gemcitabine + carboplatin</v>
      </c>
      <c r="C20" s="312"/>
      <c r="D20" s="247">
        <f>'Inputs and population'!K48</f>
        <v>0</v>
      </c>
      <c r="E20" s="247">
        <f>'Inputs and population'!L48</f>
        <v>0</v>
      </c>
      <c r="F20" s="247">
        <f>'Inputs and population'!M48</f>
        <v>0</v>
      </c>
      <c r="G20" s="247">
        <f>'Inputs and population'!N48</f>
        <v>0</v>
      </c>
      <c r="H20" s="247">
        <f>'Inputs and population'!O48</f>
        <v>0</v>
      </c>
      <c r="I20" s="247">
        <f>'Inputs and population'!P48</f>
        <v>0</v>
      </c>
      <c r="N20" s="121"/>
      <c r="O20" s="121"/>
      <c r="P20" s="121"/>
      <c r="Q20" s="121"/>
      <c r="R20" s="121"/>
      <c r="S20" s="121"/>
      <c r="T20" s="121"/>
      <c r="V20" s="245"/>
      <c r="W20" s="245"/>
      <c r="X20" s="245"/>
      <c r="Y20" s="245"/>
      <c r="Z20" s="245"/>
      <c r="AA20" s="245"/>
      <c r="AC20" s="245"/>
      <c r="AD20" s="245"/>
      <c r="AE20" s="245"/>
      <c r="AF20" s="245"/>
      <c r="AG20" s="245"/>
      <c r="AH20" s="245"/>
    </row>
    <row r="21" spans="2:34" s="215" customFormat="1" x14ac:dyDescent="0.25">
      <c r="B21" s="311" t="str">
        <f>'Inputs and population'!C49</f>
        <v>Atezolizumab</v>
      </c>
      <c r="C21" s="933"/>
      <c r="D21" s="247">
        <f>'Inputs and population'!K49</f>
        <v>0</v>
      </c>
      <c r="E21" s="247">
        <f>'Inputs and population'!L49</f>
        <v>0</v>
      </c>
      <c r="F21" s="247">
        <f>'Inputs and population'!M49</f>
        <v>0</v>
      </c>
      <c r="G21" s="247">
        <f>'Inputs and population'!N49</f>
        <v>0</v>
      </c>
      <c r="H21" s="247">
        <f>'Inputs and population'!O49</f>
        <v>0</v>
      </c>
      <c r="I21" s="247">
        <f>'Inputs and population'!P49</f>
        <v>0</v>
      </c>
      <c r="N21" s="121"/>
      <c r="O21" s="121"/>
      <c r="P21" s="121"/>
      <c r="Q21" s="121"/>
      <c r="R21" s="121"/>
      <c r="S21" s="121"/>
      <c r="T21" s="121"/>
      <c r="V21" s="245"/>
      <c r="W21" s="245"/>
      <c r="X21" s="245"/>
      <c r="Y21" s="245"/>
      <c r="Z21" s="245"/>
      <c r="AA21" s="245"/>
      <c r="AC21" s="245"/>
      <c r="AD21" s="245"/>
      <c r="AE21" s="245"/>
      <c r="AF21" s="245"/>
      <c r="AG21" s="245"/>
      <c r="AH21" s="245"/>
    </row>
    <row r="22" spans="2:34" s="215" customFormat="1" x14ac:dyDescent="0.25">
      <c r="B22" s="311" t="str">
        <f>'Inputs and population'!C50</f>
        <v>Paclitaxel</v>
      </c>
      <c r="C22" s="933"/>
      <c r="D22" s="247">
        <f>'Inputs and population'!K50</f>
        <v>0</v>
      </c>
      <c r="E22" s="247">
        <f>'Inputs and population'!L50</f>
        <v>0</v>
      </c>
      <c r="F22" s="247">
        <f>'Inputs and population'!M50</f>
        <v>0</v>
      </c>
      <c r="G22" s="247">
        <f>'Inputs and population'!N50</f>
        <v>0</v>
      </c>
      <c r="H22" s="247">
        <f>'Inputs and population'!O50</f>
        <v>0</v>
      </c>
      <c r="I22" s="247">
        <f>'Inputs and population'!P50</f>
        <v>0</v>
      </c>
      <c r="N22" s="121"/>
      <c r="O22" s="121"/>
      <c r="P22" s="121"/>
      <c r="Q22" s="121"/>
      <c r="R22" s="121"/>
      <c r="S22" s="121"/>
      <c r="T22" s="121"/>
      <c r="V22" s="245"/>
      <c r="W22" s="245"/>
      <c r="X22" s="245"/>
      <c r="Y22" s="245"/>
      <c r="Z22" s="245"/>
      <c r="AA22" s="245"/>
      <c r="AC22" s="245"/>
      <c r="AD22" s="245"/>
      <c r="AE22" s="245"/>
      <c r="AF22" s="245"/>
      <c r="AG22" s="245"/>
      <c r="AH22" s="245"/>
    </row>
    <row r="23" spans="2:34" s="215" customFormat="1" x14ac:dyDescent="0.25">
      <c r="B23" s="251" t="s">
        <v>2261</v>
      </c>
      <c r="C23" s="246"/>
      <c r="D23" s="168">
        <f>SUM(D19:D22)</f>
        <v>0</v>
      </c>
      <c r="E23" s="168">
        <f t="shared" ref="E23:I23" si="1">SUM(E19:E22)</f>
        <v>0</v>
      </c>
      <c r="F23" s="168">
        <f t="shared" si="1"/>
        <v>0</v>
      </c>
      <c r="G23" s="168">
        <f t="shared" si="1"/>
        <v>0</v>
      </c>
      <c r="H23" s="168">
        <f t="shared" si="1"/>
        <v>0</v>
      </c>
      <c r="I23" s="168">
        <f t="shared" si="1"/>
        <v>0</v>
      </c>
      <c r="N23" s="121"/>
      <c r="O23" s="121"/>
      <c r="P23" s="121"/>
      <c r="Q23" s="121"/>
      <c r="R23" s="121"/>
      <c r="S23" s="121"/>
      <c r="T23" s="121"/>
      <c r="V23" s="245"/>
      <c r="W23" s="245"/>
      <c r="X23" s="245"/>
      <c r="Y23" s="245"/>
      <c r="Z23" s="245"/>
      <c r="AA23" s="245"/>
      <c r="AC23" s="245"/>
      <c r="AD23" s="245"/>
      <c r="AE23" s="245"/>
      <c r="AF23" s="245"/>
      <c r="AG23" s="245"/>
      <c r="AH23" s="245"/>
    </row>
    <row r="24" spans="2:34" s="215" customFormat="1" x14ac:dyDescent="0.25">
      <c r="B24" s="311" t="str">
        <f>'Inputs and population'!C54</f>
        <v>Avelumab</v>
      </c>
      <c r="C24" s="312"/>
      <c r="D24" s="247">
        <f>'Inputs and population'!K54</f>
        <v>389.57121487770837</v>
      </c>
      <c r="E24" s="247">
        <f>'Inputs and population'!L54</f>
        <v>176.84813929556404</v>
      </c>
      <c r="F24" s="247">
        <f>'Inputs and population'!M54</f>
        <v>103.07716140973849</v>
      </c>
      <c r="G24" s="247">
        <f>'Inputs and population'!N54</f>
        <v>79.987149329172837</v>
      </c>
      <c r="H24" s="247">
        <f>'Inputs and population'!O54</f>
        <v>80.690301919429984</v>
      </c>
      <c r="I24" s="247">
        <f>'Inputs and population'!P54</f>
        <v>81.399635797173076</v>
      </c>
      <c r="N24" s="121"/>
      <c r="O24" s="121"/>
      <c r="P24" s="121"/>
      <c r="Q24" s="121"/>
      <c r="R24" s="121"/>
      <c r="S24" s="121"/>
      <c r="T24" s="121"/>
      <c r="V24" s="245"/>
      <c r="W24" s="245"/>
      <c r="X24" s="245"/>
      <c r="Y24" s="245"/>
      <c r="Z24" s="245"/>
      <c r="AA24" s="245"/>
      <c r="AC24" s="245"/>
      <c r="AD24" s="245"/>
      <c r="AE24" s="245"/>
      <c r="AF24" s="245"/>
      <c r="AG24" s="245"/>
      <c r="AH24" s="245"/>
    </row>
    <row r="25" spans="2:34" s="215" customFormat="1" x14ac:dyDescent="0.25">
      <c r="B25" s="252"/>
      <c r="C25" s="167"/>
      <c r="D25" s="168">
        <f>D18+D23+D24</f>
        <v>1688.1419311367363</v>
      </c>
      <c r="E25" s="168">
        <f t="shared" ref="E25:I25" si="2">E18+E23+E24</f>
        <v>1486.8343562997422</v>
      </c>
      <c r="F25" s="168">
        <f t="shared" si="2"/>
        <v>2145.071650117658</v>
      </c>
      <c r="G25" s="168">
        <f t="shared" si="2"/>
        <v>2391.017836138547</v>
      </c>
      <c r="H25" s="168">
        <f t="shared" si="2"/>
        <v>2492.0239916322348</v>
      </c>
      <c r="I25" s="168">
        <f t="shared" si="2"/>
        <v>2513.9309246757907</v>
      </c>
      <c r="N25" s="121"/>
      <c r="O25" s="121"/>
      <c r="P25" s="121"/>
      <c r="Q25" s="121"/>
      <c r="R25" s="121"/>
      <c r="S25" s="121"/>
      <c r="T25" s="121"/>
      <c r="V25" s="245"/>
      <c r="W25" s="245"/>
      <c r="X25" s="245"/>
      <c r="Y25" s="245"/>
      <c r="Z25" s="245"/>
      <c r="AA25" s="245"/>
      <c r="AC25" s="245"/>
      <c r="AD25" s="245"/>
      <c r="AE25" s="245"/>
      <c r="AF25" s="245"/>
      <c r="AG25" s="245"/>
      <c r="AH25" s="245"/>
    </row>
    <row r="26" spans="2:34" s="215" customFormat="1" x14ac:dyDescent="0.25">
      <c r="B26" s="253"/>
      <c r="C26" s="121"/>
      <c r="D26" s="121"/>
      <c r="E26" s="121"/>
      <c r="F26" s="121"/>
      <c r="G26" s="121"/>
      <c r="H26" s="121"/>
      <c r="I26" s="121"/>
      <c r="N26" s="121"/>
      <c r="O26" s="121"/>
      <c r="P26" s="121"/>
      <c r="Q26" s="121"/>
      <c r="R26" s="121"/>
      <c r="S26" s="121"/>
      <c r="T26" s="121"/>
      <c r="AD26" s="245"/>
      <c r="AE26" s="245"/>
      <c r="AF26" s="245"/>
      <c r="AG26" s="245"/>
      <c r="AH26" s="245"/>
    </row>
    <row r="27" spans="2:34" s="215" customFormat="1" x14ac:dyDescent="0.25">
      <c r="B27" s="254" t="s">
        <v>739</v>
      </c>
      <c r="C27" s="248" t="s">
        <v>740</v>
      </c>
      <c r="D27" s="545" t="s">
        <v>721</v>
      </c>
      <c r="E27" s="545" t="s">
        <v>721</v>
      </c>
      <c r="F27" s="545" t="s">
        <v>721</v>
      </c>
      <c r="G27" s="545" t="s">
        <v>721</v>
      </c>
      <c r="H27" s="545" t="s">
        <v>721</v>
      </c>
      <c r="I27" s="545" t="s">
        <v>721</v>
      </c>
      <c r="N27" s="121"/>
      <c r="O27" s="121"/>
      <c r="P27" s="121"/>
      <c r="Q27" s="121"/>
      <c r="R27" s="121"/>
      <c r="S27" s="121"/>
      <c r="T27" s="121"/>
      <c r="AD27" s="245"/>
      <c r="AE27" s="245"/>
      <c r="AF27" s="245"/>
      <c r="AG27" s="245"/>
      <c r="AH27" s="245"/>
    </row>
    <row r="28" spans="2:34" s="215" customFormat="1" x14ac:dyDescent="0.25">
      <c r="B28" s="310" t="str">
        <f>B13</f>
        <v>Enfortumab vedotin with pembrolizumab - year 1</v>
      </c>
      <c r="C28" s="249">
        <f>'Unit costs'!R28</f>
        <v>0</v>
      </c>
      <c r="D28" s="249">
        <f t="shared" ref="D28:I32" si="3">D13*$C28/1000</f>
        <v>0</v>
      </c>
      <c r="E28" s="249">
        <f t="shared" si="3"/>
        <v>0</v>
      </c>
      <c r="F28" s="249">
        <f t="shared" si="3"/>
        <v>0</v>
      </c>
      <c r="G28" s="249">
        <f t="shared" si="3"/>
        <v>0</v>
      </c>
      <c r="H28" s="249">
        <f t="shared" si="3"/>
        <v>0</v>
      </c>
      <c r="I28" s="249">
        <f t="shared" si="3"/>
        <v>0</v>
      </c>
      <c r="N28" s="121"/>
      <c r="O28" s="121"/>
      <c r="P28" s="121"/>
      <c r="Q28" s="121"/>
      <c r="R28" s="121"/>
      <c r="S28" s="121"/>
      <c r="T28" s="121"/>
      <c r="AD28" s="245"/>
      <c r="AE28" s="245"/>
      <c r="AF28" s="245"/>
      <c r="AG28" s="245"/>
      <c r="AH28" s="245"/>
    </row>
    <row r="29" spans="2:34" s="215" customFormat="1" x14ac:dyDescent="0.25">
      <c r="B29" s="310" t="str">
        <f>B14</f>
        <v>Enfortumab vedotin with pembrolizumab - year 2</v>
      </c>
      <c r="C29" s="249">
        <f>'Unit costs'!R31</f>
        <v>0</v>
      </c>
      <c r="D29" s="249">
        <f t="shared" si="3"/>
        <v>0</v>
      </c>
      <c r="E29" s="249">
        <f t="shared" si="3"/>
        <v>0</v>
      </c>
      <c r="F29" s="249">
        <f t="shared" si="3"/>
        <v>0</v>
      </c>
      <c r="G29" s="249">
        <f t="shared" si="3"/>
        <v>0</v>
      </c>
      <c r="H29" s="249">
        <f t="shared" si="3"/>
        <v>0</v>
      </c>
      <c r="I29" s="249">
        <f t="shared" si="3"/>
        <v>0</v>
      </c>
      <c r="N29" s="121"/>
      <c r="O29" s="121"/>
      <c r="P29" s="121"/>
      <c r="Q29" s="121"/>
      <c r="R29" s="121"/>
      <c r="S29" s="121"/>
      <c r="T29" s="121"/>
      <c r="AD29" s="245"/>
      <c r="AE29" s="245"/>
      <c r="AF29" s="245"/>
      <c r="AG29" s="245"/>
      <c r="AH29" s="245"/>
    </row>
    <row r="30" spans="2:34" s="215" customFormat="1" x14ac:dyDescent="0.25">
      <c r="B30" s="310" t="str">
        <f>B15</f>
        <v>Gemcitabine &amp; cisplatin</v>
      </c>
      <c r="C30" s="249">
        <f>'Unit costs'!R49</f>
        <v>0</v>
      </c>
      <c r="D30" s="249">
        <f t="shared" si="3"/>
        <v>0</v>
      </c>
      <c r="E30" s="249">
        <f t="shared" si="3"/>
        <v>0</v>
      </c>
      <c r="F30" s="249">
        <f t="shared" si="3"/>
        <v>0</v>
      </c>
      <c r="G30" s="249">
        <f t="shared" si="3"/>
        <v>0</v>
      </c>
      <c r="H30" s="249">
        <f t="shared" si="3"/>
        <v>0</v>
      </c>
      <c r="I30" s="249">
        <f t="shared" si="3"/>
        <v>0</v>
      </c>
      <c r="N30" s="121"/>
      <c r="O30" s="121"/>
      <c r="P30" s="121"/>
      <c r="Q30" s="121"/>
      <c r="R30" s="121"/>
      <c r="S30" s="121"/>
      <c r="T30" s="121"/>
      <c r="AD30" s="245"/>
      <c r="AE30" s="245"/>
      <c r="AF30" s="245"/>
      <c r="AG30" s="245"/>
      <c r="AH30" s="245"/>
    </row>
    <row r="31" spans="2:34" s="215" customFormat="1" x14ac:dyDescent="0.25">
      <c r="B31" s="310" t="str">
        <f>B16</f>
        <v>Gemcitabine &amp; carboplatin</v>
      </c>
      <c r="C31" s="249">
        <f>'Unit costs'!R65</f>
        <v>0</v>
      </c>
      <c r="D31" s="249">
        <f t="shared" si="3"/>
        <v>0</v>
      </c>
      <c r="E31" s="249">
        <f t="shared" si="3"/>
        <v>0</v>
      </c>
      <c r="F31" s="249">
        <f t="shared" si="3"/>
        <v>0</v>
      </c>
      <c r="G31" s="249">
        <f t="shared" si="3"/>
        <v>0</v>
      </c>
      <c r="H31" s="249">
        <f t="shared" si="3"/>
        <v>0</v>
      </c>
      <c r="I31" s="249">
        <f t="shared" si="3"/>
        <v>0</v>
      </c>
      <c r="N31" s="121"/>
      <c r="O31" s="121"/>
      <c r="P31" s="121"/>
      <c r="Q31" s="121"/>
      <c r="R31" s="121"/>
      <c r="S31" s="121"/>
      <c r="T31" s="121"/>
      <c r="AD31" s="245"/>
      <c r="AE31" s="245"/>
      <c r="AF31" s="245"/>
      <c r="AG31" s="245"/>
      <c r="AH31" s="245"/>
    </row>
    <row r="32" spans="2:34" s="215" customFormat="1" x14ac:dyDescent="0.25">
      <c r="B32" s="310" t="str">
        <f>B17</f>
        <v>Atezolizumab</v>
      </c>
      <c r="C32" s="249">
        <f>'Unit costs'!R82</f>
        <v>0</v>
      </c>
      <c r="D32" s="249">
        <f t="shared" si="3"/>
        <v>0</v>
      </c>
      <c r="E32" s="249">
        <f t="shared" si="3"/>
        <v>0</v>
      </c>
      <c r="F32" s="249">
        <f t="shared" si="3"/>
        <v>0</v>
      </c>
      <c r="G32" s="249">
        <f t="shared" si="3"/>
        <v>0</v>
      </c>
      <c r="H32" s="249">
        <f t="shared" si="3"/>
        <v>0</v>
      </c>
      <c r="I32" s="249">
        <f t="shared" si="3"/>
        <v>0</v>
      </c>
      <c r="N32" s="121"/>
      <c r="O32" s="121"/>
      <c r="P32" s="121"/>
      <c r="Q32" s="121"/>
      <c r="R32" s="121"/>
      <c r="S32" s="121"/>
      <c r="T32" s="121"/>
      <c r="AD32" s="245"/>
      <c r="AE32" s="245"/>
      <c r="AF32" s="245"/>
      <c r="AG32" s="245"/>
      <c r="AH32" s="245"/>
    </row>
    <row r="33" spans="2:34" s="215" customFormat="1" x14ac:dyDescent="0.25">
      <c r="B33" s="251" t="s">
        <v>2210</v>
      </c>
      <c r="C33" s="246"/>
      <c r="D33" s="169">
        <f>SUM(D28:D32)</f>
        <v>0</v>
      </c>
      <c r="E33" s="169">
        <f t="shared" ref="E33:I33" si="4">SUM(E28:E32)</f>
        <v>0</v>
      </c>
      <c r="F33" s="169">
        <f t="shared" si="4"/>
        <v>0</v>
      </c>
      <c r="G33" s="169">
        <f t="shared" si="4"/>
        <v>0</v>
      </c>
      <c r="H33" s="169">
        <f t="shared" si="4"/>
        <v>0</v>
      </c>
      <c r="I33" s="169">
        <f t="shared" si="4"/>
        <v>0</v>
      </c>
      <c r="N33" s="121"/>
      <c r="O33" s="121"/>
      <c r="P33" s="121"/>
      <c r="Q33" s="121"/>
      <c r="R33" s="121"/>
      <c r="S33" s="121"/>
      <c r="T33" s="121"/>
      <c r="AD33" s="245"/>
      <c r="AE33" s="245"/>
      <c r="AF33" s="245"/>
      <c r="AG33" s="245"/>
      <c r="AH33" s="245"/>
    </row>
    <row r="34" spans="2:34" s="215" customFormat="1" x14ac:dyDescent="0.25">
      <c r="B34" s="310" t="str">
        <f t="shared" ref="B34:B39" si="5">B19</f>
        <v>Gemcitabine + cisplatin</v>
      </c>
      <c r="C34" s="249">
        <f>'Unit costs'!R49</f>
        <v>0</v>
      </c>
      <c r="D34" s="249">
        <f t="shared" ref="D34:I34" si="6">D19*$C34/1000</f>
        <v>0</v>
      </c>
      <c r="E34" s="249">
        <f t="shared" si="6"/>
        <v>0</v>
      </c>
      <c r="F34" s="249">
        <f t="shared" si="6"/>
        <v>0</v>
      </c>
      <c r="G34" s="249">
        <f t="shared" si="6"/>
        <v>0</v>
      </c>
      <c r="H34" s="249">
        <f t="shared" si="6"/>
        <v>0</v>
      </c>
      <c r="I34" s="249">
        <f t="shared" si="6"/>
        <v>0</v>
      </c>
      <c r="N34" s="121"/>
      <c r="O34" s="121"/>
      <c r="P34" s="121"/>
      <c r="Q34" s="121"/>
      <c r="R34" s="121"/>
      <c r="S34" s="121"/>
      <c r="T34" s="121"/>
      <c r="AD34" s="245"/>
      <c r="AE34" s="245"/>
      <c r="AF34" s="245"/>
      <c r="AG34" s="245"/>
      <c r="AH34" s="245"/>
    </row>
    <row r="35" spans="2:34" s="215" customFormat="1" x14ac:dyDescent="0.25">
      <c r="B35" s="310" t="str">
        <f t="shared" si="5"/>
        <v>Gemcitabine + carboplatin</v>
      </c>
      <c r="C35" s="249">
        <f>'Unit costs'!R65</f>
        <v>0</v>
      </c>
      <c r="D35" s="249">
        <f t="shared" ref="D35:I35" si="7">D20*$C35/1000</f>
        <v>0</v>
      </c>
      <c r="E35" s="249">
        <f t="shared" si="7"/>
        <v>0</v>
      </c>
      <c r="F35" s="249">
        <f t="shared" si="7"/>
        <v>0</v>
      </c>
      <c r="G35" s="249">
        <f t="shared" si="7"/>
        <v>0</v>
      </c>
      <c r="H35" s="249">
        <f t="shared" si="7"/>
        <v>0</v>
      </c>
      <c r="I35" s="249">
        <f t="shared" si="7"/>
        <v>0</v>
      </c>
      <c r="N35" s="121"/>
      <c r="O35" s="121"/>
      <c r="P35" s="121"/>
      <c r="Q35" s="121"/>
      <c r="R35" s="121"/>
      <c r="S35" s="121"/>
      <c r="T35" s="121"/>
      <c r="AD35" s="245"/>
      <c r="AE35" s="245"/>
      <c r="AF35" s="245"/>
      <c r="AG35" s="245"/>
      <c r="AH35" s="245"/>
    </row>
    <row r="36" spans="2:34" s="215" customFormat="1" x14ac:dyDescent="0.25">
      <c r="B36" s="310" t="str">
        <f t="shared" si="5"/>
        <v>Atezolizumab</v>
      </c>
      <c r="C36" s="249">
        <f>'Unit costs'!R82</f>
        <v>0</v>
      </c>
      <c r="D36" s="249">
        <f t="shared" ref="D36:I36" si="8">D21*$C36/1000</f>
        <v>0</v>
      </c>
      <c r="E36" s="249">
        <f t="shared" si="8"/>
        <v>0</v>
      </c>
      <c r="F36" s="249">
        <f t="shared" si="8"/>
        <v>0</v>
      </c>
      <c r="G36" s="249">
        <f t="shared" si="8"/>
        <v>0</v>
      </c>
      <c r="H36" s="249">
        <f t="shared" si="8"/>
        <v>0</v>
      </c>
      <c r="I36" s="249">
        <f t="shared" si="8"/>
        <v>0</v>
      </c>
      <c r="N36" s="121"/>
      <c r="O36" s="121"/>
      <c r="P36" s="121"/>
      <c r="Q36" s="121"/>
      <c r="R36" s="121"/>
      <c r="S36" s="121"/>
      <c r="T36" s="121"/>
      <c r="AD36" s="245"/>
      <c r="AE36" s="245"/>
      <c r="AF36" s="245"/>
      <c r="AG36" s="245"/>
      <c r="AH36" s="245"/>
    </row>
    <row r="37" spans="2:34" s="215" customFormat="1" x14ac:dyDescent="0.25">
      <c r="B37" s="310" t="str">
        <f t="shared" si="5"/>
        <v>Paclitaxel</v>
      </c>
      <c r="C37" s="249">
        <f>'Unit costs'!R97</f>
        <v>0</v>
      </c>
      <c r="D37" s="249">
        <f t="shared" ref="D37:I37" si="9">D22*$C37/1000</f>
        <v>0</v>
      </c>
      <c r="E37" s="249">
        <f t="shared" si="9"/>
        <v>0</v>
      </c>
      <c r="F37" s="249">
        <f t="shared" si="9"/>
        <v>0</v>
      </c>
      <c r="G37" s="249">
        <f t="shared" si="9"/>
        <v>0</v>
      </c>
      <c r="H37" s="249">
        <f t="shared" si="9"/>
        <v>0</v>
      </c>
      <c r="I37" s="249">
        <f t="shared" si="9"/>
        <v>0</v>
      </c>
      <c r="N37" s="121"/>
      <c r="O37" s="121"/>
      <c r="P37" s="121"/>
      <c r="Q37" s="121"/>
      <c r="R37" s="121"/>
      <c r="S37" s="121"/>
      <c r="T37" s="121"/>
      <c r="AD37" s="245"/>
      <c r="AE37" s="245"/>
      <c r="AF37" s="245"/>
      <c r="AG37" s="245"/>
      <c r="AH37" s="245"/>
    </row>
    <row r="38" spans="2:34" s="215" customFormat="1" x14ac:dyDescent="0.25">
      <c r="B38" s="251" t="s">
        <v>2261</v>
      </c>
      <c r="C38" s="246"/>
      <c r="D38" s="169">
        <f>SUM(D34:D37)</f>
        <v>0</v>
      </c>
      <c r="E38" s="169">
        <f t="shared" ref="E38:H38" si="10">SUM(E34:E37)</f>
        <v>0</v>
      </c>
      <c r="F38" s="169">
        <f t="shared" si="10"/>
        <v>0</v>
      </c>
      <c r="G38" s="169">
        <f t="shared" si="10"/>
        <v>0</v>
      </c>
      <c r="H38" s="169">
        <f t="shared" si="10"/>
        <v>0</v>
      </c>
      <c r="I38" s="169">
        <f>SUM(I34:I37)</f>
        <v>0</v>
      </c>
      <c r="N38" s="121"/>
      <c r="O38" s="121"/>
      <c r="P38" s="121"/>
      <c r="Q38" s="121"/>
      <c r="R38" s="121"/>
      <c r="S38" s="121"/>
      <c r="T38" s="121"/>
      <c r="AD38" s="245"/>
      <c r="AE38" s="245"/>
      <c r="AF38" s="245"/>
      <c r="AG38" s="245"/>
      <c r="AH38" s="245"/>
    </row>
    <row r="39" spans="2:34" s="215" customFormat="1" x14ac:dyDescent="0.25">
      <c r="B39" s="310" t="str">
        <f t="shared" si="5"/>
        <v>Avelumab</v>
      </c>
      <c r="C39" s="249">
        <f>'Unit costs'!R112</f>
        <v>0</v>
      </c>
      <c r="D39" s="249">
        <f t="shared" ref="D39:I39" si="11">D24*$C39/1000</f>
        <v>0</v>
      </c>
      <c r="E39" s="249">
        <f t="shared" si="11"/>
        <v>0</v>
      </c>
      <c r="F39" s="249">
        <f t="shared" si="11"/>
        <v>0</v>
      </c>
      <c r="G39" s="249">
        <f t="shared" si="11"/>
        <v>0</v>
      </c>
      <c r="H39" s="249">
        <f t="shared" si="11"/>
        <v>0</v>
      </c>
      <c r="I39" s="249">
        <f t="shared" si="11"/>
        <v>0</v>
      </c>
      <c r="N39" s="121"/>
      <c r="O39" s="121"/>
      <c r="P39" s="121"/>
      <c r="Q39" s="121"/>
      <c r="R39" s="121"/>
      <c r="S39" s="121"/>
      <c r="T39" s="121"/>
      <c r="AD39" s="245"/>
      <c r="AE39" s="245"/>
      <c r="AF39" s="245"/>
      <c r="AG39" s="245"/>
      <c r="AH39" s="245"/>
    </row>
    <row r="40" spans="2:34" s="215" customFormat="1" x14ac:dyDescent="0.25">
      <c r="B40" s="252" t="s">
        <v>741</v>
      </c>
      <c r="C40" s="532"/>
      <c r="D40" s="169">
        <f>D33+D38+D39</f>
        <v>0</v>
      </c>
      <c r="E40" s="169">
        <f t="shared" ref="E40:I40" si="12">E33+E38+E39</f>
        <v>0</v>
      </c>
      <c r="F40" s="169">
        <f t="shared" si="12"/>
        <v>0</v>
      </c>
      <c r="G40" s="169">
        <f t="shared" si="12"/>
        <v>0</v>
      </c>
      <c r="H40" s="169">
        <f t="shared" si="12"/>
        <v>0</v>
      </c>
      <c r="I40" s="169">
        <f t="shared" si="12"/>
        <v>0</v>
      </c>
      <c r="J40" s="318"/>
      <c r="N40" s="121"/>
      <c r="O40" s="121"/>
      <c r="P40" s="121"/>
      <c r="Q40" s="121"/>
      <c r="R40" s="121"/>
      <c r="S40" s="121"/>
      <c r="T40" s="121"/>
      <c r="AD40" s="245"/>
      <c r="AE40" s="245"/>
      <c r="AF40" s="245"/>
      <c r="AG40" s="245"/>
      <c r="AH40" s="245"/>
    </row>
    <row r="41" spans="2:34" s="215" customFormat="1" x14ac:dyDescent="0.25">
      <c r="B41" s="253"/>
      <c r="C41" s="121"/>
      <c r="D41" s="121"/>
      <c r="E41" s="121"/>
      <c r="F41" s="121"/>
      <c r="G41" s="121"/>
      <c r="H41" s="121"/>
      <c r="I41" s="121"/>
      <c r="N41" s="121"/>
      <c r="O41" s="121"/>
      <c r="P41" s="121"/>
      <c r="Q41" s="121"/>
      <c r="R41" s="121"/>
      <c r="S41" s="121"/>
      <c r="T41" s="121"/>
      <c r="AD41" s="245"/>
      <c r="AE41" s="245"/>
      <c r="AF41" s="245"/>
      <c r="AG41" s="245"/>
      <c r="AH41" s="245"/>
    </row>
    <row r="42" spans="2:34" s="215" customFormat="1" x14ac:dyDescent="0.25">
      <c r="B42" s="333"/>
      <c r="C42" s="250"/>
      <c r="D42" s="317" t="s">
        <v>723</v>
      </c>
      <c r="E42" s="169">
        <f>E40-$D$40</f>
        <v>0</v>
      </c>
      <c r="F42" s="169">
        <f t="shared" ref="F42:I42" si="13">F40-$D$40</f>
        <v>0</v>
      </c>
      <c r="G42" s="169">
        <f t="shared" si="13"/>
        <v>0</v>
      </c>
      <c r="H42" s="169">
        <f t="shared" si="13"/>
        <v>0</v>
      </c>
      <c r="I42" s="169">
        <f t="shared" si="13"/>
        <v>0</v>
      </c>
      <c r="N42" s="121"/>
      <c r="O42" s="121"/>
      <c r="P42" s="121"/>
      <c r="Q42" s="121"/>
      <c r="R42" s="121"/>
      <c r="S42" s="121"/>
      <c r="T42" s="121"/>
      <c r="AD42" s="245"/>
      <c r="AE42" s="245"/>
      <c r="AF42" s="245"/>
      <c r="AG42" s="245"/>
      <c r="AH42" s="245"/>
    </row>
    <row r="43" spans="2:34" s="215" customFormat="1" x14ac:dyDescent="0.25">
      <c r="B43" s="333"/>
      <c r="C43" s="250"/>
      <c r="D43" s="256" t="s">
        <v>742</v>
      </c>
      <c r="E43" s="169">
        <f>E42</f>
        <v>0</v>
      </c>
      <c r="F43" s="170">
        <f>F42-E42</f>
        <v>0</v>
      </c>
      <c r="G43" s="170">
        <f t="shared" ref="G43:I43" si="14">G42-F42</f>
        <v>0</v>
      </c>
      <c r="H43" s="170">
        <f t="shared" si="14"/>
        <v>0</v>
      </c>
      <c r="I43" s="170">
        <f t="shared" si="14"/>
        <v>0</v>
      </c>
      <c r="J43" s="121"/>
      <c r="K43" s="121"/>
      <c r="L43" s="121"/>
      <c r="M43" s="121"/>
      <c r="N43" s="121"/>
      <c r="O43" s="121"/>
      <c r="P43" s="121"/>
      <c r="Q43" s="121"/>
      <c r="R43" s="121"/>
      <c r="S43" s="121"/>
      <c r="T43" s="121"/>
      <c r="AD43" s="245"/>
      <c r="AE43" s="245"/>
      <c r="AF43" s="245"/>
      <c r="AG43" s="245"/>
      <c r="AH43" s="245"/>
    </row>
    <row r="45" spans="2:34" x14ac:dyDescent="0.25">
      <c r="J45" s="215"/>
      <c r="K45" s="215"/>
    </row>
    <row r="46" spans="2:34" x14ac:dyDescent="0.25">
      <c r="J46" s="215"/>
      <c r="K46" s="215"/>
    </row>
    <row r="47" spans="2:34" x14ac:dyDescent="0.25">
      <c r="J47" s="215"/>
      <c r="K47" s="215"/>
    </row>
  </sheetData>
  <sheetProtection algorithmName="SHA-512" hashValue="tC+rESOOO0anbNeLCHB9U/xlcohzyGiqfPgpB6/z18V+bc+S19Bc7MURzmyha4VOgCd0N5EE0ROUd7CqT8s9gA==" saltValue="0g3W2qzZd4XL25djoa48K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L200"/>
  <sheetViews>
    <sheetView showGridLines="0" zoomScale="90" zoomScaleNormal="90" zoomScaleSheetLayoutView="30" workbookViewId="0">
      <selection activeCell="B92" sqref="B92"/>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24" width="10.85546875" customWidth="1"/>
    <col min="26" max="39" width="0" hidden="1" customWidth="1"/>
  </cols>
  <sheetData>
    <row r="1" spans="1:38" ht="30" customHeight="1" x14ac:dyDescent="0.25">
      <c r="B1" s="447" t="str">
        <f>'Inputs and population'!B1</f>
        <v>Enfortumab vedotin with pembrolizumab for untreated unresectable or metastatic urothelial cancer when platinum-based chemotherapy is suitable</v>
      </c>
      <c r="C1" s="115"/>
      <c r="D1" s="115"/>
      <c r="F1" s="115"/>
      <c r="G1" s="115"/>
      <c r="H1" s="115"/>
      <c r="I1" s="115"/>
      <c r="J1" s="115"/>
      <c r="K1" s="115"/>
      <c r="L1" s="115"/>
      <c r="M1" s="115"/>
      <c r="N1" s="115"/>
      <c r="O1" s="115"/>
      <c r="P1" s="115"/>
      <c r="R1" s="115"/>
      <c r="S1" s="115"/>
      <c r="T1" s="115"/>
      <c r="U1" s="115"/>
      <c r="V1" s="115"/>
      <c r="W1" s="115"/>
      <c r="X1" s="115"/>
    </row>
    <row r="2" spans="1:38" ht="42.6" customHeight="1" x14ac:dyDescent="0.25">
      <c r="B2" s="192" t="s">
        <v>743</v>
      </c>
      <c r="C2" s="115" t="s">
        <v>599</v>
      </c>
      <c r="D2" s="115" t="s">
        <v>599</v>
      </c>
      <c r="E2" s="424"/>
      <c r="F2" s="115" t="s">
        <v>599</v>
      </c>
      <c r="G2" s="115" t="s">
        <v>599</v>
      </c>
      <c r="H2" s="115" t="s">
        <v>599</v>
      </c>
      <c r="I2" s="115" t="s">
        <v>599</v>
      </c>
      <c r="J2" s="115"/>
      <c r="K2" s="115"/>
      <c r="L2" s="115"/>
      <c r="M2" s="115"/>
      <c r="N2" s="115"/>
      <c r="O2" s="115"/>
      <c r="P2" s="115"/>
      <c r="Q2" s="115"/>
      <c r="R2" s="115"/>
      <c r="S2" s="115"/>
      <c r="T2" s="115"/>
      <c r="U2" s="115"/>
      <c r="V2" s="115"/>
      <c r="W2" s="115"/>
      <c r="X2" s="115"/>
    </row>
    <row r="3" spans="1:38" ht="14.45" customHeight="1" x14ac:dyDescent="0.25">
      <c r="B3" s="118" t="s">
        <v>599</v>
      </c>
      <c r="C3" s="121" t="s">
        <v>599</v>
      </c>
      <c r="D3" s="121" t="s">
        <v>599</v>
      </c>
      <c r="F3" s="121" t="s">
        <v>599</v>
      </c>
      <c r="G3" s="121" t="s">
        <v>599</v>
      </c>
      <c r="H3" s="121" t="s">
        <v>599</v>
      </c>
      <c r="I3" s="121" t="s">
        <v>599</v>
      </c>
      <c r="J3" s="115"/>
      <c r="K3" s="115"/>
      <c r="L3" s="115"/>
      <c r="M3" s="115"/>
      <c r="N3" s="115"/>
      <c r="O3" s="115"/>
      <c r="P3" s="115"/>
      <c r="Q3" s="121"/>
      <c r="R3" s="121"/>
      <c r="S3" s="121"/>
      <c r="T3" s="121"/>
      <c r="U3" s="121"/>
      <c r="V3" s="121"/>
      <c r="W3" s="121"/>
      <c r="X3" s="121"/>
    </row>
    <row r="4" spans="1:38" ht="14.45" customHeight="1" x14ac:dyDescent="0.25">
      <c r="B4" t="s">
        <v>744</v>
      </c>
      <c r="C4" s="121"/>
      <c r="D4" s="121"/>
      <c r="F4" s="121"/>
      <c r="G4" s="121"/>
      <c r="H4" s="121"/>
      <c r="I4" s="121"/>
      <c r="J4" s="121"/>
      <c r="K4" s="121"/>
      <c r="L4" s="121"/>
      <c r="M4" s="121"/>
      <c r="N4" s="121"/>
      <c r="O4" s="121"/>
      <c r="P4" s="121"/>
      <c r="Q4" s="121"/>
      <c r="R4" s="121"/>
      <c r="S4" s="121"/>
      <c r="T4" s="121"/>
      <c r="U4" s="121"/>
      <c r="V4" s="121"/>
      <c r="W4" s="121"/>
      <c r="X4" s="121"/>
    </row>
    <row r="5" spans="1:38" ht="14.45" customHeight="1" x14ac:dyDescent="0.25">
      <c r="B5" s="5"/>
      <c r="F5" s="121"/>
      <c r="G5" s="121"/>
      <c r="H5" s="121"/>
      <c r="I5" s="121"/>
      <c r="J5" s="121"/>
      <c r="K5" s="121"/>
      <c r="L5" s="121"/>
      <c r="M5" s="121"/>
      <c r="N5" s="121"/>
      <c r="O5" s="121"/>
      <c r="P5" s="121"/>
      <c r="Q5" s="121"/>
      <c r="R5" s="121"/>
      <c r="S5" s="121"/>
      <c r="T5" s="121"/>
      <c r="U5" s="121"/>
      <c r="V5" s="121"/>
      <c r="W5" s="121"/>
      <c r="X5" s="121"/>
    </row>
    <row r="6" spans="1:38" ht="45" x14ac:dyDescent="0.25">
      <c r="B6" s="231" t="s">
        <v>717</v>
      </c>
      <c r="C6" s="188"/>
      <c r="D6" s="802" t="s">
        <v>737</v>
      </c>
      <c r="E6" s="229" t="s">
        <v>591</v>
      </c>
      <c r="F6" s="229" t="s">
        <v>592</v>
      </c>
      <c r="G6" s="152" t="s">
        <v>714</v>
      </c>
      <c r="H6" s="152" t="s">
        <v>715</v>
      </c>
      <c r="I6" s="229" t="s">
        <v>716</v>
      </c>
      <c r="L6" s="802" t="s">
        <v>737</v>
      </c>
      <c r="M6" s="229" t="s">
        <v>591</v>
      </c>
      <c r="N6" s="229" t="s">
        <v>592</v>
      </c>
      <c r="O6" s="152" t="s">
        <v>714</v>
      </c>
      <c r="P6" s="152" t="s">
        <v>715</v>
      </c>
      <c r="Q6" s="229" t="s">
        <v>716</v>
      </c>
      <c r="R6" s="121"/>
      <c r="S6" s="121"/>
      <c r="T6" s="121"/>
      <c r="U6" s="121"/>
      <c r="V6" s="121"/>
      <c r="W6" s="121"/>
      <c r="X6" s="121"/>
      <c r="AH6" s="258"/>
      <c r="AI6" s="258"/>
      <c r="AJ6" s="258"/>
      <c r="AK6" s="258"/>
      <c r="AL6" s="258"/>
    </row>
    <row r="7" spans="1:38" x14ac:dyDescent="0.25">
      <c r="B7" s="203" t="s">
        <v>717</v>
      </c>
      <c r="C7" s="155"/>
      <c r="D7" s="334">
        <f>'Inputs and population'!E34</f>
        <v>1298.5707162590279</v>
      </c>
      <c r="E7" s="334">
        <f>'Inputs and population'!F34</f>
        <v>1309.9862170041781</v>
      </c>
      <c r="F7" s="334">
        <f>'Inputs and population'!G34</f>
        <v>1321.5020693556216</v>
      </c>
      <c r="G7" s="334">
        <f>'Inputs and population'!H34</f>
        <v>1333.1191554862141</v>
      </c>
      <c r="H7" s="334">
        <f>'Inputs and population'!I34</f>
        <v>1344.8383653238332</v>
      </c>
      <c r="I7" s="334">
        <f>'Inputs and population'!J34</f>
        <v>1356.6605966195514</v>
      </c>
      <c r="P7" s="121"/>
      <c r="Q7" s="121"/>
      <c r="R7" s="121"/>
      <c r="S7" s="121"/>
      <c r="T7" s="121"/>
      <c r="U7" s="121"/>
      <c r="V7" s="121"/>
      <c r="W7" s="121"/>
      <c r="X7" s="121"/>
      <c r="AH7" s="258"/>
      <c r="AI7" s="258"/>
      <c r="AJ7" s="258"/>
      <c r="AK7" s="258"/>
      <c r="AL7" s="258"/>
    </row>
    <row r="8" spans="1:38" x14ac:dyDescent="0.25">
      <c r="B8"/>
      <c r="P8" s="121"/>
      <c r="Q8" s="121"/>
      <c r="R8" s="121"/>
      <c r="S8" s="121"/>
      <c r="T8" s="121"/>
      <c r="U8" s="121"/>
      <c r="V8" s="121"/>
      <c r="W8" s="121"/>
      <c r="X8" s="121"/>
      <c r="AH8" s="258"/>
      <c r="AI8" s="258"/>
      <c r="AJ8" s="258"/>
      <c r="AK8" s="258"/>
      <c r="AL8" s="258"/>
    </row>
    <row r="9" spans="1:38" x14ac:dyDescent="0.25">
      <c r="B9" s="251" t="s">
        <v>745</v>
      </c>
      <c r="C9" s="361" t="s">
        <v>746</v>
      </c>
      <c r="D9" s="380"/>
      <c r="E9" s="381"/>
      <c r="F9" s="380"/>
      <c r="G9" s="382"/>
      <c r="H9" s="383"/>
      <c r="I9" s="466"/>
      <c r="K9" s="682" t="s">
        <v>747</v>
      </c>
      <c r="L9" s="545" t="s">
        <v>721</v>
      </c>
      <c r="M9" s="545" t="s">
        <v>721</v>
      </c>
      <c r="N9" s="545" t="s">
        <v>721</v>
      </c>
      <c r="O9" s="545" t="s">
        <v>721</v>
      </c>
      <c r="P9" s="545" t="s">
        <v>721</v>
      </c>
      <c r="Q9" s="545" t="s">
        <v>721</v>
      </c>
      <c r="R9" s="121"/>
      <c r="S9" s="121"/>
      <c r="T9" s="121"/>
      <c r="U9" s="121"/>
      <c r="V9" s="121"/>
      <c r="W9" s="121"/>
      <c r="X9" s="121"/>
      <c r="AH9" s="258"/>
      <c r="AI9" s="258"/>
      <c r="AJ9" s="258"/>
      <c r="AK9" s="258"/>
      <c r="AL9" s="258"/>
    </row>
    <row r="10" spans="1:38" x14ac:dyDescent="0.25">
      <c r="A10" s="260"/>
      <c r="B10" s="462" t="str">
        <f>B24</f>
        <v>First attendances</v>
      </c>
      <c r="C10" s="339"/>
      <c r="D10" s="369">
        <f>D30</f>
        <v>0</v>
      </c>
      <c r="E10" s="369">
        <f t="shared" ref="E10:I10" si="0">E30</f>
        <v>0</v>
      </c>
      <c r="F10" s="369">
        <f t="shared" si="0"/>
        <v>0</v>
      </c>
      <c r="G10" s="369">
        <f t="shared" si="0"/>
        <v>0</v>
      </c>
      <c r="H10" s="369">
        <f t="shared" si="0"/>
        <v>0</v>
      </c>
      <c r="I10" s="369">
        <f t="shared" si="0"/>
        <v>0</v>
      </c>
      <c r="K10" s="155"/>
      <c r="L10" s="225"/>
      <c r="M10" s="225"/>
      <c r="N10" s="225"/>
      <c r="O10" s="225"/>
      <c r="P10" s="225"/>
      <c r="Q10" s="225"/>
      <c r="R10" s="121"/>
      <c r="S10" s="121"/>
      <c r="T10" s="121"/>
      <c r="U10" s="121"/>
      <c r="V10" s="121"/>
      <c r="W10" s="121"/>
      <c r="X10" s="121"/>
      <c r="AH10" s="258"/>
      <c r="AI10" s="258"/>
      <c r="AJ10" s="258"/>
      <c r="AK10" s="258"/>
      <c r="AL10" s="258"/>
    </row>
    <row r="11" spans="1:38" x14ac:dyDescent="0.25">
      <c r="A11" s="260"/>
      <c r="B11" s="462" t="str">
        <f>B24&amp;" - hours"</f>
        <v>First attendances - hours</v>
      </c>
      <c r="C11" s="683">
        <f>'Capacity inputs'!F13</f>
        <v>0</v>
      </c>
      <c r="D11" s="369">
        <f>$C11/60*D10</f>
        <v>0</v>
      </c>
      <c r="E11" s="369">
        <f t="shared" ref="E11:I11" si="1">$C11/60*E10</f>
        <v>0</v>
      </c>
      <c r="F11" s="369">
        <f t="shared" si="1"/>
        <v>0</v>
      </c>
      <c r="G11" s="369">
        <f t="shared" si="1"/>
        <v>0</v>
      </c>
      <c r="H11" s="369">
        <f t="shared" si="1"/>
        <v>0</v>
      </c>
      <c r="I11" s="369">
        <f t="shared" si="1"/>
        <v>0</v>
      </c>
      <c r="K11" s="461">
        <f>'Capacity inputs'!P13</f>
        <v>127.43</v>
      </c>
      <c r="L11" s="463">
        <f>$K11*D11/1000</f>
        <v>0</v>
      </c>
      <c r="M11" s="463">
        <f t="shared" ref="M11:Q11" si="2">$K11*E11/1000</f>
        <v>0</v>
      </c>
      <c r="N11" s="463">
        <f t="shared" si="2"/>
        <v>0</v>
      </c>
      <c r="O11" s="463">
        <f t="shared" si="2"/>
        <v>0</v>
      </c>
      <c r="P11" s="463">
        <f t="shared" si="2"/>
        <v>0</v>
      </c>
      <c r="Q11" s="463">
        <f t="shared" si="2"/>
        <v>0</v>
      </c>
      <c r="R11" s="121"/>
      <c r="S11" s="121"/>
      <c r="T11" s="121"/>
      <c r="U11" s="121"/>
      <c r="V11" s="121"/>
      <c r="W11" s="121"/>
      <c r="X11" s="121"/>
      <c r="AH11" s="258"/>
      <c r="AI11" s="258"/>
      <c r="AJ11" s="258"/>
      <c r="AK11" s="258"/>
      <c r="AL11" s="258"/>
    </row>
    <row r="12" spans="1:38" x14ac:dyDescent="0.25">
      <c r="A12" s="260"/>
      <c r="B12" s="462" t="str">
        <f>B33</f>
        <v>Follow up attendances</v>
      </c>
      <c r="C12" s="339"/>
      <c r="D12" s="369">
        <f>D39</f>
        <v>0</v>
      </c>
      <c r="E12" s="369">
        <f t="shared" ref="E12:I12" si="3">E39</f>
        <v>0</v>
      </c>
      <c r="F12" s="369">
        <f t="shared" si="3"/>
        <v>0</v>
      </c>
      <c r="G12" s="369">
        <f t="shared" si="3"/>
        <v>0</v>
      </c>
      <c r="H12" s="369">
        <f t="shared" si="3"/>
        <v>0</v>
      </c>
      <c r="I12" s="369">
        <f t="shared" si="3"/>
        <v>0</v>
      </c>
      <c r="K12" s="155"/>
      <c r="L12" s="225"/>
      <c r="M12" s="225"/>
      <c r="N12" s="225"/>
      <c r="O12" s="225"/>
      <c r="P12" s="225"/>
      <c r="Q12" s="225"/>
      <c r="R12" s="121"/>
      <c r="S12" s="121"/>
      <c r="T12" s="121"/>
      <c r="U12" s="121"/>
      <c r="V12" s="121"/>
      <c r="W12" s="121"/>
      <c r="X12" s="121"/>
      <c r="AH12" s="258"/>
      <c r="AI12" s="258"/>
      <c r="AJ12" s="258"/>
      <c r="AK12" s="258"/>
      <c r="AL12" s="258"/>
    </row>
    <row r="13" spans="1:38" x14ac:dyDescent="0.25">
      <c r="A13" s="260"/>
      <c r="B13" s="462" t="str">
        <f>B33&amp;" - hours"</f>
        <v>Follow up attendances - hours</v>
      </c>
      <c r="C13" s="683">
        <f>'Capacity inputs'!F14</f>
        <v>0</v>
      </c>
      <c r="D13" s="369">
        <f>$C13/60*D12</f>
        <v>0</v>
      </c>
      <c r="E13" s="369">
        <f t="shared" ref="E13:I13" si="4">$C13/60*E12</f>
        <v>0</v>
      </c>
      <c r="F13" s="369">
        <f t="shared" si="4"/>
        <v>0</v>
      </c>
      <c r="G13" s="369">
        <f t="shared" si="4"/>
        <v>0</v>
      </c>
      <c r="H13" s="369">
        <f t="shared" si="4"/>
        <v>0</v>
      </c>
      <c r="I13" s="369">
        <f t="shared" si="4"/>
        <v>0</v>
      </c>
      <c r="K13" s="461">
        <f>'Capacity inputs'!P14</f>
        <v>127.43</v>
      </c>
      <c r="L13" s="463">
        <f>$K13*D13/1000</f>
        <v>0</v>
      </c>
      <c r="M13" s="463">
        <f t="shared" ref="M13:Q13" si="5">$K13*E13/1000</f>
        <v>0</v>
      </c>
      <c r="N13" s="463">
        <f t="shared" si="5"/>
        <v>0</v>
      </c>
      <c r="O13" s="463">
        <f t="shared" si="5"/>
        <v>0</v>
      </c>
      <c r="P13" s="463">
        <f t="shared" si="5"/>
        <v>0</v>
      </c>
      <c r="Q13" s="463">
        <f t="shared" si="5"/>
        <v>0</v>
      </c>
      <c r="R13" s="121"/>
      <c r="S13" s="121"/>
      <c r="T13" s="121"/>
      <c r="U13" s="121"/>
      <c r="V13" s="121"/>
      <c r="W13" s="121"/>
      <c r="X13" s="121"/>
      <c r="AH13" s="258"/>
      <c r="AI13" s="258"/>
      <c r="AJ13" s="258"/>
      <c r="AK13" s="258"/>
      <c r="AL13" s="258"/>
    </row>
    <row r="14" spans="1:38" x14ac:dyDescent="0.25">
      <c r="A14" s="266"/>
      <c r="B14" s="384" t="str">
        <f>B60</f>
        <v>Number of administrations</v>
      </c>
      <c r="C14" s="365"/>
      <c r="D14" s="364">
        <f>D74</f>
        <v>0</v>
      </c>
      <c r="E14" s="364">
        <f t="shared" ref="E14:I14" si="6">E74</f>
        <v>0</v>
      </c>
      <c r="F14" s="364">
        <f t="shared" si="6"/>
        <v>0</v>
      </c>
      <c r="G14" s="364">
        <f t="shared" si="6"/>
        <v>0</v>
      </c>
      <c r="H14" s="364">
        <f t="shared" si="6"/>
        <v>0</v>
      </c>
      <c r="I14" s="364">
        <f t="shared" si="6"/>
        <v>0</v>
      </c>
      <c r="K14" s="692"/>
      <c r="L14" s="187"/>
      <c r="M14" s="187"/>
      <c r="N14" s="187"/>
      <c r="O14" s="187"/>
      <c r="P14" s="363"/>
      <c r="Q14" s="363"/>
      <c r="R14" s="121"/>
      <c r="S14" s="121"/>
      <c r="T14" s="121"/>
      <c r="U14" s="121"/>
      <c r="V14" s="121"/>
      <c r="W14" s="121"/>
      <c r="X14" s="121"/>
      <c r="AH14" s="258"/>
      <c r="AI14" s="258"/>
      <c r="AJ14" s="258"/>
      <c r="AK14" s="258"/>
      <c r="AL14" s="258"/>
    </row>
    <row r="15" spans="1:38" x14ac:dyDescent="0.25">
      <c r="A15" s="259"/>
      <c r="B15" s="385" t="str">
        <f>B78&amp;" - hours"</f>
        <v>Nursing - administration hours - hours</v>
      </c>
      <c r="C15" s="390"/>
      <c r="D15" s="366">
        <f>D92</f>
        <v>0</v>
      </c>
      <c r="E15" s="366">
        <f t="shared" ref="E15:I15" si="7">E92</f>
        <v>0</v>
      </c>
      <c r="F15" s="366">
        <f t="shared" si="7"/>
        <v>0</v>
      </c>
      <c r="G15" s="366">
        <f t="shared" si="7"/>
        <v>0</v>
      </c>
      <c r="H15" s="366">
        <f t="shared" si="7"/>
        <v>0</v>
      </c>
      <c r="I15" s="366">
        <f t="shared" si="7"/>
        <v>0</v>
      </c>
      <c r="K15" s="461">
        <f>'Capacity inputs'!P15</f>
        <v>44.4</v>
      </c>
      <c r="L15" s="463">
        <f>$K15*D15/1000</f>
        <v>0</v>
      </c>
      <c r="M15" s="463">
        <f t="shared" ref="M15:Q15" si="8">$K15*E15/1000</f>
        <v>0</v>
      </c>
      <c r="N15" s="463">
        <f t="shared" si="8"/>
        <v>0</v>
      </c>
      <c r="O15" s="463">
        <f t="shared" si="8"/>
        <v>0</v>
      </c>
      <c r="P15" s="463">
        <f t="shared" si="8"/>
        <v>0</v>
      </c>
      <c r="Q15" s="463">
        <f t="shared" si="8"/>
        <v>0</v>
      </c>
      <c r="R15" s="121"/>
      <c r="S15" s="121"/>
      <c r="T15" s="121"/>
      <c r="U15" s="121"/>
      <c r="V15" s="121"/>
      <c r="W15" s="121"/>
      <c r="X15" s="121"/>
      <c r="AH15" s="258"/>
      <c r="AI15" s="258"/>
      <c r="AJ15" s="258"/>
      <c r="AK15" s="258"/>
      <c r="AL15" s="258"/>
    </row>
    <row r="16" spans="1:38" x14ac:dyDescent="0.25">
      <c r="A16" s="259"/>
      <c r="B16" s="385" t="str">
        <f>B95&amp;" - hours"</f>
        <v>Nursing patient preparation time - hours</v>
      </c>
      <c r="C16" s="390"/>
      <c r="D16" s="366">
        <f>D109</f>
        <v>0</v>
      </c>
      <c r="E16" s="366">
        <f t="shared" ref="E16:I16" si="9">E109</f>
        <v>0</v>
      </c>
      <c r="F16" s="366">
        <f t="shared" si="9"/>
        <v>0</v>
      </c>
      <c r="G16" s="366">
        <f t="shared" si="9"/>
        <v>0</v>
      </c>
      <c r="H16" s="366">
        <f t="shared" si="9"/>
        <v>0</v>
      </c>
      <c r="I16" s="366">
        <f t="shared" si="9"/>
        <v>0</v>
      </c>
      <c r="K16" s="461">
        <f>'Capacity inputs'!P16</f>
        <v>44.4</v>
      </c>
      <c r="L16" s="463">
        <f>$K16*D16/1000</f>
        <v>0</v>
      </c>
      <c r="M16" s="463">
        <f t="shared" ref="M16:Q16" si="10">$K16*E16/1000</f>
        <v>0</v>
      </c>
      <c r="N16" s="463">
        <f t="shared" si="10"/>
        <v>0</v>
      </c>
      <c r="O16" s="463">
        <f t="shared" si="10"/>
        <v>0</v>
      </c>
      <c r="P16" s="463">
        <f t="shared" si="10"/>
        <v>0</v>
      </c>
      <c r="Q16" s="463">
        <f t="shared" si="10"/>
        <v>0</v>
      </c>
      <c r="R16" s="121"/>
      <c r="S16" s="121"/>
      <c r="T16" s="121"/>
      <c r="U16" s="121"/>
      <c r="V16" s="121"/>
      <c r="W16" s="121"/>
      <c r="X16" s="121"/>
      <c r="AH16" s="258"/>
      <c r="AI16" s="258"/>
      <c r="AJ16" s="258"/>
      <c r="AK16" s="258"/>
      <c r="AL16" s="258"/>
    </row>
    <row r="17" spans="1:38" x14ac:dyDescent="0.25">
      <c r="A17" s="259"/>
      <c r="B17" s="385" t="str">
        <f>B112&amp;" - hours"</f>
        <v>Post administration nursing time - hours</v>
      </c>
      <c r="C17" s="390"/>
      <c r="D17" s="366">
        <f>D126</f>
        <v>0</v>
      </c>
      <c r="E17" s="366">
        <f t="shared" ref="E17:I17" si="11">E126</f>
        <v>0</v>
      </c>
      <c r="F17" s="366">
        <f t="shared" si="11"/>
        <v>0</v>
      </c>
      <c r="G17" s="366">
        <f t="shared" si="11"/>
        <v>0</v>
      </c>
      <c r="H17" s="366">
        <f t="shared" si="11"/>
        <v>0</v>
      </c>
      <c r="I17" s="366">
        <f t="shared" si="11"/>
        <v>0</v>
      </c>
      <c r="K17" s="461">
        <f>'Capacity inputs'!P17</f>
        <v>44.4</v>
      </c>
      <c r="L17" s="463">
        <f>$K17*D17/1000</f>
        <v>0</v>
      </c>
      <c r="M17" s="463">
        <f t="shared" ref="M17:Q17" si="12">$K17*E17/1000</f>
        <v>0</v>
      </c>
      <c r="N17" s="463">
        <f t="shared" si="12"/>
        <v>0</v>
      </c>
      <c r="O17" s="463">
        <f t="shared" si="12"/>
        <v>0</v>
      </c>
      <c r="P17" s="463">
        <f t="shared" si="12"/>
        <v>0</v>
      </c>
      <c r="Q17" s="463">
        <f t="shared" si="12"/>
        <v>0</v>
      </c>
      <c r="R17" s="121"/>
      <c r="S17" s="121"/>
      <c r="T17" s="121"/>
      <c r="U17" s="121"/>
      <c r="V17" s="121"/>
      <c r="W17" s="121"/>
      <c r="X17" s="121"/>
      <c r="AH17" s="258"/>
      <c r="AI17" s="258"/>
      <c r="AJ17" s="258"/>
      <c r="AK17" s="258"/>
      <c r="AL17" s="258"/>
    </row>
    <row r="18" spans="1:38" x14ac:dyDescent="0.25">
      <c r="A18" s="261"/>
      <c r="B18" s="386" t="str">
        <f>B130&amp;" - hours"</f>
        <v>Pharmacy support - hours</v>
      </c>
      <c r="C18" s="391"/>
      <c r="D18" s="367">
        <f>D144</f>
        <v>0</v>
      </c>
      <c r="E18" s="367">
        <f t="shared" ref="E18:I18" si="13">E144</f>
        <v>0</v>
      </c>
      <c r="F18" s="367">
        <f t="shared" si="13"/>
        <v>0</v>
      </c>
      <c r="G18" s="367">
        <f t="shared" si="13"/>
        <v>0</v>
      </c>
      <c r="H18" s="367">
        <f t="shared" si="13"/>
        <v>0</v>
      </c>
      <c r="I18" s="367">
        <f t="shared" si="13"/>
        <v>0</v>
      </c>
      <c r="K18" s="461">
        <f>'Capacity inputs'!P18</f>
        <v>49.24</v>
      </c>
      <c r="L18" s="463">
        <f>$K18*D18/1000</f>
        <v>0</v>
      </c>
      <c r="M18" s="463">
        <f t="shared" ref="M18:Q18" si="14">$K18*E18/1000</f>
        <v>0</v>
      </c>
      <c r="N18" s="463">
        <f t="shared" si="14"/>
        <v>0</v>
      </c>
      <c r="O18" s="463">
        <f t="shared" si="14"/>
        <v>0</v>
      </c>
      <c r="P18" s="463">
        <f t="shared" si="14"/>
        <v>0</v>
      </c>
      <c r="Q18" s="463">
        <f t="shared" si="14"/>
        <v>0</v>
      </c>
      <c r="R18" s="121"/>
      <c r="S18" s="121"/>
      <c r="T18" s="121"/>
      <c r="U18" s="121"/>
      <c r="V18" s="121"/>
      <c r="W18" s="121"/>
      <c r="X18" s="121"/>
      <c r="AH18" s="258"/>
      <c r="AI18" s="258"/>
      <c r="AJ18" s="258"/>
      <c r="AK18" s="258"/>
      <c r="AL18" s="258"/>
    </row>
    <row r="19" spans="1:38" x14ac:dyDescent="0.25">
      <c r="A19" s="261"/>
      <c r="B19" s="389" t="s">
        <v>2283</v>
      </c>
      <c r="C19" s="393"/>
      <c r="D19" s="371">
        <f>D169</f>
        <v>0</v>
      </c>
      <c r="E19" s="371">
        <f t="shared" ref="E19:I19" si="15">E169</f>
        <v>0</v>
      </c>
      <c r="F19" s="371">
        <f t="shared" si="15"/>
        <v>0</v>
      </c>
      <c r="G19" s="371">
        <f t="shared" si="15"/>
        <v>0</v>
      </c>
      <c r="H19" s="371">
        <f t="shared" si="15"/>
        <v>0</v>
      </c>
      <c r="I19" s="371">
        <f t="shared" si="15"/>
        <v>0</v>
      </c>
      <c r="K19" s="1020"/>
      <c r="L19" s="463">
        <f>L169</f>
        <v>0</v>
      </c>
      <c r="M19" s="463">
        <f t="shared" ref="M19:Q19" si="16">M169</f>
        <v>0</v>
      </c>
      <c r="N19" s="463">
        <f t="shared" si="16"/>
        <v>0</v>
      </c>
      <c r="O19" s="463">
        <f t="shared" si="16"/>
        <v>0</v>
      </c>
      <c r="P19" s="463">
        <f t="shared" si="16"/>
        <v>0</v>
      </c>
      <c r="Q19" s="463">
        <f t="shared" si="16"/>
        <v>0</v>
      </c>
      <c r="R19" s="121"/>
      <c r="S19" s="121"/>
      <c r="T19" s="121"/>
      <c r="U19" s="121"/>
      <c r="V19" s="121"/>
      <c r="W19" s="121"/>
      <c r="X19" s="121"/>
      <c r="AH19" s="258"/>
      <c r="AI19" s="258"/>
      <c r="AJ19" s="258"/>
      <c r="AK19" s="258"/>
      <c r="AL19" s="258"/>
    </row>
    <row r="20" spans="1:38" x14ac:dyDescent="0.25">
      <c r="B20" s="220"/>
      <c r="D20" s="258"/>
      <c r="F20" s="121"/>
      <c r="G20" s="121"/>
      <c r="H20" s="121"/>
      <c r="I20" s="121"/>
      <c r="J20" s="121"/>
      <c r="K20" s="146"/>
      <c r="L20" s="264">
        <f>SUM(L10:L19)</f>
        <v>0</v>
      </c>
      <c r="M20" s="264">
        <f t="shared" ref="M20:Q20" si="17">SUM(M10:M18)</f>
        <v>0</v>
      </c>
      <c r="N20" s="264">
        <f t="shared" si="17"/>
        <v>0</v>
      </c>
      <c r="O20" s="264">
        <f t="shared" si="17"/>
        <v>0</v>
      </c>
      <c r="P20" s="264">
        <f t="shared" si="17"/>
        <v>0</v>
      </c>
      <c r="Q20" s="264">
        <f t="shared" si="17"/>
        <v>0</v>
      </c>
      <c r="R20" s="121"/>
      <c r="S20" s="121"/>
      <c r="T20" s="121"/>
      <c r="U20" s="121"/>
      <c r="V20" s="121"/>
      <c r="W20" s="121"/>
      <c r="X20" s="121"/>
    </row>
    <row r="21" spans="1:38" x14ac:dyDescent="0.25">
      <c r="B21" s="286"/>
      <c r="C21" s="286"/>
      <c r="D21" s="286"/>
      <c r="E21" s="286"/>
      <c r="F21" s="286"/>
      <c r="G21" s="286"/>
      <c r="H21" s="286"/>
      <c r="I21" s="286"/>
      <c r="J21" s="286"/>
      <c r="K21" s="286"/>
      <c r="L21" s="286"/>
      <c r="P21" s="121"/>
      <c r="Q21" s="121"/>
      <c r="R21" s="121"/>
      <c r="T21" s="121"/>
      <c r="U21" s="121"/>
      <c r="V21" s="121"/>
      <c r="W21" s="121"/>
      <c r="X21" s="121"/>
      <c r="AH21" s="258"/>
      <c r="AI21" s="258"/>
      <c r="AJ21" s="258"/>
      <c r="AK21" s="258"/>
      <c r="AL21" s="258"/>
    </row>
    <row r="22" spans="1:38" x14ac:dyDescent="0.25">
      <c r="B22" s="326" t="s">
        <v>748</v>
      </c>
      <c r="C22" s="327"/>
      <c r="D22" s="327"/>
      <c r="E22" s="328"/>
      <c r="F22" s="327"/>
      <c r="G22" s="329"/>
      <c r="H22" s="330"/>
      <c r="I22" s="330"/>
      <c r="J22" s="330"/>
      <c r="K22" s="330"/>
      <c r="L22" s="330"/>
      <c r="M22" s="330"/>
      <c r="N22" s="330"/>
      <c r="O22" s="330"/>
      <c r="P22" s="330"/>
      <c r="Q22" s="331"/>
      <c r="R22" s="121"/>
      <c r="S22" s="121"/>
      <c r="T22" s="121"/>
      <c r="U22" s="121"/>
      <c r="V22" s="121"/>
      <c r="W22" s="121"/>
      <c r="X22" s="121"/>
      <c r="AH22" s="258"/>
      <c r="AI22" s="258"/>
      <c r="AJ22" s="258"/>
      <c r="AK22" s="258"/>
      <c r="AL22" s="258"/>
    </row>
    <row r="23" spans="1:38" x14ac:dyDescent="0.25">
      <c r="A23" s="260"/>
      <c r="B23" s="457" t="s">
        <v>749</v>
      </c>
      <c r="C23" s="452"/>
      <c r="D23" s="453"/>
      <c r="E23" s="454"/>
      <c r="F23" s="260"/>
      <c r="G23" s="260"/>
      <c r="H23" s="197"/>
      <c r="I23" s="197"/>
      <c r="J23" s="197"/>
      <c r="K23" s="197"/>
      <c r="L23" s="197"/>
      <c r="M23" s="197"/>
      <c r="N23" s="197"/>
      <c r="O23" s="197"/>
      <c r="P23" s="197"/>
      <c r="Q23" s="197"/>
      <c r="R23" s="121"/>
      <c r="S23" s="121"/>
      <c r="T23" s="121"/>
      <c r="U23" s="121"/>
      <c r="V23" s="121"/>
      <c r="W23" s="121"/>
      <c r="X23" s="121"/>
      <c r="AH23" s="258"/>
      <c r="AI23" s="258"/>
      <c r="AJ23" s="258"/>
      <c r="AK23" s="258"/>
      <c r="AL23" s="258"/>
    </row>
    <row r="24" spans="1:38" x14ac:dyDescent="0.25">
      <c r="A24" s="450"/>
      <c r="B24" s="455" t="s">
        <v>750</v>
      </c>
      <c r="C24" s="349"/>
      <c r="D24" s="349"/>
      <c r="E24" s="349"/>
      <c r="F24" s="349"/>
      <c r="G24" s="349"/>
      <c r="H24" s="349"/>
      <c r="I24" s="196"/>
      <c r="J24" s="197"/>
      <c r="K24" s="197"/>
      <c r="L24" s="197"/>
      <c r="M24" s="197"/>
      <c r="N24" s="197"/>
      <c r="O24" s="197"/>
      <c r="P24" s="197"/>
      <c r="Q24" s="197"/>
      <c r="R24" s="121"/>
      <c r="S24" s="121"/>
      <c r="T24" s="121"/>
      <c r="U24" s="121"/>
      <c r="V24" s="121"/>
      <c r="W24" s="121"/>
      <c r="X24" s="121"/>
      <c r="AH24" s="258"/>
      <c r="AI24" s="258"/>
      <c r="AJ24" s="258"/>
      <c r="AK24" s="258"/>
      <c r="AL24" s="258"/>
    </row>
    <row r="25" spans="1:38" ht="45" x14ac:dyDescent="0.25">
      <c r="A25" s="450"/>
      <c r="B25" s="285" t="s">
        <v>703</v>
      </c>
      <c r="C25" s="153" t="s">
        <v>751</v>
      </c>
      <c r="D25" s="802" t="s">
        <v>737</v>
      </c>
      <c r="E25" s="229" t="s">
        <v>591</v>
      </c>
      <c r="F25" s="229" t="s">
        <v>592</v>
      </c>
      <c r="G25" s="152" t="s">
        <v>714</v>
      </c>
      <c r="H25" s="152" t="s">
        <v>715</v>
      </c>
      <c r="I25" s="229" t="s">
        <v>716</v>
      </c>
      <c r="J25" s="456"/>
      <c r="K25" s="197"/>
      <c r="L25" s="197"/>
      <c r="M25" s="197"/>
      <c r="N25" s="197"/>
      <c r="O25" s="197"/>
      <c r="P25" s="197"/>
      <c r="Q25" s="197"/>
      <c r="R25" s="121"/>
      <c r="S25" s="121"/>
      <c r="T25" s="121"/>
      <c r="U25" s="121"/>
      <c r="V25" s="121"/>
      <c r="W25" s="121"/>
      <c r="X25" s="121"/>
      <c r="AH25" s="258"/>
      <c r="AI25" s="258"/>
      <c r="AJ25" s="258"/>
      <c r="AK25" s="258"/>
      <c r="AL25" s="258"/>
    </row>
    <row r="26" spans="1:38" x14ac:dyDescent="0.25">
      <c r="A26" s="450"/>
      <c r="B26" s="309" t="s">
        <v>2304</v>
      </c>
      <c r="C26" s="137">
        <f>'Capacity inputs'!G$13</f>
        <v>0</v>
      </c>
      <c r="D26" s="116">
        <f>'Financial impact (cash)'!D13*$C$26</f>
        <v>0</v>
      </c>
      <c r="E26" s="116">
        <f>'Financial impact (cash)'!E13*$C$26</f>
        <v>0</v>
      </c>
      <c r="F26" s="995">
        <f>'Financial impact (cash)'!F13*$C$26</f>
        <v>0</v>
      </c>
      <c r="G26" s="995">
        <f>'Financial impact (cash)'!G13*$C$26</f>
        <v>0</v>
      </c>
      <c r="H26" s="995">
        <f>'Financial impact (cash)'!H13*$C$26</f>
        <v>0</v>
      </c>
      <c r="I26" s="995">
        <f>'Financial impact (cash)'!I13*$C$26</f>
        <v>0</v>
      </c>
      <c r="J26" s="456"/>
      <c r="K26" s="197"/>
      <c r="L26" s="197"/>
      <c r="M26" s="197"/>
      <c r="N26" s="197"/>
      <c r="O26" s="197"/>
      <c r="P26" s="197"/>
      <c r="Q26" s="197"/>
      <c r="R26" s="121"/>
      <c r="S26" s="121"/>
      <c r="T26" s="121"/>
      <c r="U26" s="121"/>
      <c r="V26" s="121"/>
      <c r="W26" s="121"/>
      <c r="X26" s="121"/>
      <c r="AH26" s="258"/>
      <c r="AI26" s="258"/>
      <c r="AJ26" s="258"/>
      <c r="AK26" s="258"/>
      <c r="AL26" s="258"/>
    </row>
    <row r="27" spans="1:38" x14ac:dyDescent="0.25">
      <c r="A27" s="450"/>
      <c r="B27" s="137" t="s">
        <v>2237</v>
      </c>
      <c r="C27" s="137">
        <f>'Capacity inputs'!H$13</f>
        <v>0</v>
      </c>
      <c r="D27" s="116">
        <f>'Financial impact (cash)'!D15*$C27</f>
        <v>0</v>
      </c>
      <c r="E27" s="116">
        <f>'Financial impact (cash)'!E15*$C27</f>
        <v>0</v>
      </c>
      <c r="F27" s="116">
        <f>'Financial impact (cash)'!F15*$C27</f>
        <v>0</v>
      </c>
      <c r="G27" s="116">
        <f>'Financial impact (cash)'!G15*$C27</f>
        <v>0</v>
      </c>
      <c r="H27" s="116">
        <f>'Financial impact (cash)'!H15*$C27</f>
        <v>0</v>
      </c>
      <c r="I27" s="116">
        <f>'Financial impact (cash)'!I15*$C27</f>
        <v>0</v>
      </c>
      <c r="J27" s="456"/>
      <c r="K27" s="197"/>
      <c r="L27" s="197"/>
      <c r="M27" s="197"/>
      <c r="N27" s="197"/>
      <c r="O27" s="197"/>
      <c r="P27" s="197"/>
      <c r="Q27" s="197"/>
      <c r="R27" s="121"/>
      <c r="S27" s="121"/>
      <c r="T27" s="121"/>
      <c r="U27" s="121"/>
      <c r="V27" s="121"/>
      <c r="W27" s="121"/>
      <c r="X27" s="121"/>
      <c r="AH27" s="258"/>
      <c r="AI27" s="258"/>
      <c r="AJ27" s="258"/>
      <c r="AK27" s="258"/>
      <c r="AL27" s="258"/>
    </row>
    <row r="28" spans="1:38" x14ac:dyDescent="0.25">
      <c r="A28" s="450"/>
      <c r="B28" s="137" t="s">
        <v>2264</v>
      </c>
      <c r="C28" s="137">
        <f>'Capacity inputs'!I$13</f>
        <v>0</v>
      </c>
      <c r="D28" s="116">
        <f>'Financial impact (cash)'!D16*$C28</f>
        <v>0</v>
      </c>
      <c r="E28" s="116">
        <f>'Financial impact (cash)'!E16*$C28</f>
        <v>0</v>
      </c>
      <c r="F28" s="116">
        <f>'Financial impact (cash)'!F16*$C28</f>
        <v>0</v>
      </c>
      <c r="G28" s="116">
        <f>'Financial impact (cash)'!G16*$C28</f>
        <v>0</v>
      </c>
      <c r="H28" s="116">
        <f>'Financial impact (cash)'!H16*$C28</f>
        <v>0</v>
      </c>
      <c r="I28" s="116">
        <f>'Financial impact (cash)'!I16*$C28</f>
        <v>0</v>
      </c>
      <c r="J28" s="456"/>
      <c r="K28" s="197"/>
      <c r="L28" s="197"/>
      <c r="M28" s="197"/>
      <c r="N28" s="197"/>
      <c r="O28" s="197"/>
      <c r="P28" s="197"/>
      <c r="Q28" s="197"/>
      <c r="R28" s="121"/>
      <c r="S28" s="121"/>
      <c r="T28" s="121"/>
      <c r="U28" s="121"/>
      <c r="V28" s="121"/>
      <c r="W28" s="121"/>
      <c r="X28" s="121"/>
      <c r="AH28" s="258"/>
      <c r="AI28" s="258"/>
      <c r="AJ28" s="258"/>
      <c r="AK28" s="258"/>
      <c r="AL28" s="258"/>
    </row>
    <row r="29" spans="1:38" x14ac:dyDescent="0.25">
      <c r="A29" s="450"/>
      <c r="B29" s="137" t="s">
        <v>2260</v>
      </c>
      <c r="C29" s="137">
        <f>'Capacity inputs'!J$13</f>
        <v>0</v>
      </c>
      <c r="D29" s="116">
        <f>'Financial impact (cash)'!D17*$C29</f>
        <v>0</v>
      </c>
      <c r="E29" s="116">
        <f>'Financial impact (cash)'!E17*$C29</f>
        <v>0</v>
      </c>
      <c r="F29" s="116">
        <f>'Financial impact (cash)'!F17*$C29</f>
        <v>0</v>
      </c>
      <c r="G29" s="116">
        <f>'Financial impact (cash)'!G17*$C29</f>
        <v>0</v>
      </c>
      <c r="H29" s="116">
        <f>'Financial impact (cash)'!H17*$C29</f>
        <v>0</v>
      </c>
      <c r="I29" s="116">
        <f>'Financial impact (cash)'!I17*$C29</f>
        <v>0</v>
      </c>
      <c r="J29" s="456"/>
      <c r="K29" s="197"/>
      <c r="L29" s="197"/>
      <c r="M29" s="197"/>
      <c r="N29" s="197"/>
      <c r="O29" s="197"/>
      <c r="P29" s="197"/>
      <c r="Q29" s="197"/>
      <c r="R29" s="121"/>
      <c r="S29" s="121"/>
      <c r="T29" s="121"/>
      <c r="U29" s="121"/>
      <c r="V29" s="121"/>
      <c r="W29" s="121"/>
      <c r="X29" s="121"/>
      <c r="AH29" s="258"/>
      <c r="AI29" s="258"/>
      <c r="AJ29" s="258"/>
      <c r="AK29" s="258"/>
      <c r="AL29" s="258"/>
    </row>
    <row r="30" spans="1:38" x14ac:dyDescent="0.25">
      <c r="A30" s="450"/>
      <c r="B30" s="439"/>
      <c r="C30" s="289"/>
      <c r="D30" s="168">
        <f t="shared" ref="D30:I30" si="18">SUM(D26:D29)</f>
        <v>0</v>
      </c>
      <c r="E30" s="168">
        <f t="shared" si="18"/>
        <v>0</v>
      </c>
      <c r="F30" s="168">
        <f t="shared" si="18"/>
        <v>0</v>
      </c>
      <c r="G30" s="168">
        <f t="shared" si="18"/>
        <v>0</v>
      </c>
      <c r="H30" s="168">
        <f t="shared" si="18"/>
        <v>0</v>
      </c>
      <c r="I30" s="168">
        <f t="shared" si="18"/>
        <v>0</v>
      </c>
      <c r="J30" s="456"/>
      <c r="K30" s="197"/>
      <c r="L30" s="197"/>
      <c r="M30" s="197"/>
      <c r="N30" s="197"/>
      <c r="O30" s="197"/>
      <c r="P30" s="197"/>
      <c r="Q30" s="197"/>
      <c r="R30" s="121"/>
      <c r="S30" s="121"/>
      <c r="T30" s="121"/>
      <c r="U30" s="121"/>
      <c r="V30" s="121"/>
      <c r="W30" s="121"/>
      <c r="X30" s="121"/>
      <c r="AH30" s="258"/>
      <c r="AI30" s="258"/>
      <c r="AJ30" s="258"/>
      <c r="AK30" s="258"/>
      <c r="AL30" s="258"/>
    </row>
    <row r="31" spans="1:38" x14ac:dyDescent="0.25">
      <c r="A31" s="450"/>
      <c r="B31" s="230"/>
      <c r="C31" s="230"/>
      <c r="D31" s="257" t="s">
        <v>752</v>
      </c>
      <c r="E31" s="168">
        <f>E30-$D$30</f>
        <v>0</v>
      </c>
      <c r="F31" s="168">
        <f>F30-$D$30</f>
        <v>0</v>
      </c>
      <c r="G31" s="168">
        <f>G30-$D$30</f>
        <v>0</v>
      </c>
      <c r="H31" s="168">
        <f>H30-$D$30</f>
        <v>0</v>
      </c>
      <c r="I31" s="168">
        <f>I30-$D$30</f>
        <v>0</v>
      </c>
      <c r="J31" s="456"/>
      <c r="K31" s="197"/>
      <c r="L31" s="197"/>
      <c r="M31" s="197"/>
      <c r="N31" s="197"/>
      <c r="O31" s="197"/>
      <c r="P31" s="197"/>
      <c r="Q31" s="197"/>
      <c r="R31" s="121"/>
      <c r="S31" s="121"/>
      <c r="T31" s="121"/>
      <c r="U31" s="121"/>
      <c r="V31" s="121"/>
      <c r="W31" s="121"/>
      <c r="X31" s="121"/>
      <c r="AH31" s="258"/>
      <c r="AI31" s="258"/>
      <c r="AJ31" s="258"/>
      <c r="AK31" s="258"/>
      <c r="AL31" s="258"/>
    </row>
    <row r="32" spans="1:38" x14ac:dyDescent="0.25">
      <c r="A32" s="260"/>
      <c r="B32" s="451"/>
      <c r="C32" s="452"/>
      <c r="D32" s="453"/>
      <c r="E32" s="454"/>
      <c r="F32" s="260"/>
      <c r="G32" s="260"/>
      <c r="H32" s="260"/>
      <c r="I32" s="280"/>
      <c r="J32" s="197"/>
      <c r="K32" s="197"/>
      <c r="L32" s="197"/>
      <c r="M32" s="197"/>
      <c r="N32" s="197"/>
      <c r="O32" s="197"/>
      <c r="P32" s="197"/>
      <c r="Q32" s="197"/>
      <c r="R32" s="121"/>
      <c r="S32" s="121"/>
      <c r="T32" s="121"/>
      <c r="U32" s="121"/>
      <c r="V32" s="121"/>
      <c r="W32" s="121"/>
      <c r="X32" s="121"/>
      <c r="AH32" s="258"/>
      <c r="AI32" s="258"/>
      <c r="AJ32" s="258"/>
      <c r="AK32" s="258"/>
      <c r="AL32" s="258"/>
    </row>
    <row r="33" spans="1:38" x14ac:dyDescent="0.25">
      <c r="A33" s="260"/>
      <c r="B33" s="348" t="s">
        <v>753</v>
      </c>
      <c r="C33" s="349"/>
      <c r="D33" s="349"/>
      <c r="E33" s="349"/>
      <c r="F33" s="349"/>
      <c r="G33" s="349"/>
      <c r="H33" s="349"/>
      <c r="I33" s="196"/>
      <c r="J33" s="197"/>
      <c r="K33" s="197"/>
      <c r="L33" s="197"/>
      <c r="M33" s="197"/>
      <c r="N33" s="197"/>
      <c r="O33" s="197"/>
      <c r="P33" s="197"/>
      <c r="Q33" s="197"/>
      <c r="R33" s="121"/>
      <c r="S33" s="121"/>
      <c r="T33" s="121"/>
      <c r="U33" s="121"/>
      <c r="V33" s="121"/>
      <c r="W33" s="121"/>
      <c r="X33" s="121"/>
      <c r="AH33" s="258"/>
      <c r="AI33" s="258"/>
      <c r="AJ33" s="258"/>
      <c r="AK33" s="258"/>
      <c r="AL33" s="258"/>
    </row>
    <row r="34" spans="1:38" ht="45" x14ac:dyDescent="0.25">
      <c r="A34" s="260"/>
      <c r="B34" s="254" t="s">
        <v>703</v>
      </c>
      <c r="C34" s="153" t="s">
        <v>751</v>
      </c>
      <c r="D34" s="802" t="s">
        <v>737</v>
      </c>
      <c r="E34" s="229" t="s">
        <v>591</v>
      </c>
      <c r="F34" s="229" t="s">
        <v>592</v>
      </c>
      <c r="G34" s="152" t="s">
        <v>714</v>
      </c>
      <c r="H34" s="152" t="s">
        <v>715</v>
      </c>
      <c r="I34" s="229" t="s">
        <v>716</v>
      </c>
      <c r="J34" s="197"/>
      <c r="K34" s="197"/>
      <c r="L34" s="197"/>
      <c r="M34" s="197"/>
      <c r="N34" s="197"/>
      <c r="O34" s="197"/>
      <c r="P34" s="197"/>
      <c r="Q34" s="197"/>
      <c r="R34" s="121"/>
      <c r="S34" s="121"/>
      <c r="T34" s="121"/>
      <c r="U34" s="121"/>
      <c r="V34" s="121"/>
      <c r="W34" s="121"/>
      <c r="X34" s="121"/>
      <c r="AH34" s="258"/>
      <c r="AI34" s="258"/>
      <c r="AJ34" s="258"/>
      <c r="AK34" s="258"/>
      <c r="AL34" s="258"/>
    </row>
    <row r="35" spans="1:38" x14ac:dyDescent="0.25">
      <c r="A35" s="260"/>
      <c r="B35" s="310" t="str">
        <f>B26</f>
        <v>Enfortumab vedotin with pembrolizumab</v>
      </c>
      <c r="C35" s="137">
        <f>'Capacity inputs'!G$14</f>
        <v>0</v>
      </c>
      <c r="D35" s="116">
        <f>('Financial impact (cash)'!D13+'Financial impact (cash)'!D14)*$C35</f>
        <v>0</v>
      </c>
      <c r="E35" s="116">
        <f>('Financial impact (cash)'!E13+'Financial impact (cash)'!E14)*$C35</f>
        <v>0</v>
      </c>
      <c r="F35" s="116">
        <f>('Financial impact (cash)'!F13+'Financial impact (cash)'!F14)*$C35</f>
        <v>0</v>
      </c>
      <c r="G35" s="116">
        <f>('Financial impact (cash)'!G13+'Financial impact (cash)'!G14)*$C35</f>
        <v>0</v>
      </c>
      <c r="H35" s="116">
        <f>('Financial impact (cash)'!H13+'Financial impact (cash)'!H14)*$C35</f>
        <v>0</v>
      </c>
      <c r="I35" s="116">
        <f>('Financial impact (cash)'!I13+'Financial impact (cash)'!I14)*$C35</f>
        <v>0</v>
      </c>
      <c r="J35" s="197"/>
      <c r="K35" s="197"/>
      <c r="L35" s="197"/>
      <c r="M35" s="197"/>
      <c r="N35" s="197"/>
      <c r="O35" s="197"/>
      <c r="P35" s="197"/>
      <c r="Q35" s="197"/>
      <c r="R35" s="121"/>
      <c r="S35" s="121"/>
      <c r="T35" s="121"/>
      <c r="U35" s="121"/>
      <c r="V35" s="121"/>
      <c r="W35" s="121"/>
      <c r="X35" s="121"/>
      <c r="AH35" s="258"/>
      <c r="AI35" s="258"/>
      <c r="AJ35" s="258"/>
      <c r="AK35" s="258"/>
      <c r="AL35" s="258"/>
    </row>
    <row r="36" spans="1:38" x14ac:dyDescent="0.25">
      <c r="A36" s="260"/>
      <c r="B36" s="310" t="str">
        <f>B27</f>
        <v>Gemcitabine &amp; cisplatin</v>
      </c>
      <c r="C36" s="137">
        <f>'Capacity inputs'!H$14</f>
        <v>0</v>
      </c>
      <c r="D36" s="116">
        <f>'Financial impact (cash)'!D15*$C36</f>
        <v>0</v>
      </c>
      <c r="E36" s="116">
        <f>'Financial impact (cash)'!E15*$C36</f>
        <v>0</v>
      </c>
      <c r="F36" s="116">
        <f>'Financial impact (cash)'!F15*$C36</f>
        <v>0</v>
      </c>
      <c r="G36" s="116">
        <f>'Financial impact (cash)'!G15*$C36</f>
        <v>0</v>
      </c>
      <c r="H36" s="116">
        <f>'Financial impact (cash)'!H15*$C36</f>
        <v>0</v>
      </c>
      <c r="I36" s="116">
        <f>'Financial impact (cash)'!I15*$C36</f>
        <v>0</v>
      </c>
      <c r="J36" s="197"/>
      <c r="K36" s="197"/>
      <c r="L36" s="197"/>
      <c r="M36" s="197"/>
      <c r="N36" s="197"/>
      <c r="O36" s="197"/>
      <c r="P36" s="197"/>
      <c r="Q36" s="197"/>
      <c r="R36" s="121"/>
      <c r="S36" s="121"/>
      <c r="T36" s="121"/>
      <c r="U36" s="121"/>
      <c r="V36" s="121"/>
      <c r="W36" s="121"/>
      <c r="X36" s="121"/>
      <c r="AH36" s="258"/>
      <c r="AI36" s="258"/>
      <c r="AJ36" s="258"/>
      <c r="AK36" s="258"/>
      <c r="AL36" s="258"/>
    </row>
    <row r="37" spans="1:38" x14ac:dyDescent="0.25">
      <c r="A37" s="260"/>
      <c r="B37" s="310" t="str">
        <f>B28</f>
        <v xml:space="preserve">Gemcitabine &amp; carboplatin </v>
      </c>
      <c r="C37" s="137">
        <f>'Capacity inputs'!I$14</f>
        <v>0</v>
      </c>
      <c r="D37" s="116">
        <f>'Financial impact (cash)'!D16*$C37</f>
        <v>0</v>
      </c>
      <c r="E37" s="116">
        <f>'Financial impact (cash)'!E16*$C37</f>
        <v>0</v>
      </c>
      <c r="F37" s="116">
        <f>'Financial impact (cash)'!F16*$C37</f>
        <v>0</v>
      </c>
      <c r="G37" s="116">
        <f>'Financial impact (cash)'!G16*$C37</f>
        <v>0</v>
      </c>
      <c r="H37" s="116">
        <f>'Financial impact (cash)'!H16*$C37</f>
        <v>0</v>
      </c>
      <c r="I37" s="116">
        <f>'Financial impact (cash)'!I16*$C37</f>
        <v>0</v>
      </c>
      <c r="J37" s="197"/>
      <c r="K37" s="197"/>
      <c r="L37" s="197"/>
      <c r="M37" s="197"/>
      <c r="N37" s="197"/>
      <c r="O37" s="197"/>
      <c r="P37" s="197"/>
      <c r="Q37" s="197"/>
      <c r="R37" s="121"/>
      <c r="S37" s="121"/>
      <c r="T37" s="121"/>
      <c r="U37" s="121"/>
      <c r="V37" s="121"/>
      <c r="W37" s="121"/>
      <c r="X37" s="121"/>
      <c r="AH37" s="258"/>
      <c r="AI37" s="258"/>
      <c r="AJ37" s="258"/>
      <c r="AK37" s="258"/>
      <c r="AL37" s="258"/>
    </row>
    <row r="38" spans="1:38" x14ac:dyDescent="0.25">
      <c r="A38" s="260"/>
      <c r="B38" s="310" t="str">
        <f>B29</f>
        <v>Atezolizumab</v>
      </c>
      <c r="C38" s="137">
        <f>'Capacity inputs'!J$14</f>
        <v>0</v>
      </c>
      <c r="D38" s="116">
        <f>'Financial impact (cash)'!D17*$C38</f>
        <v>0</v>
      </c>
      <c r="E38" s="116">
        <f>'Financial impact (cash)'!E17*$C38</f>
        <v>0</v>
      </c>
      <c r="F38" s="116">
        <f>'Financial impact (cash)'!F17*$C38</f>
        <v>0</v>
      </c>
      <c r="G38" s="116">
        <f>'Financial impact (cash)'!G17*$C38</f>
        <v>0</v>
      </c>
      <c r="H38" s="116">
        <f>'Financial impact (cash)'!H17*$C38</f>
        <v>0</v>
      </c>
      <c r="I38" s="116">
        <f>'Financial impact (cash)'!I17*$C38</f>
        <v>0</v>
      </c>
      <c r="J38" s="197"/>
      <c r="K38" s="197"/>
      <c r="L38" s="197"/>
      <c r="M38" s="197"/>
      <c r="N38" s="197"/>
      <c r="O38" s="197"/>
      <c r="P38" s="197"/>
      <c r="Q38" s="197"/>
      <c r="R38" s="121"/>
      <c r="S38" s="121"/>
      <c r="T38" s="121"/>
      <c r="U38" s="121"/>
      <c r="V38" s="121"/>
      <c r="W38" s="121"/>
      <c r="X38" s="121"/>
      <c r="AH38" s="258"/>
      <c r="AI38" s="258"/>
      <c r="AJ38" s="258"/>
      <c r="AK38" s="258"/>
      <c r="AL38" s="258"/>
    </row>
    <row r="39" spans="1:38" x14ac:dyDescent="0.25">
      <c r="A39" s="450"/>
      <c r="B39" s="439"/>
      <c r="C39" s="289"/>
      <c r="D39" s="168">
        <f t="shared" ref="D39:I39" si="19">SUM(D35:D38)</f>
        <v>0</v>
      </c>
      <c r="E39" s="168">
        <f t="shared" si="19"/>
        <v>0</v>
      </c>
      <c r="F39" s="168">
        <f t="shared" si="19"/>
        <v>0</v>
      </c>
      <c r="G39" s="168">
        <f t="shared" si="19"/>
        <v>0</v>
      </c>
      <c r="H39" s="168">
        <f t="shared" si="19"/>
        <v>0</v>
      </c>
      <c r="I39" s="168">
        <f t="shared" si="19"/>
        <v>0</v>
      </c>
      <c r="J39" s="456"/>
      <c r="K39" s="197"/>
      <c r="L39" s="197"/>
      <c r="M39" s="197"/>
      <c r="N39" s="197"/>
      <c r="O39" s="197"/>
      <c r="P39" s="197"/>
      <c r="Q39" s="197"/>
      <c r="R39" s="121"/>
      <c r="S39" s="121"/>
      <c r="T39" s="121"/>
      <c r="U39" s="121"/>
      <c r="V39" s="121"/>
      <c r="W39" s="121"/>
      <c r="X39" s="121"/>
      <c r="AH39" s="258"/>
      <c r="AI39" s="258"/>
      <c r="AJ39" s="258"/>
      <c r="AK39" s="258"/>
      <c r="AL39" s="258"/>
    </row>
    <row r="40" spans="1:38" x14ac:dyDescent="0.25">
      <c r="A40" s="450"/>
      <c r="B40" s="230"/>
      <c r="C40" s="230"/>
      <c r="D40" s="257" t="s">
        <v>2265</v>
      </c>
      <c r="E40" s="168">
        <f>E39-$D$39</f>
        <v>0</v>
      </c>
      <c r="F40" s="168">
        <f t="shared" ref="F40:I40" si="20">F39-$D$39</f>
        <v>0</v>
      </c>
      <c r="G40" s="168">
        <f t="shared" si="20"/>
        <v>0</v>
      </c>
      <c r="H40" s="168">
        <f t="shared" si="20"/>
        <v>0</v>
      </c>
      <c r="I40" s="168">
        <f t="shared" si="20"/>
        <v>0</v>
      </c>
      <c r="J40" s="456"/>
      <c r="K40" s="197"/>
      <c r="L40" s="197"/>
      <c r="M40" s="197"/>
      <c r="N40" s="197"/>
      <c r="O40" s="197"/>
      <c r="P40" s="197"/>
      <c r="Q40" s="197"/>
      <c r="R40" s="121"/>
      <c r="S40" s="121"/>
      <c r="T40" s="121"/>
      <c r="U40" s="121"/>
      <c r="V40" s="121"/>
      <c r="W40" s="121"/>
      <c r="X40" s="121"/>
      <c r="AH40" s="258"/>
      <c r="AI40" s="258"/>
      <c r="AJ40" s="258"/>
      <c r="AK40" s="258"/>
      <c r="AL40" s="258"/>
    </row>
    <row r="41" spans="1:38" x14ac:dyDescent="0.25">
      <c r="A41" s="260"/>
      <c r="B41" s="451"/>
      <c r="C41" s="452"/>
      <c r="D41" s="453"/>
      <c r="E41" s="454"/>
      <c r="F41" s="260"/>
      <c r="G41" s="260"/>
      <c r="H41" s="260"/>
      <c r="I41" s="260"/>
      <c r="J41" s="197"/>
      <c r="K41" s="197"/>
      <c r="L41" s="197"/>
      <c r="M41" s="197"/>
      <c r="N41" s="197"/>
      <c r="O41" s="197"/>
      <c r="P41" s="197"/>
      <c r="Q41" s="197"/>
      <c r="R41" s="121"/>
      <c r="S41" s="121"/>
      <c r="T41" s="121"/>
      <c r="U41" s="121"/>
      <c r="V41" s="121"/>
      <c r="W41" s="121"/>
      <c r="X41" s="121"/>
      <c r="AH41" s="258"/>
      <c r="AI41" s="258"/>
      <c r="AJ41" s="258"/>
      <c r="AK41" s="258"/>
      <c r="AL41" s="258"/>
    </row>
    <row r="42" spans="1:38" x14ac:dyDescent="0.25">
      <c r="A42" s="266"/>
      <c r="B42" s="287" t="s">
        <v>755</v>
      </c>
      <c r="C42" s="267"/>
      <c r="D42" s="267"/>
      <c r="E42" s="268"/>
      <c r="F42" s="269"/>
      <c r="G42" s="270"/>
      <c r="H42" s="270"/>
      <c r="I42" s="375"/>
      <c r="J42" s="376"/>
      <c r="K42" s="266"/>
      <c r="L42" s="266"/>
      <c r="M42" s="266"/>
      <c r="N42" s="266"/>
      <c r="O42" s="266"/>
      <c r="P42" s="266"/>
      <c r="Q42" s="193"/>
      <c r="R42" s="121"/>
      <c r="T42" s="121"/>
    </row>
    <row r="43" spans="1:38" x14ac:dyDescent="0.25">
      <c r="A43" s="274"/>
      <c r="B43" s="341" t="s">
        <v>756</v>
      </c>
      <c r="C43" s="342"/>
      <c r="D43" s="342"/>
      <c r="E43" s="342"/>
      <c r="F43" s="342"/>
      <c r="G43" s="342"/>
      <c r="H43" s="342"/>
      <c r="I43" s="342"/>
      <c r="J43" s="372"/>
      <c r="K43" s="193"/>
      <c r="L43" s="193"/>
      <c r="M43" s="193"/>
      <c r="N43" s="193"/>
      <c r="O43" s="193"/>
      <c r="P43" s="193"/>
      <c r="Q43" s="193"/>
      <c r="R43" s="121"/>
      <c r="S43" s="121"/>
      <c r="T43" s="121"/>
      <c r="U43" s="121"/>
      <c r="V43" s="121"/>
      <c r="W43" s="121"/>
      <c r="X43" s="121"/>
      <c r="AH43" s="258"/>
      <c r="AI43" s="258"/>
      <c r="AJ43" s="258"/>
      <c r="AK43" s="258"/>
      <c r="AL43" s="258"/>
    </row>
    <row r="44" spans="1:38" ht="45" x14ac:dyDescent="0.25">
      <c r="A44" s="274"/>
      <c r="B44" s="285" t="s">
        <v>703</v>
      </c>
      <c r="C44" s="153" t="s">
        <v>693</v>
      </c>
      <c r="D44" s="802" t="s">
        <v>737</v>
      </c>
      <c r="E44" s="229" t="s">
        <v>591</v>
      </c>
      <c r="F44" s="229" t="s">
        <v>592</v>
      </c>
      <c r="G44" s="152" t="s">
        <v>714</v>
      </c>
      <c r="H44" s="152" t="s">
        <v>715</v>
      </c>
      <c r="I44" s="229" t="s">
        <v>716</v>
      </c>
      <c r="J44" s="372"/>
      <c r="K44" s="193"/>
      <c r="L44" s="193"/>
      <c r="M44" s="193"/>
      <c r="N44" s="193"/>
      <c r="O44" s="193"/>
      <c r="P44" s="193"/>
      <c r="Q44" s="193"/>
      <c r="R44" s="121"/>
      <c r="S44" s="121"/>
      <c r="T44" s="121"/>
      <c r="U44" s="121"/>
      <c r="V44" s="121"/>
      <c r="W44" s="121"/>
      <c r="X44" s="121"/>
      <c r="AH44" s="258"/>
      <c r="AI44" s="258"/>
      <c r="AJ44" s="258"/>
      <c r="AK44" s="258"/>
      <c r="AL44" s="258"/>
    </row>
    <row r="45" spans="1:38" x14ac:dyDescent="0.25">
      <c r="A45" s="274"/>
      <c r="B45" s="311" t="str">
        <f>B35</f>
        <v>Enfortumab vedotin with pembrolizumab</v>
      </c>
      <c r="C45" s="941">
        <f>'Inputs and population'!G63</f>
        <v>0</v>
      </c>
      <c r="D45" s="116">
        <f>'Inputs and population'!K39*$C45</f>
        <v>0</v>
      </c>
      <c r="E45" s="116">
        <f>'Inputs and population'!L39*$C45</f>
        <v>0</v>
      </c>
      <c r="F45" s="116">
        <f>'Inputs and population'!M39*$C45</f>
        <v>0</v>
      </c>
      <c r="G45" s="116">
        <f>'Inputs and population'!N39*$C45</f>
        <v>0</v>
      </c>
      <c r="H45" s="116">
        <f>'Inputs and population'!O39*$C45</f>
        <v>0</v>
      </c>
      <c r="I45" s="116">
        <f>'Inputs and population'!P39*$C45</f>
        <v>0</v>
      </c>
      <c r="J45" s="372"/>
      <c r="K45" s="193"/>
      <c r="L45" s="193"/>
      <c r="M45" s="193"/>
      <c r="N45" s="193"/>
      <c r="O45" s="193"/>
      <c r="P45" s="193"/>
      <c r="Q45" s="193"/>
      <c r="R45" s="121"/>
      <c r="S45" s="121"/>
      <c r="T45" s="121"/>
      <c r="U45" s="121"/>
      <c r="V45" s="121"/>
      <c r="W45" s="121"/>
      <c r="X45" s="121"/>
      <c r="AH45" s="258"/>
      <c r="AI45" s="258"/>
      <c r="AJ45" s="258"/>
      <c r="AK45" s="258"/>
      <c r="AL45" s="258"/>
    </row>
    <row r="46" spans="1:38" x14ac:dyDescent="0.25">
      <c r="A46" s="274"/>
      <c r="B46" s="311" t="s">
        <v>2303</v>
      </c>
      <c r="C46" s="941">
        <f>'Inputs and population'!H63</f>
        <v>0</v>
      </c>
      <c r="D46" s="116">
        <f>'Inputs and population'!K40*$C46</f>
        <v>0</v>
      </c>
      <c r="E46" s="116">
        <f>'Inputs and population'!L40*$C46</f>
        <v>0</v>
      </c>
      <c r="F46" s="116">
        <f>'Inputs and population'!M40*$C46</f>
        <v>0</v>
      </c>
      <c r="G46" s="116">
        <f>'Inputs and population'!N40*$C46</f>
        <v>0</v>
      </c>
      <c r="H46" s="116">
        <f>'Inputs and population'!O40*$C46</f>
        <v>0</v>
      </c>
      <c r="I46" s="116">
        <f>'Inputs and population'!P40*$C46</f>
        <v>0</v>
      </c>
      <c r="J46" s="372"/>
      <c r="K46" s="193"/>
      <c r="L46" s="193"/>
      <c r="M46" s="193"/>
      <c r="N46" s="193"/>
      <c r="O46" s="193"/>
      <c r="P46" s="193"/>
      <c r="Q46" s="193"/>
      <c r="R46" s="121"/>
      <c r="S46" s="121"/>
      <c r="T46" s="121"/>
      <c r="U46" s="121"/>
      <c r="V46" s="121"/>
      <c r="W46" s="121"/>
      <c r="X46" s="121"/>
      <c r="AH46" s="258"/>
      <c r="AI46" s="258"/>
      <c r="AJ46" s="258"/>
      <c r="AK46" s="258"/>
      <c r="AL46" s="258"/>
    </row>
    <row r="47" spans="1:38" x14ac:dyDescent="0.25">
      <c r="A47" s="274"/>
      <c r="B47" s="311" t="str">
        <f>B36</f>
        <v>Gemcitabine &amp; cisplatin</v>
      </c>
      <c r="C47" s="941">
        <f>'Inputs and population'!G65</f>
        <v>0</v>
      </c>
      <c r="D47" s="116">
        <f>'Inputs and population'!K41*$C47</f>
        <v>0</v>
      </c>
      <c r="E47" s="116">
        <f>'Inputs and population'!L41*$C47</f>
        <v>0</v>
      </c>
      <c r="F47" s="116">
        <f>'Inputs and population'!M41*$C47</f>
        <v>0</v>
      </c>
      <c r="G47" s="116">
        <f>'Inputs and population'!N41*$C47</f>
        <v>0</v>
      </c>
      <c r="H47" s="116">
        <f>'Inputs and population'!O41*$C47</f>
        <v>0</v>
      </c>
      <c r="I47" s="116">
        <f>'Inputs and population'!P41*$C47</f>
        <v>0</v>
      </c>
      <c r="J47" s="372"/>
      <c r="K47" s="193"/>
      <c r="L47" s="193"/>
      <c r="M47" s="193"/>
      <c r="N47" s="193"/>
      <c r="O47" s="193"/>
      <c r="P47" s="193"/>
      <c r="Q47" s="193"/>
      <c r="R47" s="121"/>
      <c r="S47" s="121"/>
      <c r="T47" s="121"/>
      <c r="U47" s="121"/>
      <c r="V47" s="121"/>
      <c r="W47" s="121"/>
      <c r="X47" s="121"/>
      <c r="AH47" s="258"/>
      <c r="AI47" s="258"/>
      <c r="AJ47" s="258"/>
      <c r="AK47" s="258"/>
      <c r="AL47" s="258"/>
    </row>
    <row r="48" spans="1:38" x14ac:dyDescent="0.25">
      <c r="A48" s="274"/>
      <c r="B48" s="311" t="str">
        <f>B37</f>
        <v xml:space="preserve">Gemcitabine &amp; carboplatin </v>
      </c>
      <c r="C48" s="941">
        <f>'Inputs and population'!G67</f>
        <v>0</v>
      </c>
      <c r="D48" s="116">
        <f>'Inputs and population'!K42*$C48</f>
        <v>0</v>
      </c>
      <c r="E48" s="116">
        <f>'Inputs and population'!L42*$C48</f>
        <v>0</v>
      </c>
      <c r="F48" s="116">
        <f>'Inputs and population'!M42*$C48</f>
        <v>0</v>
      </c>
      <c r="G48" s="116">
        <f>'Inputs and population'!N42*$C48</f>
        <v>0</v>
      </c>
      <c r="H48" s="116">
        <f>'Inputs and population'!O42*$C48</f>
        <v>0</v>
      </c>
      <c r="I48" s="116">
        <f>'Inputs and population'!P42*$C48</f>
        <v>0</v>
      </c>
      <c r="J48" s="372"/>
      <c r="K48" s="193"/>
      <c r="L48" s="193"/>
      <c r="M48" s="193"/>
      <c r="N48" s="193"/>
      <c r="O48" s="193"/>
      <c r="P48" s="193"/>
      <c r="Q48" s="193"/>
      <c r="R48" s="121"/>
      <c r="S48" s="121"/>
      <c r="T48" s="121"/>
      <c r="U48" s="121"/>
      <c r="V48" s="121"/>
      <c r="W48" s="121"/>
      <c r="X48" s="121"/>
      <c r="AH48" s="258"/>
      <c r="AI48" s="258"/>
      <c r="AJ48" s="258"/>
      <c r="AK48" s="258"/>
      <c r="AL48" s="258"/>
    </row>
    <row r="49" spans="1:38" x14ac:dyDescent="0.25">
      <c r="A49" s="274"/>
      <c r="B49" s="311" t="str">
        <f>B38</f>
        <v>Atezolizumab</v>
      </c>
      <c r="C49" s="941">
        <f>'Inputs and population'!G69</f>
        <v>0</v>
      </c>
      <c r="D49" s="116">
        <f>'Inputs and population'!K43*$C49</f>
        <v>0</v>
      </c>
      <c r="E49" s="116">
        <f>'Inputs and population'!L43*$C49</f>
        <v>0</v>
      </c>
      <c r="F49" s="116">
        <f>'Inputs and population'!M43*$C49</f>
        <v>0</v>
      </c>
      <c r="G49" s="116">
        <f>'Inputs and population'!N43*$C49</f>
        <v>0</v>
      </c>
      <c r="H49" s="116">
        <f>'Inputs and population'!O43*$C49</f>
        <v>0</v>
      </c>
      <c r="I49" s="116">
        <f>'Inputs and population'!P43*$C49</f>
        <v>0</v>
      </c>
      <c r="J49" s="372"/>
      <c r="K49" s="193"/>
      <c r="L49" s="193"/>
      <c r="M49" s="193"/>
      <c r="N49" s="193"/>
      <c r="O49" s="193"/>
      <c r="P49" s="193"/>
      <c r="Q49" s="193"/>
      <c r="R49" s="121"/>
      <c r="S49" s="121"/>
      <c r="T49" s="121"/>
      <c r="U49" s="121"/>
      <c r="V49" s="121"/>
      <c r="W49" s="121"/>
      <c r="X49" s="121"/>
      <c r="AH49" s="258"/>
      <c r="AI49" s="258"/>
      <c r="AJ49" s="258"/>
      <c r="AK49" s="258"/>
      <c r="AL49" s="258"/>
    </row>
    <row r="50" spans="1:38" x14ac:dyDescent="0.25">
      <c r="A50" s="274"/>
      <c r="B50" s="251" t="s">
        <v>2210</v>
      </c>
      <c r="C50" s="942"/>
      <c r="D50" s="168">
        <f>SUM(D45:D49)</f>
        <v>0</v>
      </c>
      <c r="E50" s="168">
        <f t="shared" ref="E50:I50" si="21">SUM(E45:E49)</f>
        <v>0</v>
      </c>
      <c r="F50" s="168">
        <f t="shared" si="21"/>
        <v>0</v>
      </c>
      <c r="G50" s="168">
        <f t="shared" si="21"/>
        <v>0</v>
      </c>
      <c r="H50" s="168">
        <f t="shared" si="21"/>
        <v>0</v>
      </c>
      <c r="I50" s="168">
        <f t="shared" si="21"/>
        <v>0</v>
      </c>
      <c r="J50" s="372"/>
      <c r="K50" s="193"/>
      <c r="L50" s="193"/>
      <c r="M50" s="193"/>
      <c r="N50" s="193"/>
      <c r="O50" s="193"/>
      <c r="P50" s="193"/>
      <c r="Q50" s="193"/>
      <c r="R50" s="121"/>
      <c r="S50" s="121"/>
      <c r="T50" s="121"/>
      <c r="U50" s="121"/>
      <c r="V50" s="121"/>
      <c r="W50" s="121"/>
      <c r="X50" s="121"/>
      <c r="AH50" s="258"/>
      <c r="AI50" s="258"/>
      <c r="AJ50" s="258"/>
      <c r="AK50" s="258"/>
      <c r="AL50" s="258"/>
    </row>
    <row r="51" spans="1:38" x14ac:dyDescent="0.25">
      <c r="A51" s="274"/>
      <c r="B51" s="311" t="s">
        <v>2201</v>
      </c>
      <c r="C51" s="941">
        <f>'Inputs and population'!G65</f>
        <v>0</v>
      </c>
      <c r="D51" s="116">
        <f>'Inputs and population'!K47*$C51</f>
        <v>0</v>
      </c>
      <c r="E51" s="116">
        <f>'Inputs and population'!L47*$C51</f>
        <v>0</v>
      </c>
      <c r="F51" s="116">
        <f>'Inputs and population'!M47*$C51</f>
        <v>0</v>
      </c>
      <c r="G51" s="116">
        <f>'Inputs and population'!N47*$C51</f>
        <v>0</v>
      </c>
      <c r="H51" s="116">
        <f>'Inputs and population'!O47*$C51</f>
        <v>0</v>
      </c>
      <c r="I51" s="116">
        <f>'Inputs and population'!P47*$C51</f>
        <v>0</v>
      </c>
      <c r="J51" s="372"/>
      <c r="K51" s="193"/>
      <c r="L51" s="193"/>
      <c r="M51" s="193"/>
      <c r="N51" s="193"/>
      <c r="O51" s="193"/>
      <c r="P51" s="193"/>
      <c r="Q51" s="193"/>
      <c r="R51" s="121"/>
      <c r="S51" s="121"/>
      <c r="T51" s="121"/>
      <c r="U51" s="121"/>
      <c r="V51" s="121"/>
      <c r="W51" s="121"/>
      <c r="X51" s="121"/>
      <c r="AH51" s="258"/>
      <c r="AI51" s="258"/>
      <c r="AJ51" s="258"/>
      <c r="AK51" s="258"/>
      <c r="AL51" s="258"/>
    </row>
    <row r="52" spans="1:38" x14ac:dyDescent="0.25">
      <c r="A52" s="274"/>
      <c r="B52" s="311" t="s">
        <v>2202</v>
      </c>
      <c r="C52" s="941">
        <f>'Inputs and population'!G67</f>
        <v>0</v>
      </c>
      <c r="D52" s="116">
        <f>'Inputs and population'!K48*$C52</f>
        <v>0</v>
      </c>
      <c r="E52" s="116">
        <f>'Inputs and population'!L48*$C52</f>
        <v>0</v>
      </c>
      <c r="F52" s="116">
        <f>'Inputs and population'!M48*$C52</f>
        <v>0</v>
      </c>
      <c r="G52" s="116">
        <f>'Inputs and population'!N48*$C52</f>
        <v>0</v>
      </c>
      <c r="H52" s="116">
        <f>'Inputs and population'!O48*$C52</f>
        <v>0</v>
      </c>
      <c r="I52" s="116">
        <f>'Inputs and population'!P48*$C52</f>
        <v>0</v>
      </c>
      <c r="J52" s="372"/>
      <c r="K52" s="193"/>
      <c r="L52" s="193"/>
      <c r="M52" s="193"/>
      <c r="N52" s="193"/>
      <c r="O52" s="193"/>
      <c r="P52" s="193"/>
      <c r="Q52" s="193"/>
      <c r="R52" s="121"/>
      <c r="S52" s="121"/>
      <c r="T52" s="121"/>
      <c r="U52" s="121"/>
      <c r="V52" s="121"/>
      <c r="W52" s="121"/>
      <c r="X52" s="121"/>
      <c r="AH52" s="258"/>
      <c r="AI52" s="258"/>
      <c r="AJ52" s="258"/>
      <c r="AK52" s="258"/>
      <c r="AL52" s="258"/>
    </row>
    <row r="53" spans="1:38" x14ac:dyDescent="0.25">
      <c r="A53" s="274"/>
      <c r="B53" s="311" t="s">
        <v>2260</v>
      </c>
      <c r="C53" s="941">
        <f>'Inputs and population'!G69</f>
        <v>0</v>
      </c>
      <c r="D53" s="116">
        <f>'Inputs and population'!K49*$C53</f>
        <v>0</v>
      </c>
      <c r="E53" s="116">
        <f>'Inputs and population'!L49*$C53</f>
        <v>0</v>
      </c>
      <c r="F53" s="116">
        <f>'Inputs and population'!M49*$C53</f>
        <v>0</v>
      </c>
      <c r="G53" s="116">
        <f>'Inputs and population'!N49*$C53</f>
        <v>0</v>
      </c>
      <c r="H53" s="116">
        <f>'Inputs and population'!O49*$C53</f>
        <v>0</v>
      </c>
      <c r="I53" s="116">
        <f>'Inputs and population'!P49*$C53</f>
        <v>0</v>
      </c>
      <c r="J53" s="372"/>
      <c r="K53" s="193"/>
      <c r="L53" s="193"/>
      <c r="M53" s="193"/>
      <c r="N53" s="193"/>
      <c r="O53" s="193"/>
      <c r="P53" s="193"/>
      <c r="Q53" s="193"/>
      <c r="R53" s="121"/>
      <c r="S53" s="121"/>
      <c r="T53" s="121"/>
      <c r="U53" s="121"/>
      <c r="V53" s="121"/>
      <c r="W53" s="121"/>
      <c r="X53" s="121"/>
      <c r="AH53" s="258"/>
      <c r="AI53" s="258"/>
      <c r="AJ53" s="258"/>
      <c r="AK53" s="258"/>
      <c r="AL53" s="258"/>
    </row>
    <row r="54" spans="1:38" x14ac:dyDescent="0.25">
      <c r="A54" s="274"/>
      <c r="B54" s="311" t="s">
        <v>2192</v>
      </c>
      <c r="C54" s="941">
        <f>'Inputs and population'!G71</f>
        <v>0</v>
      </c>
      <c r="D54" s="116">
        <f>'Inputs and population'!K50*$C54</f>
        <v>0</v>
      </c>
      <c r="E54" s="116">
        <f>'Inputs and population'!L50*$C54</f>
        <v>0</v>
      </c>
      <c r="F54" s="116">
        <f>'Inputs and population'!M50*$C54</f>
        <v>0</v>
      </c>
      <c r="G54" s="116">
        <f>'Inputs and population'!N50*$C54</f>
        <v>0</v>
      </c>
      <c r="H54" s="116">
        <f>'Inputs and population'!O50*$C54</f>
        <v>0</v>
      </c>
      <c r="I54" s="116">
        <f>'Inputs and population'!P50*$C54</f>
        <v>0</v>
      </c>
      <c r="J54" s="372"/>
      <c r="K54" s="193"/>
      <c r="L54" s="193"/>
      <c r="M54" s="193"/>
      <c r="N54" s="193"/>
      <c r="O54" s="193"/>
      <c r="P54" s="193"/>
      <c r="Q54" s="193"/>
      <c r="R54" s="121"/>
      <c r="S54" s="121"/>
      <c r="T54" s="121"/>
      <c r="U54" s="121"/>
      <c r="V54" s="121"/>
      <c r="W54" s="121"/>
      <c r="X54" s="121"/>
      <c r="AH54" s="258"/>
      <c r="AI54" s="258"/>
      <c r="AJ54" s="258"/>
      <c r="AK54" s="258"/>
      <c r="AL54" s="258"/>
    </row>
    <row r="55" spans="1:38" x14ac:dyDescent="0.25">
      <c r="A55" s="274"/>
      <c r="B55" s="251" t="s">
        <v>2261</v>
      </c>
      <c r="C55" s="942"/>
      <c r="D55" s="168">
        <f>SUM(D51:D54)</f>
        <v>0</v>
      </c>
      <c r="E55" s="168">
        <f t="shared" ref="E55:I55" si="22">SUM(E51:E54)</f>
        <v>0</v>
      </c>
      <c r="F55" s="168">
        <f t="shared" si="22"/>
        <v>0</v>
      </c>
      <c r="G55" s="168">
        <f t="shared" si="22"/>
        <v>0</v>
      </c>
      <c r="H55" s="168">
        <f t="shared" si="22"/>
        <v>0</v>
      </c>
      <c r="I55" s="168">
        <f t="shared" si="22"/>
        <v>0</v>
      </c>
      <c r="J55" s="372"/>
      <c r="K55" s="193"/>
      <c r="L55" s="193"/>
      <c r="M55" s="193"/>
      <c r="N55" s="193"/>
      <c r="O55" s="193"/>
      <c r="P55" s="193"/>
      <c r="Q55" s="193"/>
      <c r="R55" s="121"/>
      <c r="S55" s="121"/>
      <c r="T55" s="121"/>
      <c r="U55" s="121"/>
      <c r="V55" s="121"/>
      <c r="W55" s="121"/>
      <c r="X55" s="121"/>
      <c r="AH55" s="258"/>
      <c r="AI55" s="258"/>
      <c r="AJ55" s="258"/>
      <c r="AK55" s="258"/>
      <c r="AL55" s="258"/>
    </row>
    <row r="56" spans="1:38" x14ac:dyDescent="0.25">
      <c r="A56" s="274"/>
      <c r="B56" s="311" t="s">
        <v>2191</v>
      </c>
      <c r="C56" s="941">
        <f>'Inputs and population'!G73</f>
        <v>0</v>
      </c>
      <c r="D56" s="116">
        <f>'Inputs and population'!K54*$C56</f>
        <v>0</v>
      </c>
      <c r="E56" s="116">
        <f>'Inputs and population'!L54*$C56</f>
        <v>0</v>
      </c>
      <c r="F56" s="116">
        <f>'Inputs and population'!M54*$C56</f>
        <v>0</v>
      </c>
      <c r="G56" s="116">
        <f>'Inputs and population'!N54*$C56</f>
        <v>0</v>
      </c>
      <c r="H56" s="116">
        <f>'Inputs and population'!O54*$C56</f>
        <v>0</v>
      </c>
      <c r="I56" s="116">
        <f>'Inputs and population'!P54*$C56</f>
        <v>0</v>
      </c>
      <c r="J56" s="372"/>
      <c r="K56" s="193"/>
      <c r="L56" s="193"/>
      <c r="M56" s="193"/>
      <c r="N56" s="193"/>
      <c r="O56" s="193"/>
      <c r="P56" s="193"/>
      <c r="Q56" s="193"/>
      <c r="R56" s="121"/>
      <c r="S56" s="121"/>
      <c r="T56" s="121"/>
      <c r="U56" s="121"/>
      <c r="V56" s="121"/>
      <c r="W56" s="121"/>
      <c r="X56" s="121"/>
      <c r="AH56" s="258"/>
      <c r="AI56" s="258"/>
      <c r="AJ56" s="258"/>
      <c r="AK56" s="258"/>
      <c r="AL56" s="258"/>
    </row>
    <row r="57" spans="1:38" x14ac:dyDescent="0.25">
      <c r="A57" s="274"/>
      <c r="B57" s="439"/>
      <c r="C57" s="289"/>
      <c r="D57" s="168">
        <f>D50+D55+D56</f>
        <v>0</v>
      </c>
      <c r="E57" s="168">
        <f>E50+E55+E56</f>
        <v>0</v>
      </c>
      <c r="F57" s="168">
        <f t="shared" ref="F57" si="23">F50+F55+F56</f>
        <v>0</v>
      </c>
      <c r="G57" s="168">
        <f t="shared" ref="G57" si="24">G50+G55+G56</f>
        <v>0</v>
      </c>
      <c r="H57" s="168">
        <f t="shared" ref="H57" si="25">H50+H55+H56</f>
        <v>0</v>
      </c>
      <c r="I57" s="168">
        <f t="shared" ref="I57" si="26">I50+I55+I56</f>
        <v>0</v>
      </c>
      <c r="J57" s="372"/>
      <c r="K57" s="193"/>
      <c r="L57" s="193"/>
      <c r="M57" s="193"/>
      <c r="N57" s="193"/>
      <c r="O57" s="193"/>
      <c r="P57" s="193"/>
      <c r="Q57" s="193"/>
      <c r="R57" s="121"/>
      <c r="S57" s="121"/>
      <c r="T57" s="121"/>
      <c r="U57" s="121"/>
      <c r="V57" s="121"/>
      <c r="W57" s="121"/>
      <c r="X57" s="121"/>
      <c r="AH57" s="258"/>
      <c r="AI57" s="258"/>
      <c r="AJ57" s="258"/>
      <c r="AK57" s="258"/>
      <c r="AL57" s="258"/>
    </row>
    <row r="58" spans="1:38" x14ac:dyDescent="0.25">
      <c r="A58" s="274"/>
      <c r="B58" s="230"/>
      <c r="C58" s="230"/>
      <c r="D58" s="685" t="s">
        <v>757</v>
      </c>
      <c r="E58" s="168">
        <f>E57-$D$57</f>
        <v>0</v>
      </c>
      <c r="F58" s="168">
        <f>F57-$D$57</f>
        <v>0</v>
      </c>
      <c r="G58" s="168">
        <f>G57-$D$57</f>
        <v>0</v>
      </c>
      <c r="H58" s="168">
        <f>H57-$D$57</f>
        <v>0</v>
      </c>
      <c r="I58" s="168">
        <f>I57-$D$57</f>
        <v>0</v>
      </c>
      <c r="J58" s="372"/>
      <c r="K58" s="193"/>
      <c r="L58" s="193"/>
      <c r="M58" s="193"/>
      <c r="N58" s="193"/>
      <c r="O58" s="193"/>
      <c r="P58" s="193"/>
      <c r="Q58" s="193"/>
      <c r="R58" s="121"/>
      <c r="S58" s="121"/>
      <c r="T58" s="121"/>
      <c r="U58" s="121"/>
      <c r="V58" s="121"/>
      <c r="W58" s="121"/>
      <c r="X58" s="121"/>
      <c r="AH58" s="258"/>
      <c r="AI58" s="258"/>
      <c r="AJ58" s="258"/>
      <c r="AK58" s="258"/>
      <c r="AL58" s="258"/>
    </row>
    <row r="59" spans="1:38" x14ac:dyDescent="0.25">
      <c r="A59" s="193"/>
      <c r="B59" s="193"/>
      <c r="C59" s="193"/>
      <c r="D59" s="193"/>
      <c r="E59" s="193"/>
      <c r="F59" s="193"/>
      <c r="G59" s="193"/>
      <c r="H59" s="193"/>
      <c r="I59" s="193"/>
      <c r="J59" s="193"/>
      <c r="K59" s="193"/>
      <c r="L59" s="193"/>
      <c r="M59" s="193"/>
      <c r="N59" s="193"/>
      <c r="O59" s="193"/>
      <c r="P59" s="193"/>
      <c r="Q59" s="193"/>
      <c r="R59" s="121"/>
      <c r="S59" s="121"/>
      <c r="T59" s="121"/>
      <c r="U59" s="121"/>
      <c r="V59" s="121"/>
      <c r="W59" s="121"/>
      <c r="X59" s="121"/>
      <c r="AH59" s="258"/>
      <c r="AI59" s="258"/>
      <c r="AJ59" s="258"/>
      <c r="AK59" s="258"/>
      <c r="AL59" s="258"/>
    </row>
    <row r="60" spans="1:38" x14ac:dyDescent="0.25">
      <c r="A60" s="274"/>
      <c r="B60" s="341" t="s">
        <v>758</v>
      </c>
      <c r="C60" s="342"/>
      <c r="D60" s="342"/>
      <c r="E60" s="342"/>
      <c r="F60" s="342"/>
      <c r="G60" s="342"/>
      <c r="H60" s="342"/>
      <c r="I60" s="342"/>
      <c r="J60" s="372"/>
      <c r="K60" s="193"/>
      <c r="L60" s="193"/>
      <c r="M60" s="193"/>
      <c r="N60" s="193"/>
      <c r="O60" s="193"/>
      <c r="P60" s="193"/>
      <c r="Q60" s="193"/>
      <c r="R60" s="121"/>
      <c r="S60" s="121"/>
      <c r="T60" s="121"/>
      <c r="U60" s="121"/>
      <c r="V60" s="121"/>
      <c r="W60" s="121"/>
      <c r="X60" s="121"/>
      <c r="AH60" s="258"/>
      <c r="AI60" s="258"/>
      <c r="AJ60" s="258"/>
      <c r="AK60" s="258"/>
      <c r="AL60" s="258"/>
    </row>
    <row r="61" spans="1:38" ht="45" x14ac:dyDescent="0.25">
      <c r="A61" s="274"/>
      <c r="B61" s="285" t="s">
        <v>703</v>
      </c>
      <c r="C61" s="535" t="s">
        <v>706</v>
      </c>
      <c r="D61" s="802" t="s">
        <v>737</v>
      </c>
      <c r="E61" s="229" t="s">
        <v>591</v>
      </c>
      <c r="F61" s="229" t="s">
        <v>592</v>
      </c>
      <c r="G61" s="152" t="s">
        <v>714</v>
      </c>
      <c r="H61" s="152" t="s">
        <v>715</v>
      </c>
      <c r="I61" s="229" t="s">
        <v>716</v>
      </c>
      <c r="J61" s="372"/>
      <c r="K61" s="193"/>
      <c r="L61" s="193"/>
      <c r="M61" s="193"/>
      <c r="N61" s="193"/>
      <c r="O61" s="193"/>
      <c r="P61" s="193"/>
      <c r="Q61" s="193"/>
      <c r="R61" s="121"/>
      <c r="S61" s="121"/>
      <c r="T61" s="121"/>
      <c r="U61" s="121"/>
      <c r="V61" s="121"/>
      <c r="W61" s="121"/>
      <c r="X61" s="121"/>
      <c r="AH61" s="258"/>
      <c r="AI61" s="258"/>
      <c r="AJ61" s="258"/>
      <c r="AK61" s="258"/>
      <c r="AL61" s="258"/>
    </row>
    <row r="62" spans="1:38" x14ac:dyDescent="0.25">
      <c r="A62" s="274"/>
      <c r="B62" s="309" t="str">
        <f>B45</f>
        <v>Enfortumab vedotin with pembrolizumab</v>
      </c>
      <c r="C62" s="992">
        <f>'Unit costs'!O35</f>
        <v>1</v>
      </c>
      <c r="D62" s="116">
        <f t="shared" ref="D62:I62" si="27">$C62*D45</f>
        <v>0</v>
      </c>
      <c r="E62" s="116">
        <f>$C62*E45</f>
        <v>0</v>
      </c>
      <c r="F62" s="116">
        <f t="shared" si="27"/>
        <v>0</v>
      </c>
      <c r="G62" s="116">
        <f t="shared" si="27"/>
        <v>0</v>
      </c>
      <c r="H62" s="116">
        <f t="shared" si="27"/>
        <v>0</v>
      </c>
      <c r="I62" s="116">
        <f t="shared" si="27"/>
        <v>0</v>
      </c>
      <c r="J62" s="372"/>
      <c r="K62" s="193"/>
      <c r="L62" s="193"/>
      <c r="M62" s="193"/>
      <c r="N62" s="193"/>
      <c r="O62" s="193"/>
      <c r="P62" s="193"/>
      <c r="Q62" s="193"/>
      <c r="R62" s="121"/>
      <c r="S62" s="121"/>
      <c r="T62" s="121"/>
      <c r="U62" s="121"/>
      <c r="V62" s="121"/>
      <c r="W62" s="121"/>
      <c r="X62" s="121"/>
      <c r="AH62" s="258"/>
      <c r="AI62" s="258"/>
      <c r="AJ62" s="258"/>
      <c r="AK62" s="258"/>
      <c r="AL62" s="258"/>
    </row>
    <row r="63" spans="1:38" x14ac:dyDescent="0.25">
      <c r="A63" s="274"/>
      <c r="B63" s="309" t="str">
        <f>B46</f>
        <v>Enfortumab vedotin with pembrolizumab - year 2</v>
      </c>
      <c r="C63" s="992">
        <f>'Unit costs'!O35</f>
        <v>1</v>
      </c>
      <c r="D63" s="116">
        <f>$C63*D46</f>
        <v>0</v>
      </c>
      <c r="E63" s="116">
        <f t="shared" ref="E63:I63" si="28">$C63*E46</f>
        <v>0</v>
      </c>
      <c r="F63" s="116">
        <f>$C63*F46</f>
        <v>0</v>
      </c>
      <c r="G63" s="116">
        <f t="shared" si="28"/>
        <v>0</v>
      </c>
      <c r="H63" s="116">
        <f t="shared" si="28"/>
        <v>0</v>
      </c>
      <c r="I63" s="116">
        <f t="shared" si="28"/>
        <v>0</v>
      </c>
      <c r="J63" s="372"/>
      <c r="K63" s="193"/>
      <c r="L63" s="193"/>
      <c r="M63" s="193"/>
      <c r="N63" s="193"/>
      <c r="O63" s="193"/>
      <c r="P63" s="193"/>
      <c r="Q63" s="193"/>
      <c r="R63" s="121"/>
      <c r="S63" s="121"/>
      <c r="T63" s="121"/>
      <c r="U63" s="121"/>
      <c r="V63" s="121"/>
      <c r="W63" s="121"/>
      <c r="X63" s="121"/>
      <c r="AH63" s="258"/>
      <c r="AI63" s="258"/>
      <c r="AJ63" s="258"/>
      <c r="AK63" s="258"/>
      <c r="AL63" s="258"/>
    </row>
    <row r="64" spans="1:38" x14ac:dyDescent="0.25">
      <c r="A64" s="274"/>
      <c r="B64" s="309" t="str">
        <f>B47</f>
        <v>Gemcitabine &amp; cisplatin</v>
      </c>
      <c r="C64" s="992">
        <f>'Unit costs'!O54</f>
        <v>1</v>
      </c>
      <c r="D64" s="116">
        <f t="shared" ref="D64:I64" si="29">$C64*D47</f>
        <v>0</v>
      </c>
      <c r="E64" s="116">
        <f t="shared" si="29"/>
        <v>0</v>
      </c>
      <c r="F64" s="116">
        <f t="shared" si="29"/>
        <v>0</v>
      </c>
      <c r="G64" s="116">
        <f t="shared" si="29"/>
        <v>0</v>
      </c>
      <c r="H64" s="116">
        <f t="shared" si="29"/>
        <v>0</v>
      </c>
      <c r="I64" s="116">
        <f t="shared" si="29"/>
        <v>0</v>
      </c>
      <c r="J64" s="372"/>
      <c r="K64" s="193"/>
      <c r="L64" s="193"/>
      <c r="M64" s="193"/>
      <c r="N64" s="193"/>
      <c r="O64" s="193"/>
      <c r="P64" s="193"/>
      <c r="Q64" s="193"/>
      <c r="R64" s="121"/>
      <c r="S64" s="121"/>
      <c r="T64" s="121"/>
      <c r="U64" s="121"/>
      <c r="V64" s="121"/>
      <c r="W64" s="121"/>
      <c r="X64" s="121"/>
      <c r="AH64" s="258"/>
      <c r="AI64" s="258"/>
      <c r="AJ64" s="258"/>
      <c r="AK64" s="258"/>
      <c r="AL64" s="258"/>
    </row>
    <row r="65" spans="1:38" x14ac:dyDescent="0.25">
      <c r="A65" s="274"/>
      <c r="B65" s="309" t="str">
        <f>B48</f>
        <v xml:space="preserve">Gemcitabine &amp; carboplatin </v>
      </c>
      <c r="C65" s="992">
        <f>'Unit costs'!O70</f>
        <v>2</v>
      </c>
      <c r="D65" s="116">
        <f t="shared" ref="D65:I65" si="30">$C65*D48</f>
        <v>0</v>
      </c>
      <c r="E65" s="116">
        <f t="shared" si="30"/>
        <v>0</v>
      </c>
      <c r="F65" s="116">
        <f t="shared" si="30"/>
        <v>0</v>
      </c>
      <c r="G65" s="116">
        <f t="shared" si="30"/>
        <v>0</v>
      </c>
      <c r="H65" s="116">
        <f t="shared" si="30"/>
        <v>0</v>
      </c>
      <c r="I65" s="116">
        <f t="shared" si="30"/>
        <v>0</v>
      </c>
      <c r="J65" s="372"/>
      <c r="K65" s="193"/>
      <c r="L65" s="193"/>
      <c r="M65" s="193"/>
      <c r="N65" s="193"/>
      <c r="O65" s="193"/>
      <c r="P65" s="193"/>
      <c r="Q65" s="193"/>
      <c r="R65" s="121"/>
      <c r="S65" s="121"/>
      <c r="T65" s="121"/>
      <c r="U65" s="121"/>
      <c r="V65" s="121"/>
      <c r="W65" s="121"/>
      <c r="X65" s="121"/>
      <c r="AH65" s="258"/>
      <c r="AI65" s="258"/>
      <c r="AJ65" s="258"/>
      <c r="AK65" s="258"/>
      <c r="AL65" s="258"/>
    </row>
    <row r="66" spans="1:38" x14ac:dyDescent="0.25">
      <c r="A66" s="274"/>
      <c r="B66" s="309" t="str">
        <f>B49</f>
        <v>Atezolizumab</v>
      </c>
      <c r="C66" s="992">
        <f>'Unit costs'!O86</f>
        <v>1</v>
      </c>
      <c r="D66" s="116">
        <f t="shared" ref="D66:I66" si="31">$C66*D49</f>
        <v>0</v>
      </c>
      <c r="E66" s="116">
        <f t="shared" si="31"/>
        <v>0</v>
      </c>
      <c r="F66" s="116">
        <f t="shared" si="31"/>
        <v>0</v>
      </c>
      <c r="G66" s="116">
        <f t="shared" si="31"/>
        <v>0</v>
      </c>
      <c r="H66" s="116">
        <f t="shared" si="31"/>
        <v>0</v>
      </c>
      <c r="I66" s="116">
        <f t="shared" si="31"/>
        <v>0</v>
      </c>
      <c r="J66" s="372"/>
      <c r="K66" s="193"/>
      <c r="L66" s="193"/>
      <c r="M66" s="193"/>
      <c r="N66" s="193"/>
      <c r="O66" s="193"/>
      <c r="P66" s="193"/>
      <c r="Q66" s="193"/>
      <c r="R66" s="121"/>
      <c r="S66" s="121"/>
      <c r="T66" s="121"/>
      <c r="U66" s="121"/>
      <c r="V66" s="121"/>
      <c r="W66" s="121"/>
      <c r="X66" s="121"/>
      <c r="AH66" s="258"/>
      <c r="AI66" s="258"/>
      <c r="AJ66" s="258"/>
      <c r="AK66" s="258"/>
      <c r="AL66" s="258"/>
    </row>
    <row r="67" spans="1:38" x14ac:dyDescent="0.25">
      <c r="A67" s="274"/>
      <c r="B67" s="251" t="s">
        <v>2210</v>
      </c>
      <c r="C67" s="942"/>
      <c r="D67" s="168">
        <f>SUM(D62:D66)</f>
        <v>0</v>
      </c>
      <c r="E67" s="168">
        <f>SUM(E62:E66)</f>
        <v>0</v>
      </c>
      <c r="F67" s="168">
        <f t="shared" ref="F67" si="32">SUM(F62:F66)</f>
        <v>0</v>
      </c>
      <c r="G67" s="168">
        <f t="shared" ref="G67" si="33">SUM(G62:G66)</f>
        <v>0</v>
      </c>
      <c r="H67" s="168">
        <f t="shared" ref="H67" si="34">SUM(H62:H66)</f>
        <v>0</v>
      </c>
      <c r="I67" s="168">
        <f t="shared" ref="I67" si="35">SUM(I62:I66)</f>
        <v>0</v>
      </c>
      <c r="J67" s="372"/>
      <c r="K67" s="193"/>
      <c r="L67" s="193"/>
      <c r="M67" s="193"/>
      <c r="N67" s="193"/>
      <c r="O67" s="193"/>
      <c r="P67" s="193"/>
      <c r="Q67" s="193"/>
      <c r="R67" s="121"/>
      <c r="S67" s="121"/>
      <c r="T67" s="121"/>
      <c r="U67" s="121"/>
      <c r="V67" s="121"/>
      <c r="W67" s="121"/>
      <c r="X67" s="121"/>
      <c r="AH67" s="258"/>
      <c r="AI67" s="258"/>
      <c r="AJ67" s="258"/>
      <c r="AK67" s="258"/>
      <c r="AL67" s="258"/>
    </row>
    <row r="68" spans="1:38" x14ac:dyDescent="0.25">
      <c r="A68" s="274"/>
      <c r="B68" s="311" t="s">
        <v>2201</v>
      </c>
      <c r="C68" s="941">
        <f>'Inputs and population'!F65</f>
        <v>2</v>
      </c>
      <c r="D68" s="116">
        <f t="shared" ref="D68:I68" si="36">$C68*D51</f>
        <v>0</v>
      </c>
      <c r="E68" s="116">
        <f t="shared" si="36"/>
        <v>0</v>
      </c>
      <c r="F68" s="116">
        <f t="shared" si="36"/>
        <v>0</v>
      </c>
      <c r="G68" s="116">
        <f t="shared" si="36"/>
        <v>0</v>
      </c>
      <c r="H68" s="116">
        <f t="shared" si="36"/>
        <v>0</v>
      </c>
      <c r="I68" s="116">
        <f t="shared" si="36"/>
        <v>0</v>
      </c>
      <c r="J68" s="372"/>
      <c r="K68" s="193"/>
      <c r="L68" s="193"/>
      <c r="M68" s="193"/>
      <c r="N68" s="193"/>
      <c r="O68" s="193"/>
      <c r="P68" s="193"/>
      <c r="Q68" s="193"/>
      <c r="R68" s="121"/>
      <c r="S68" s="121"/>
      <c r="T68" s="121"/>
      <c r="U68" s="121"/>
      <c r="V68" s="121"/>
      <c r="W68" s="121"/>
      <c r="X68" s="121"/>
      <c r="AH68" s="258"/>
      <c r="AI68" s="258"/>
      <c r="AJ68" s="258"/>
      <c r="AK68" s="258"/>
      <c r="AL68" s="258"/>
    </row>
    <row r="69" spans="1:38" x14ac:dyDescent="0.25">
      <c r="A69" s="274"/>
      <c r="B69" s="311" t="s">
        <v>2202</v>
      </c>
      <c r="C69" s="941">
        <f>'Inputs and population'!F67</f>
        <v>2</v>
      </c>
      <c r="D69" s="116">
        <f t="shared" ref="D69:I69" si="37">$C69*D52</f>
        <v>0</v>
      </c>
      <c r="E69" s="116">
        <f t="shared" si="37"/>
        <v>0</v>
      </c>
      <c r="F69" s="116">
        <f t="shared" si="37"/>
        <v>0</v>
      </c>
      <c r="G69" s="116">
        <f t="shared" si="37"/>
        <v>0</v>
      </c>
      <c r="H69" s="116">
        <f t="shared" si="37"/>
        <v>0</v>
      </c>
      <c r="I69" s="116">
        <f t="shared" si="37"/>
        <v>0</v>
      </c>
      <c r="J69" s="372"/>
      <c r="K69" s="193"/>
      <c r="L69" s="193"/>
      <c r="M69" s="193"/>
      <c r="N69" s="193"/>
      <c r="O69" s="193"/>
      <c r="P69" s="193"/>
      <c r="Q69" s="193"/>
      <c r="R69" s="121"/>
      <c r="S69" s="121"/>
      <c r="T69" s="121"/>
      <c r="U69" s="121"/>
      <c r="V69" s="121"/>
      <c r="W69" s="121"/>
      <c r="X69" s="121"/>
      <c r="AH69" s="258"/>
      <c r="AI69" s="258"/>
      <c r="AJ69" s="258"/>
      <c r="AK69" s="258"/>
      <c r="AL69" s="258"/>
    </row>
    <row r="70" spans="1:38" x14ac:dyDescent="0.25">
      <c r="A70" s="274"/>
      <c r="B70" s="311" t="s">
        <v>2260</v>
      </c>
      <c r="C70" s="941">
        <f>'Inputs and population'!F69</f>
        <v>1</v>
      </c>
      <c r="D70" s="116">
        <f t="shared" ref="D70:I70" si="38">$C70*D53</f>
        <v>0</v>
      </c>
      <c r="E70" s="116">
        <f t="shared" si="38"/>
        <v>0</v>
      </c>
      <c r="F70" s="116">
        <f t="shared" si="38"/>
        <v>0</v>
      </c>
      <c r="G70" s="116">
        <f t="shared" si="38"/>
        <v>0</v>
      </c>
      <c r="H70" s="116">
        <f t="shared" si="38"/>
        <v>0</v>
      </c>
      <c r="I70" s="116">
        <f t="shared" si="38"/>
        <v>0</v>
      </c>
      <c r="J70" s="372"/>
      <c r="K70" s="193"/>
      <c r="L70" s="193"/>
      <c r="M70" s="193"/>
      <c r="N70" s="193"/>
      <c r="O70" s="193"/>
      <c r="P70" s="193"/>
      <c r="Q70" s="193"/>
      <c r="R70" s="121"/>
      <c r="S70" s="121"/>
      <c r="T70" s="121"/>
      <c r="U70" s="121"/>
      <c r="V70" s="121"/>
      <c r="W70" s="121"/>
      <c r="X70" s="121"/>
      <c r="AH70" s="258"/>
      <c r="AI70" s="258"/>
      <c r="AJ70" s="258"/>
      <c r="AK70" s="258"/>
      <c r="AL70" s="258"/>
    </row>
    <row r="71" spans="1:38" x14ac:dyDescent="0.25">
      <c r="A71" s="274"/>
      <c r="B71" s="311" t="s">
        <v>2192</v>
      </c>
      <c r="C71" s="941">
        <f>'Inputs and population'!F71</f>
        <v>3</v>
      </c>
      <c r="D71" s="116">
        <f t="shared" ref="D71:I71" si="39">$C71*D54</f>
        <v>0</v>
      </c>
      <c r="E71" s="116">
        <f t="shared" si="39"/>
        <v>0</v>
      </c>
      <c r="F71" s="116">
        <f t="shared" si="39"/>
        <v>0</v>
      </c>
      <c r="G71" s="116">
        <f t="shared" si="39"/>
        <v>0</v>
      </c>
      <c r="H71" s="116">
        <f t="shared" si="39"/>
        <v>0</v>
      </c>
      <c r="I71" s="116">
        <f t="shared" si="39"/>
        <v>0</v>
      </c>
      <c r="J71" s="372"/>
      <c r="K71" s="193"/>
      <c r="L71" s="193"/>
      <c r="M71" s="193"/>
      <c r="N71" s="193"/>
      <c r="O71" s="193"/>
      <c r="P71" s="193"/>
      <c r="Q71" s="193"/>
      <c r="R71" s="121"/>
      <c r="S71" s="121"/>
      <c r="T71" s="121"/>
      <c r="U71" s="121"/>
      <c r="V71" s="121"/>
      <c r="W71" s="121"/>
      <c r="X71" s="121"/>
      <c r="AH71" s="258"/>
      <c r="AI71" s="258"/>
      <c r="AJ71" s="258"/>
      <c r="AK71" s="258"/>
      <c r="AL71" s="258"/>
    </row>
    <row r="72" spans="1:38" x14ac:dyDescent="0.25">
      <c r="A72" s="274"/>
      <c r="B72" s="251" t="s">
        <v>2261</v>
      </c>
      <c r="C72" s="942"/>
      <c r="D72" s="168">
        <f>SUM(D68:D71)</f>
        <v>0</v>
      </c>
      <c r="E72" s="168">
        <f>SUM(E68:E71)</f>
        <v>0</v>
      </c>
      <c r="F72" s="168">
        <f t="shared" ref="F72" si="40">SUM(F68:F71)</f>
        <v>0</v>
      </c>
      <c r="G72" s="168">
        <f t="shared" ref="G72" si="41">SUM(G68:G71)</f>
        <v>0</v>
      </c>
      <c r="H72" s="168">
        <f t="shared" ref="H72" si="42">SUM(H68:H71)</f>
        <v>0</v>
      </c>
      <c r="I72" s="168">
        <f t="shared" ref="I72" si="43">SUM(I68:I71)</f>
        <v>0</v>
      </c>
      <c r="J72" s="372"/>
      <c r="K72" s="193"/>
      <c r="L72" s="193"/>
      <c r="M72" s="193"/>
      <c r="N72" s="193"/>
      <c r="O72" s="193"/>
      <c r="P72" s="193"/>
      <c r="Q72" s="193"/>
      <c r="R72" s="121"/>
      <c r="S72" s="121"/>
      <c r="T72" s="121"/>
      <c r="U72" s="121"/>
      <c r="V72" s="121"/>
      <c r="W72" s="121"/>
      <c r="X72" s="121"/>
      <c r="AH72" s="258"/>
      <c r="AI72" s="258"/>
      <c r="AJ72" s="258"/>
      <c r="AK72" s="258"/>
      <c r="AL72" s="258"/>
    </row>
    <row r="73" spans="1:38" x14ac:dyDescent="0.25">
      <c r="A73" s="274"/>
      <c r="B73" s="311" t="s">
        <v>2191</v>
      </c>
      <c r="C73" s="941">
        <f>'Inputs and population'!F73</f>
        <v>1</v>
      </c>
      <c r="D73" s="116">
        <f>$C73*D56</f>
        <v>0</v>
      </c>
      <c r="E73" s="116">
        <f t="shared" ref="E73:I73" si="44">$C73*E56</f>
        <v>0</v>
      </c>
      <c r="F73" s="116">
        <f t="shared" si="44"/>
        <v>0</v>
      </c>
      <c r="G73" s="116">
        <f t="shared" si="44"/>
        <v>0</v>
      </c>
      <c r="H73" s="116">
        <f t="shared" si="44"/>
        <v>0</v>
      </c>
      <c r="I73" s="116">
        <f t="shared" si="44"/>
        <v>0</v>
      </c>
      <c r="J73" s="372"/>
      <c r="K73" s="193"/>
      <c r="L73" s="193"/>
      <c r="M73" s="193"/>
      <c r="N73" s="193"/>
      <c r="O73" s="193"/>
      <c r="P73" s="193"/>
      <c r="Q73" s="193"/>
      <c r="R73" s="121"/>
      <c r="S73" s="121"/>
      <c r="T73" s="121"/>
      <c r="U73" s="121"/>
      <c r="V73" s="121"/>
      <c r="W73" s="121"/>
      <c r="X73" s="121"/>
      <c r="AH73" s="258"/>
      <c r="AI73" s="258"/>
      <c r="AJ73" s="258"/>
      <c r="AK73" s="258"/>
      <c r="AL73" s="258"/>
    </row>
    <row r="74" spans="1:38" x14ac:dyDescent="0.25">
      <c r="A74" s="274"/>
      <c r="B74" s="439"/>
      <c r="C74" s="289"/>
      <c r="D74" s="168">
        <f>D67+D72+D73</f>
        <v>0</v>
      </c>
      <c r="E74" s="168">
        <f>E67+E72+E73</f>
        <v>0</v>
      </c>
      <c r="F74" s="168">
        <f t="shared" ref="F74" si="45">F67+F72+F73</f>
        <v>0</v>
      </c>
      <c r="G74" s="168">
        <f t="shared" ref="G74" si="46">G67+G72+G73</f>
        <v>0</v>
      </c>
      <c r="H74" s="168">
        <f t="shared" ref="H74" si="47">H67+H72+H73</f>
        <v>0</v>
      </c>
      <c r="I74" s="168">
        <f t="shared" ref="I74" si="48">I67+I72+I73</f>
        <v>0</v>
      </c>
      <c r="J74" s="372"/>
      <c r="K74" s="193"/>
      <c r="L74" s="193"/>
      <c r="M74" s="193"/>
      <c r="N74" s="193"/>
      <c r="O74" s="193"/>
      <c r="P74" s="193"/>
      <c r="Q74" s="193"/>
      <c r="R74" s="121"/>
      <c r="S74" s="121"/>
      <c r="T74" s="121"/>
      <c r="U74" s="121"/>
      <c r="V74" s="121"/>
      <c r="W74" s="121"/>
      <c r="X74" s="121"/>
      <c r="AH74" s="258"/>
      <c r="AI74" s="258"/>
      <c r="AJ74" s="258"/>
      <c r="AK74" s="258"/>
      <c r="AL74" s="258"/>
    </row>
    <row r="75" spans="1:38" x14ac:dyDescent="0.25">
      <c r="A75" s="274"/>
      <c r="B75" s="230"/>
      <c r="C75" s="230"/>
      <c r="D75" s="257" t="s">
        <v>759</v>
      </c>
      <c r="E75" s="168">
        <f>E74-D74</f>
        <v>0</v>
      </c>
      <c r="F75" s="168">
        <f>F74-$D$74</f>
        <v>0</v>
      </c>
      <c r="G75" s="168">
        <f t="shared" ref="G75:I75" si="49">G74-$D$74</f>
        <v>0</v>
      </c>
      <c r="H75" s="168">
        <f t="shared" si="49"/>
        <v>0</v>
      </c>
      <c r="I75" s="168">
        <f t="shared" si="49"/>
        <v>0</v>
      </c>
      <c r="J75" s="372"/>
      <c r="K75" s="193"/>
      <c r="L75" s="193"/>
      <c r="M75" s="193"/>
      <c r="N75" s="193"/>
      <c r="O75" s="193"/>
      <c r="P75" s="193"/>
      <c r="Q75" s="193"/>
      <c r="R75" s="121"/>
      <c r="S75" s="121"/>
      <c r="T75" s="121"/>
      <c r="U75" s="121"/>
      <c r="V75" s="121"/>
      <c r="W75" s="121"/>
      <c r="X75" s="121"/>
      <c r="AH75" s="258"/>
      <c r="AI75" s="258"/>
      <c r="AJ75" s="258"/>
      <c r="AK75" s="258"/>
      <c r="AL75" s="258"/>
    </row>
    <row r="76" spans="1:38" x14ac:dyDescent="0.25">
      <c r="A76" s="266"/>
      <c r="B76" s="288"/>
      <c r="C76" s="272"/>
      <c r="D76" s="271"/>
      <c r="E76" s="272"/>
      <c r="F76" s="273"/>
      <c r="G76" s="266"/>
      <c r="H76" s="266"/>
      <c r="I76" s="270"/>
      <c r="J76" s="193"/>
      <c r="K76" s="193"/>
      <c r="L76" s="193"/>
      <c r="M76" s="193"/>
      <c r="N76" s="193"/>
      <c r="O76" s="193"/>
      <c r="P76" s="193"/>
      <c r="Q76" s="193"/>
      <c r="R76" s="121"/>
      <c r="S76" s="121"/>
      <c r="T76" s="121"/>
      <c r="U76" s="121"/>
      <c r="V76" s="121"/>
      <c r="W76" s="121"/>
      <c r="X76" s="121"/>
      <c r="AH76" s="258"/>
      <c r="AI76" s="258"/>
      <c r="AJ76" s="258"/>
      <c r="AK76" s="258"/>
      <c r="AL76" s="258"/>
    </row>
    <row r="77" spans="1:38" x14ac:dyDescent="0.25">
      <c r="A77" s="259"/>
      <c r="B77" s="290" t="s">
        <v>760</v>
      </c>
      <c r="C77" s="275"/>
      <c r="D77" s="275"/>
      <c r="E77" s="276"/>
      <c r="F77" s="277"/>
      <c r="G77" s="278"/>
      <c r="H77" s="278"/>
      <c r="I77" s="278"/>
      <c r="J77" s="377"/>
      <c r="K77" s="195"/>
      <c r="L77" s="195"/>
      <c r="M77" s="195"/>
      <c r="N77" s="195"/>
      <c r="O77" s="195"/>
      <c r="P77" s="195"/>
      <c r="Q77" s="195"/>
      <c r="R77" s="121"/>
      <c r="T77" s="121"/>
    </row>
    <row r="78" spans="1:38" x14ac:dyDescent="0.25">
      <c r="A78" s="259"/>
      <c r="B78" s="343" t="s">
        <v>2267</v>
      </c>
      <c r="C78" s="344"/>
      <c r="D78" s="344"/>
      <c r="E78" s="344"/>
      <c r="F78" s="344"/>
      <c r="G78" s="344"/>
      <c r="H78" s="344"/>
      <c r="I78" s="194"/>
      <c r="J78" s="373"/>
      <c r="K78" s="195"/>
      <c r="L78" s="195"/>
      <c r="M78" s="195"/>
      <c r="N78" s="195"/>
      <c r="O78" s="195"/>
      <c r="P78" s="195"/>
      <c r="Q78" s="195"/>
      <c r="R78" s="121"/>
      <c r="T78" s="121"/>
    </row>
    <row r="79" spans="1:38" ht="45" x14ac:dyDescent="0.25">
      <c r="A79" s="259"/>
      <c r="B79" s="254" t="s">
        <v>703</v>
      </c>
      <c r="C79" s="361" t="s">
        <v>746</v>
      </c>
      <c r="D79" s="802" t="s">
        <v>737</v>
      </c>
      <c r="E79" s="229" t="s">
        <v>591</v>
      </c>
      <c r="F79" s="229" t="s">
        <v>592</v>
      </c>
      <c r="G79" s="152" t="s">
        <v>714</v>
      </c>
      <c r="H79" s="152" t="s">
        <v>715</v>
      </c>
      <c r="I79" s="229" t="s">
        <v>716</v>
      </c>
      <c r="J79" s="259"/>
      <c r="K79" s="195"/>
      <c r="L79" s="195"/>
      <c r="M79" s="195"/>
      <c r="N79" s="195"/>
      <c r="O79" s="195"/>
      <c r="P79" s="195"/>
      <c r="Q79" s="195"/>
      <c r="R79" s="121"/>
      <c r="T79" s="121"/>
    </row>
    <row r="80" spans="1:38" x14ac:dyDescent="0.25">
      <c r="A80" s="259"/>
      <c r="B80" s="311" t="str">
        <f>B62</f>
        <v>Enfortumab vedotin with pembrolizumab</v>
      </c>
      <c r="C80" s="137">
        <f>'Capacity inputs'!F15*'Capacity inputs'!G15</f>
        <v>0</v>
      </c>
      <c r="D80" s="116">
        <f>D62*$C80/60</f>
        <v>0</v>
      </c>
      <c r="E80" s="116">
        <f>E62*$C80/60</f>
        <v>0</v>
      </c>
      <c r="F80" s="116">
        <f t="shared" ref="F80:I80" si="50">F62*$C80/60</f>
        <v>0</v>
      </c>
      <c r="G80" s="116">
        <f t="shared" si="50"/>
        <v>0</v>
      </c>
      <c r="H80" s="116">
        <f t="shared" si="50"/>
        <v>0</v>
      </c>
      <c r="I80" s="116">
        <f t="shared" si="50"/>
        <v>0</v>
      </c>
      <c r="J80" s="259"/>
      <c r="K80" s="195"/>
      <c r="L80" s="195"/>
      <c r="M80" s="195"/>
      <c r="N80" s="195"/>
      <c r="O80" s="195"/>
      <c r="P80" s="195"/>
      <c r="Q80" s="195"/>
      <c r="R80" s="121"/>
      <c r="S80" s="121"/>
      <c r="T80" s="121"/>
      <c r="U80" s="121"/>
      <c r="V80" s="121"/>
      <c r="W80" s="121"/>
      <c r="X80" s="121"/>
      <c r="AH80" s="258"/>
      <c r="AI80" s="258"/>
      <c r="AJ80" s="258"/>
      <c r="AK80" s="258"/>
      <c r="AL80" s="258"/>
    </row>
    <row r="81" spans="1:38" x14ac:dyDescent="0.25">
      <c r="A81" s="259"/>
      <c r="B81" s="311" t="str">
        <f>B63</f>
        <v>Enfortumab vedotin with pembrolizumab - year 2</v>
      </c>
      <c r="C81" s="137">
        <f>'Capacity inputs'!F15*'Capacity inputs'!G15</f>
        <v>0</v>
      </c>
      <c r="D81" s="116">
        <f t="shared" ref="D81:I81" si="51">D63*$C81/60</f>
        <v>0</v>
      </c>
      <c r="E81" s="116">
        <f t="shared" si="51"/>
        <v>0</v>
      </c>
      <c r="F81" s="116">
        <f t="shared" si="51"/>
        <v>0</v>
      </c>
      <c r="G81" s="116">
        <f t="shared" si="51"/>
        <v>0</v>
      </c>
      <c r="H81" s="116">
        <f t="shared" si="51"/>
        <v>0</v>
      </c>
      <c r="I81" s="116">
        <f t="shared" si="51"/>
        <v>0</v>
      </c>
      <c r="J81" s="259"/>
      <c r="K81" s="195"/>
      <c r="L81" s="195"/>
      <c r="M81" s="195"/>
      <c r="N81" s="195"/>
      <c r="O81" s="195"/>
      <c r="P81" s="195"/>
      <c r="Q81" s="195"/>
      <c r="R81" s="121"/>
      <c r="S81" s="121"/>
      <c r="T81" s="121"/>
      <c r="U81" s="121"/>
      <c r="V81" s="121"/>
      <c r="W81" s="121"/>
      <c r="X81" s="121"/>
      <c r="AH81" s="258"/>
      <c r="AI81" s="258"/>
      <c r="AJ81" s="258"/>
      <c r="AK81" s="258"/>
      <c r="AL81" s="258"/>
    </row>
    <row r="82" spans="1:38" x14ac:dyDescent="0.25">
      <c r="A82" s="259"/>
      <c r="B82" s="311" t="str">
        <f>B64</f>
        <v>Gemcitabine &amp; cisplatin</v>
      </c>
      <c r="C82" s="137">
        <f>'Capacity inputs'!F15*'Capacity inputs'!H15</f>
        <v>0</v>
      </c>
      <c r="D82" s="116">
        <f t="shared" ref="D82:I82" si="52">D64*$C82/60</f>
        <v>0</v>
      </c>
      <c r="E82" s="116">
        <f t="shared" si="52"/>
        <v>0</v>
      </c>
      <c r="F82" s="116">
        <f t="shared" si="52"/>
        <v>0</v>
      </c>
      <c r="G82" s="116">
        <f t="shared" si="52"/>
        <v>0</v>
      </c>
      <c r="H82" s="116">
        <f t="shared" si="52"/>
        <v>0</v>
      </c>
      <c r="I82" s="116">
        <f t="shared" si="52"/>
        <v>0</v>
      </c>
      <c r="J82" s="259"/>
      <c r="K82" s="195"/>
      <c r="L82" s="195"/>
      <c r="M82" s="195"/>
      <c r="N82" s="195"/>
      <c r="O82" s="195"/>
      <c r="P82" s="195"/>
      <c r="Q82" s="195"/>
      <c r="R82" s="121"/>
      <c r="S82" s="121"/>
      <c r="T82" s="121"/>
      <c r="U82" s="121"/>
      <c r="V82" s="121"/>
      <c r="W82" s="121"/>
      <c r="X82" s="121"/>
      <c r="AH82" s="258"/>
      <c r="AI82" s="258"/>
      <c r="AJ82" s="258"/>
      <c r="AK82" s="258"/>
      <c r="AL82" s="258"/>
    </row>
    <row r="83" spans="1:38" x14ac:dyDescent="0.25">
      <c r="A83" s="259"/>
      <c r="B83" s="311" t="str">
        <f>B65</f>
        <v xml:space="preserve">Gemcitabine &amp; carboplatin </v>
      </c>
      <c r="C83" s="137">
        <f>'Capacity inputs'!F15*'Capacity inputs'!I15</f>
        <v>0</v>
      </c>
      <c r="D83" s="116">
        <f t="shared" ref="D83:I83" si="53">D65*$C83/60</f>
        <v>0</v>
      </c>
      <c r="E83" s="116">
        <f t="shared" si="53"/>
        <v>0</v>
      </c>
      <c r="F83" s="116">
        <f t="shared" si="53"/>
        <v>0</v>
      </c>
      <c r="G83" s="116">
        <f t="shared" si="53"/>
        <v>0</v>
      </c>
      <c r="H83" s="116">
        <f t="shared" si="53"/>
        <v>0</v>
      </c>
      <c r="I83" s="116">
        <f t="shared" si="53"/>
        <v>0</v>
      </c>
      <c r="J83" s="259"/>
      <c r="K83" s="195"/>
      <c r="L83" s="195"/>
      <c r="M83" s="195"/>
      <c r="N83" s="195"/>
      <c r="O83" s="195"/>
      <c r="P83" s="195"/>
      <c r="Q83" s="195"/>
      <c r="R83" s="121"/>
      <c r="S83" s="121"/>
      <c r="T83" s="121"/>
      <c r="U83" s="121"/>
      <c r="V83" s="121"/>
      <c r="W83" s="121"/>
      <c r="X83" s="121"/>
      <c r="AH83" s="258"/>
      <c r="AI83" s="258"/>
      <c r="AJ83" s="258"/>
      <c r="AK83" s="258"/>
      <c r="AL83" s="258"/>
    </row>
    <row r="84" spans="1:38" ht="20.25" customHeight="1" x14ac:dyDescent="0.25">
      <c r="A84" s="259"/>
      <c r="B84" s="311" t="str">
        <f>B66</f>
        <v>Atezolizumab</v>
      </c>
      <c r="C84" s="137">
        <f>'Capacity inputs'!F15*'Capacity inputs'!J15</f>
        <v>0</v>
      </c>
      <c r="D84" s="116">
        <f t="shared" ref="D84:I84" si="54">D66*$C84/60</f>
        <v>0</v>
      </c>
      <c r="E84" s="116">
        <f t="shared" si="54"/>
        <v>0</v>
      </c>
      <c r="F84" s="116">
        <f t="shared" si="54"/>
        <v>0</v>
      </c>
      <c r="G84" s="116">
        <f t="shared" si="54"/>
        <v>0</v>
      </c>
      <c r="H84" s="116">
        <f t="shared" si="54"/>
        <v>0</v>
      </c>
      <c r="I84" s="116">
        <f t="shared" si="54"/>
        <v>0</v>
      </c>
      <c r="J84" s="259"/>
      <c r="K84" s="195"/>
      <c r="L84" s="195"/>
      <c r="M84" s="195"/>
      <c r="N84" s="195"/>
      <c r="O84" s="195"/>
      <c r="P84" s="195"/>
      <c r="Q84" s="195"/>
      <c r="R84" s="121"/>
      <c r="S84" s="121"/>
      <c r="T84" s="121"/>
      <c r="U84" s="121"/>
      <c r="V84" s="121"/>
      <c r="W84" s="121"/>
      <c r="X84" s="121"/>
      <c r="AH84" s="258"/>
      <c r="AI84" s="258"/>
      <c r="AJ84" s="258"/>
      <c r="AK84" s="258"/>
      <c r="AL84" s="258"/>
    </row>
    <row r="85" spans="1:38" ht="13.9" customHeight="1" x14ac:dyDescent="0.25">
      <c r="A85" s="259"/>
      <c r="B85" s="251" t="s">
        <v>2210</v>
      </c>
      <c r="C85" s="942"/>
      <c r="D85" s="168">
        <f>SUM(D80:D84)</f>
        <v>0</v>
      </c>
      <c r="E85" s="168">
        <f>SUM(E80:E84)</f>
        <v>0</v>
      </c>
      <c r="F85" s="168">
        <f t="shared" ref="F85" si="55">SUM(F80:F84)</f>
        <v>0</v>
      </c>
      <c r="G85" s="168">
        <f t="shared" ref="G85" si="56">SUM(G80:G84)</f>
        <v>0</v>
      </c>
      <c r="H85" s="168">
        <f t="shared" ref="H85" si="57">SUM(H80:H84)</f>
        <v>0</v>
      </c>
      <c r="I85" s="168">
        <f t="shared" ref="I85" si="58">SUM(I80:I84)</f>
        <v>0</v>
      </c>
      <c r="J85" s="259"/>
      <c r="K85" s="195"/>
      <c r="L85" s="195"/>
      <c r="M85" s="195"/>
      <c r="N85" s="195"/>
      <c r="O85" s="195"/>
      <c r="P85" s="195"/>
      <c r="Q85" s="195"/>
      <c r="R85" s="121"/>
      <c r="S85" s="121"/>
      <c r="T85" s="121"/>
      <c r="U85" s="121"/>
      <c r="V85" s="121"/>
      <c r="W85" s="121"/>
      <c r="X85" s="121"/>
      <c r="AH85" s="258"/>
      <c r="AI85" s="258"/>
      <c r="AJ85" s="258"/>
      <c r="AK85" s="258"/>
      <c r="AL85" s="258"/>
    </row>
    <row r="86" spans="1:38" ht="13.9" customHeight="1" x14ac:dyDescent="0.25">
      <c r="A86" s="259"/>
      <c r="B86" s="311" t="s">
        <v>2201</v>
      </c>
      <c r="C86" s="116">
        <f>'Capacity inputs'!F15*'Capacity inputs'!H15</f>
        <v>0</v>
      </c>
      <c r="D86" s="116">
        <f t="shared" ref="D86:I86" si="59">D68*$C86/60</f>
        <v>0</v>
      </c>
      <c r="E86" s="116">
        <f t="shared" si="59"/>
        <v>0</v>
      </c>
      <c r="F86" s="116">
        <f t="shared" si="59"/>
        <v>0</v>
      </c>
      <c r="G86" s="116">
        <f t="shared" si="59"/>
        <v>0</v>
      </c>
      <c r="H86" s="116">
        <f t="shared" si="59"/>
        <v>0</v>
      </c>
      <c r="I86" s="116">
        <f t="shared" si="59"/>
        <v>0</v>
      </c>
      <c r="J86" s="259"/>
      <c r="K86" s="195"/>
      <c r="L86" s="195"/>
      <c r="M86" s="195"/>
      <c r="N86" s="195"/>
      <c r="O86" s="195"/>
      <c r="P86" s="195"/>
      <c r="Q86" s="195"/>
      <c r="R86" s="121"/>
      <c r="S86" s="121"/>
      <c r="T86" s="121"/>
      <c r="U86" s="121"/>
      <c r="V86" s="121"/>
      <c r="W86" s="121"/>
      <c r="X86" s="121"/>
      <c r="AH86" s="258"/>
      <c r="AI86" s="258"/>
      <c r="AJ86" s="258"/>
      <c r="AK86" s="258"/>
      <c r="AL86" s="258"/>
    </row>
    <row r="87" spans="1:38" ht="13.9" customHeight="1" x14ac:dyDescent="0.25">
      <c r="A87" s="259"/>
      <c r="B87" s="311" t="s">
        <v>2202</v>
      </c>
      <c r="C87" s="116">
        <f>'Capacity inputs'!F15*'Capacity inputs'!I15</f>
        <v>0</v>
      </c>
      <c r="D87" s="116">
        <f t="shared" ref="D87:I87" si="60">D69*$C87/60</f>
        <v>0</v>
      </c>
      <c r="E87" s="116">
        <f t="shared" si="60"/>
        <v>0</v>
      </c>
      <c r="F87" s="116">
        <f t="shared" si="60"/>
        <v>0</v>
      </c>
      <c r="G87" s="116">
        <f t="shared" si="60"/>
        <v>0</v>
      </c>
      <c r="H87" s="116">
        <f t="shared" si="60"/>
        <v>0</v>
      </c>
      <c r="I87" s="116">
        <f t="shared" si="60"/>
        <v>0</v>
      </c>
      <c r="J87" s="259"/>
      <c r="K87" s="195"/>
      <c r="L87" s="195"/>
      <c r="M87" s="195"/>
      <c r="N87" s="195"/>
      <c r="O87" s="195"/>
      <c r="P87" s="195"/>
      <c r="Q87" s="195"/>
      <c r="R87" s="121"/>
      <c r="S87" s="121"/>
      <c r="T87" s="121"/>
      <c r="U87" s="121"/>
      <c r="V87" s="121"/>
      <c r="W87" s="121"/>
      <c r="X87" s="121"/>
      <c r="AH87" s="258"/>
      <c r="AI87" s="258"/>
      <c r="AJ87" s="258"/>
      <c r="AK87" s="258"/>
      <c r="AL87" s="258"/>
    </row>
    <row r="88" spans="1:38" ht="13.9" customHeight="1" x14ac:dyDescent="0.25">
      <c r="A88" s="259"/>
      <c r="B88" s="311" t="s">
        <v>2260</v>
      </c>
      <c r="C88" s="116">
        <f>'Capacity inputs'!F15*'Capacity inputs'!J15</f>
        <v>0</v>
      </c>
      <c r="D88" s="116">
        <f t="shared" ref="D88:I88" si="61">D70*$C88/60</f>
        <v>0</v>
      </c>
      <c r="E88" s="116">
        <f t="shared" si="61"/>
        <v>0</v>
      </c>
      <c r="F88" s="116">
        <f t="shared" si="61"/>
        <v>0</v>
      </c>
      <c r="G88" s="116">
        <f t="shared" si="61"/>
        <v>0</v>
      </c>
      <c r="H88" s="116">
        <f t="shared" si="61"/>
        <v>0</v>
      </c>
      <c r="I88" s="116">
        <f t="shared" si="61"/>
        <v>0</v>
      </c>
      <c r="J88" s="259"/>
      <c r="K88" s="195"/>
      <c r="L88" s="195"/>
      <c r="M88" s="195"/>
      <c r="N88" s="195"/>
      <c r="O88" s="195"/>
      <c r="P88" s="195"/>
      <c r="Q88" s="195"/>
      <c r="R88" s="121"/>
      <c r="S88" s="121"/>
      <c r="T88" s="121"/>
      <c r="U88" s="121"/>
      <c r="V88" s="121"/>
      <c r="W88" s="121"/>
      <c r="X88" s="121"/>
      <c r="AH88" s="258"/>
      <c r="AI88" s="258"/>
      <c r="AJ88" s="258"/>
      <c r="AK88" s="258"/>
      <c r="AL88" s="258"/>
    </row>
    <row r="89" spans="1:38" ht="13.9" customHeight="1" x14ac:dyDescent="0.25">
      <c r="A89" s="259"/>
      <c r="B89" s="311" t="s">
        <v>2192</v>
      </c>
      <c r="C89" s="116">
        <f>'Capacity inputs'!F15*'Capacity inputs'!K15</f>
        <v>0</v>
      </c>
      <c r="D89" s="116">
        <f t="shared" ref="D89:I89" si="62">D71*$C89/60</f>
        <v>0</v>
      </c>
      <c r="E89" s="116">
        <f t="shared" si="62"/>
        <v>0</v>
      </c>
      <c r="F89" s="116">
        <f t="shared" si="62"/>
        <v>0</v>
      </c>
      <c r="G89" s="116">
        <f t="shared" si="62"/>
        <v>0</v>
      </c>
      <c r="H89" s="116">
        <f t="shared" si="62"/>
        <v>0</v>
      </c>
      <c r="I89" s="116">
        <f t="shared" si="62"/>
        <v>0</v>
      </c>
      <c r="J89" s="259"/>
      <c r="K89" s="195"/>
      <c r="L89" s="195"/>
      <c r="M89" s="195"/>
      <c r="N89" s="195"/>
      <c r="O89" s="195"/>
      <c r="P89" s="195"/>
      <c r="Q89" s="195"/>
      <c r="R89" s="121"/>
      <c r="S89" s="121"/>
      <c r="T89" s="121"/>
      <c r="U89" s="121"/>
      <c r="V89" s="121"/>
      <c r="W89" s="121"/>
      <c r="X89" s="121"/>
      <c r="AH89" s="258"/>
      <c r="AI89" s="258"/>
      <c r="AJ89" s="258"/>
      <c r="AK89" s="258"/>
      <c r="AL89" s="258"/>
    </row>
    <row r="90" spans="1:38" ht="13.9" customHeight="1" x14ac:dyDescent="0.25">
      <c r="A90" s="259"/>
      <c r="B90" s="251" t="s">
        <v>2261</v>
      </c>
      <c r="C90" s="954"/>
      <c r="D90" s="168">
        <f>SUM(D86:D89)</f>
        <v>0</v>
      </c>
      <c r="E90" s="168">
        <f>SUM(E86:E89)</f>
        <v>0</v>
      </c>
      <c r="F90" s="168">
        <f t="shared" ref="F90" si="63">SUM(F86:F89)</f>
        <v>0</v>
      </c>
      <c r="G90" s="168">
        <f t="shared" ref="G90" si="64">SUM(G86:G89)</f>
        <v>0</v>
      </c>
      <c r="H90" s="168">
        <f t="shared" ref="H90" si="65">SUM(H86:H89)</f>
        <v>0</v>
      </c>
      <c r="I90" s="168">
        <f t="shared" ref="I90" si="66">SUM(I86:I89)</f>
        <v>0</v>
      </c>
      <c r="J90" s="259"/>
      <c r="K90" s="195"/>
      <c r="L90" s="195"/>
      <c r="M90" s="195"/>
      <c r="N90" s="195"/>
      <c r="O90" s="195"/>
      <c r="P90" s="195"/>
      <c r="Q90" s="195"/>
      <c r="R90" s="121"/>
      <c r="S90" s="121"/>
      <c r="T90" s="121"/>
      <c r="U90" s="121"/>
      <c r="V90" s="121"/>
      <c r="W90" s="121"/>
      <c r="X90" s="121"/>
      <c r="AH90" s="258"/>
      <c r="AI90" s="258"/>
      <c r="AJ90" s="258"/>
      <c r="AK90" s="258"/>
      <c r="AL90" s="258"/>
    </row>
    <row r="91" spans="1:38" ht="13.9" customHeight="1" x14ac:dyDescent="0.25">
      <c r="A91" s="259"/>
      <c r="B91" s="311" t="s">
        <v>2191</v>
      </c>
      <c r="C91" s="116">
        <f>'Capacity inputs'!F15*'Capacity inputs'!L15</f>
        <v>0</v>
      </c>
      <c r="D91" s="116">
        <f>D73*$C91/60</f>
        <v>0</v>
      </c>
      <c r="E91" s="116">
        <f t="shared" ref="E91:I91" si="67">E73*$C91/60</f>
        <v>0</v>
      </c>
      <c r="F91" s="116">
        <f t="shared" si="67"/>
        <v>0</v>
      </c>
      <c r="G91" s="116">
        <f t="shared" si="67"/>
        <v>0</v>
      </c>
      <c r="H91" s="116">
        <f t="shared" si="67"/>
        <v>0</v>
      </c>
      <c r="I91" s="116">
        <f t="shared" si="67"/>
        <v>0</v>
      </c>
      <c r="J91" s="259"/>
      <c r="K91" s="195"/>
      <c r="L91" s="195"/>
      <c r="M91" s="195"/>
      <c r="N91" s="195"/>
      <c r="O91" s="195"/>
      <c r="P91" s="195"/>
      <c r="Q91" s="195"/>
      <c r="R91" s="121"/>
      <c r="S91" s="121"/>
      <c r="T91" s="121"/>
      <c r="U91" s="121"/>
      <c r="V91" s="121"/>
      <c r="W91" s="121"/>
      <c r="X91" s="121"/>
      <c r="AH91" s="258"/>
      <c r="AI91" s="258"/>
      <c r="AJ91" s="258"/>
      <c r="AK91" s="258"/>
      <c r="AL91" s="258"/>
    </row>
    <row r="92" spans="1:38" x14ac:dyDescent="0.25">
      <c r="A92" s="259"/>
      <c r="B92" s="252"/>
      <c r="C92" s="944"/>
      <c r="D92" s="168">
        <f>D85+D90+D91</f>
        <v>0</v>
      </c>
      <c r="E92" s="168">
        <f>E85+E90+E91</f>
        <v>0</v>
      </c>
      <c r="F92" s="168">
        <f t="shared" ref="F92" si="68">F85+F90+F91</f>
        <v>0</v>
      </c>
      <c r="G92" s="168">
        <f t="shared" ref="G92" si="69">G85+G90+G91</f>
        <v>0</v>
      </c>
      <c r="H92" s="168">
        <f t="shared" ref="H92" si="70">H85+H90+H91</f>
        <v>0</v>
      </c>
      <c r="I92" s="168">
        <f t="shared" ref="I92" si="71">I85+I90+I91</f>
        <v>0</v>
      </c>
      <c r="J92" s="259"/>
      <c r="K92" s="195"/>
      <c r="L92" s="195"/>
      <c r="M92" s="195"/>
      <c r="N92" s="195"/>
      <c r="O92" s="195"/>
      <c r="P92" s="195"/>
      <c r="Q92" s="195"/>
      <c r="R92" s="121"/>
      <c r="S92" s="121"/>
      <c r="T92" s="121"/>
      <c r="U92" s="121"/>
      <c r="V92" s="121"/>
      <c r="W92" s="121"/>
      <c r="X92" s="121"/>
      <c r="AH92" s="258"/>
      <c r="AI92" s="258"/>
      <c r="AJ92" s="258"/>
      <c r="AK92" s="258"/>
      <c r="AL92" s="258"/>
    </row>
    <row r="93" spans="1:38" x14ac:dyDescent="0.25">
      <c r="A93" s="259"/>
      <c r="B93" s="279"/>
      <c r="C93" s="953"/>
      <c r="D93" s="257" t="s">
        <v>2266</v>
      </c>
      <c r="E93" s="168">
        <f>E92-$D$92</f>
        <v>0</v>
      </c>
      <c r="F93" s="168">
        <f>F92-$D$92</f>
        <v>0</v>
      </c>
      <c r="G93" s="168">
        <f>G92-$D$92</f>
        <v>0</v>
      </c>
      <c r="H93" s="168">
        <f>H92-$D$92</f>
        <v>0</v>
      </c>
      <c r="I93" s="168">
        <f>I92-$D$92</f>
        <v>0</v>
      </c>
      <c r="J93" s="259"/>
      <c r="K93" s="195"/>
      <c r="L93" s="195"/>
      <c r="M93" s="195"/>
      <c r="N93" s="195"/>
      <c r="O93" s="195"/>
      <c r="P93" s="195"/>
      <c r="Q93" s="195"/>
      <c r="R93" s="121"/>
      <c r="S93" s="121"/>
      <c r="T93" s="121"/>
      <c r="U93" s="121"/>
      <c r="V93" s="121"/>
      <c r="W93" s="121"/>
      <c r="X93" s="121"/>
      <c r="AH93" s="258"/>
      <c r="AI93" s="258"/>
      <c r="AJ93" s="258"/>
      <c r="AK93" s="258"/>
      <c r="AL93" s="258"/>
    </row>
    <row r="94" spans="1:38" x14ac:dyDescent="0.25">
      <c r="A94" s="259"/>
      <c r="B94" s="291"/>
      <c r="C94" s="946"/>
      <c r="D94" s="195"/>
      <c r="E94" s="195"/>
      <c r="F94" s="195"/>
      <c r="G94" s="195"/>
      <c r="H94" s="195"/>
      <c r="I94" s="195"/>
      <c r="J94" s="195"/>
      <c r="K94" s="195"/>
      <c r="L94" s="195"/>
      <c r="M94" s="195"/>
      <c r="N94" s="195"/>
      <c r="O94" s="195"/>
      <c r="P94" s="195"/>
      <c r="Q94" s="195"/>
      <c r="R94" s="121"/>
      <c r="S94" s="121"/>
      <c r="T94" s="121"/>
      <c r="U94" s="121"/>
      <c r="V94" s="121"/>
      <c r="W94" s="121"/>
      <c r="X94" s="121"/>
      <c r="AH94" s="258"/>
      <c r="AI94" s="258"/>
      <c r="AJ94" s="258"/>
      <c r="AK94" s="258"/>
      <c r="AL94" s="258"/>
    </row>
    <row r="95" spans="1:38" x14ac:dyDescent="0.25">
      <c r="A95" s="259"/>
      <c r="B95" s="345" t="s">
        <v>762</v>
      </c>
      <c r="C95" s="947"/>
      <c r="D95" s="344"/>
      <c r="E95" s="344"/>
      <c r="F95" s="344"/>
      <c r="G95" s="344"/>
      <c r="H95" s="344"/>
      <c r="I95" s="194"/>
      <c r="J95" s="373"/>
      <c r="K95" s="195"/>
      <c r="L95" s="195"/>
      <c r="M95" s="195"/>
      <c r="N95" s="195"/>
      <c r="O95" s="195"/>
      <c r="P95" s="195"/>
      <c r="Q95" s="195"/>
      <c r="R95" s="121"/>
      <c r="S95" s="121"/>
      <c r="T95" s="121"/>
      <c r="U95" s="121"/>
      <c r="V95" s="121"/>
      <c r="W95" s="121"/>
      <c r="X95" s="121"/>
      <c r="AH95" s="258"/>
      <c r="AI95" s="258"/>
      <c r="AJ95" s="258"/>
      <c r="AK95" s="258"/>
      <c r="AL95" s="258"/>
    </row>
    <row r="96" spans="1:38" ht="45" x14ac:dyDescent="0.25">
      <c r="A96" s="259"/>
      <c r="B96" s="254" t="s">
        <v>703</v>
      </c>
      <c r="C96" s="948" t="s">
        <v>746</v>
      </c>
      <c r="D96" s="802" t="s">
        <v>737</v>
      </c>
      <c r="E96" s="229" t="s">
        <v>591</v>
      </c>
      <c r="F96" s="229" t="s">
        <v>592</v>
      </c>
      <c r="G96" s="152" t="s">
        <v>714</v>
      </c>
      <c r="H96" s="152" t="s">
        <v>715</v>
      </c>
      <c r="I96" s="229" t="s">
        <v>716</v>
      </c>
      <c r="J96" s="259"/>
      <c r="K96" s="195"/>
      <c r="L96" s="195"/>
      <c r="M96" s="195"/>
      <c r="N96" s="195"/>
      <c r="O96" s="195"/>
      <c r="P96" s="195"/>
      <c r="Q96" s="195"/>
      <c r="R96" s="121"/>
      <c r="S96" s="121"/>
      <c r="T96" s="121"/>
      <c r="U96" s="121"/>
      <c r="V96" s="121"/>
      <c r="W96" s="121"/>
      <c r="X96" s="121"/>
      <c r="AH96" s="258"/>
      <c r="AI96" s="258"/>
      <c r="AJ96" s="258"/>
      <c r="AK96" s="258"/>
      <c r="AL96" s="258"/>
    </row>
    <row r="97" spans="1:38" x14ac:dyDescent="0.25">
      <c r="A97" s="259"/>
      <c r="B97" s="311" t="str">
        <f>B80</f>
        <v>Enfortumab vedotin with pembrolizumab</v>
      </c>
      <c r="C97" s="116">
        <f>'Capacity inputs'!F16*'Capacity inputs'!G16</f>
        <v>0</v>
      </c>
      <c r="D97" s="116">
        <f>D62*$C97/60</f>
        <v>0</v>
      </c>
      <c r="E97" s="116">
        <f>E62*$C97/60</f>
        <v>0</v>
      </c>
      <c r="F97" s="116">
        <f t="shared" ref="F97:I97" si="72">F62*$C97/60</f>
        <v>0</v>
      </c>
      <c r="G97" s="116">
        <f t="shared" si="72"/>
        <v>0</v>
      </c>
      <c r="H97" s="116">
        <f t="shared" si="72"/>
        <v>0</v>
      </c>
      <c r="I97" s="116">
        <f t="shared" si="72"/>
        <v>0</v>
      </c>
      <c r="J97" s="259"/>
      <c r="K97" s="195"/>
      <c r="L97" s="195"/>
      <c r="M97" s="195"/>
      <c r="N97" s="195"/>
      <c r="O97" s="195"/>
      <c r="P97" s="195"/>
      <c r="Q97" s="195"/>
      <c r="R97" s="121"/>
      <c r="S97" s="121"/>
      <c r="T97" s="121"/>
      <c r="U97" s="121"/>
      <c r="V97" s="121"/>
      <c r="W97" s="121"/>
      <c r="X97" s="121"/>
      <c r="AH97" s="258"/>
      <c r="AI97" s="258"/>
      <c r="AJ97" s="258"/>
      <c r="AK97" s="258"/>
      <c r="AL97" s="258"/>
    </row>
    <row r="98" spans="1:38" x14ac:dyDescent="0.25">
      <c r="A98" s="259"/>
      <c r="B98" s="311" t="str">
        <f>B81</f>
        <v>Enfortumab vedotin with pembrolizumab - year 2</v>
      </c>
      <c r="C98" s="116">
        <f>'Capacity inputs'!F16*'Capacity inputs'!G16</f>
        <v>0</v>
      </c>
      <c r="D98" s="116">
        <f t="shared" ref="D98:I98" si="73">D63*$C98/60</f>
        <v>0</v>
      </c>
      <c r="E98" s="116">
        <f t="shared" si="73"/>
        <v>0</v>
      </c>
      <c r="F98" s="116">
        <f t="shared" si="73"/>
        <v>0</v>
      </c>
      <c r="G98" s="116">
        <f t="shared" si="73"/>
        <v>0</v>
      </c>
      <c r="H98" s="116">
        <f t="shared" si="73"/>
        <v>0</v>
      </c>
      <c r="I98" s="116">
        <f t="shared" si="73"/>
        <v>0</v>
      </c>
      <c r="J98" s="259"/>
      <c r="K98" s="195"/>
      <c r="L98" s="195"/>
      <c r="M98" s="195"/>
      <c r="N98" s="195"/>
      <c r="O98" s="195"/>
      <c r="P98" s="195"/>
      <c r="Q98" s="195"/>
      <c r="R98" s="121"/>
      <c r="S98" s="121"/>
      <c r="T98" s="121"/>
      <c r="U98" s="121"/>
      <c r="V98" s="121"/>
      <c r="W98" s="121"/>
      <c r="X98" s="121"/>
      <c r="AH98" s="258"/>
      <c r="AI98" s="258"/>
      <c r="AJ98" s="258"/>
      <c r="AK98" s="258"/>
      <c r="AL98" s="258"/>
    </row>
    <row r="99" spans="1:38" x14ac:dyDescent="0.25">
      <c r="A99" s="259"/>
      <c r="B99" s="311" t="str">
        <f>B82</f>
        <v>Gemcitabine &amp; cisplatin</v>
      </c>
      <c r="C99" s="116">
        <f>'Capacity inputs'!F16*'Capacity inputs'!H16</f>
        <v>0</v>
      </c>
      <c r="D99" s="116">
        <f t="shared" ref="D99:I99" si="74">D64*$C99/60</f>
        <v>0</v>
      </c>
      <c r="E99" s="116">
        <f t="shared" si="74"/>
        <v>0</v>
      </c>
      <c r="F99" s="116">
        <f t="shared" si="74"/>
        <v>0</v>
      </c>
      <c r="G99" s="116">
        <f t="shared" si="74"/>
        <v>0</v>
      </c>
      <c r="H99" s="116">
        <f t="shared" si="74"/>
        <v>0</v>
      </c>
      <c r="I99" s="116">
        <f t="shared" si="74"/>
        <v>0</v>
      </c>
      <c r="J99" s="259"/>
      <c r="K99" s="195"/>
      <c r="L99" s="195"/>
      <c r="M99" s="195"/>
      <c r="N99" s="195"/>
      <c r="O99" s="195"/>
      <c r="P99" s="195"/>
      <c r="Q99" s="195"/>
      <c r="R99" s="121"/>
      <c r="S99" s="121"/>
      <c r="T99" s="121"/>
      <c r="U99" s="121"/>
      <c r="V99" s="121"/>
      <c r="W99" s="121"/>
      <c r="X99" s="121"/>
      <c r="AH99" s="258"/>
      <c r="AI99" s="258"/>
      <c r="AJ99" s="258"/>
      <c r="AK99" s="258"/>
      <c r="AL99" s="258"/>
    </row>
    <row r="100" spans="1:38" x14ac:dyDescent="0.25">
      <c r="A100" s="259"/>
      <c r="B100" s="311" t="str">
        <f>B83</f>
        <v xml:space="preserve">Gemcitabine &amp; carboplatin </v>
      </c>
      <c r="C100" s="116">
        <f>'Capacity inputs'!F16*'Capacity inputs'!I16</f>
        <v>0</v>
      </c>
      <c r="D100" s="116">
        <f t="shared" ref="D100:I100" si="75">D65*$C100/60</f>
        <v>0</v>
      </c>
      <c r="E100" s="116">
        <f t="shared" si="75"/>
        <v>0</v>
      </c>
      <c r="F100" s="116">
        <f t="shared" si="75"/>
        <v>0</v>
      </c>
      <c r="G100" s="116">
        <f t="shared" si="75"/>
        <v>0</v>
      </c>
      <c r="H100" s="116">
        <f t="shared" si="75"/>
        <v>0</v>
      </c>
      <c r="I100" s="116">
        <f t="shared" si="75"/>
        <v>0</v>
      </c>
      <c r="J100" s="259"/>
      <c r="K100" s="195"/>
      <c r="L100" s="195"/>
      <c r="M100" s="195"/>
      <c r="N100" s="195"/>
      <c r="O100" s="195"/>
      <c r="P100" s="195"/>
      <c r="Q100" s="195"/>
      <c r="R100" s="121"/>
      <c r="S100" s="121"/>
      <c r="T100" s="121"/>
      <c r="U100" s="121"/>
      <c r="V100" s="121"/>
      <c r="W100" s="121"/>
      <c r="X100" s="121"/>
      <c r="AH100" s="258"/>
      <c r="AI100" s="258"/>
      <c r="AJ100" s="258"/>
      <c r="AK100" s="258"/>
      <c r="AL100" s="258"/>
    </row>
    <row r="101" spans="1:38" x14ac:dyDescent="0.25">
      <c r="A101" s="259"/>
      <c r="B101" s="311" t="str">
        <f>B84</f>
        <v>Atezolizumab</v>
      </c>
      <c r="C101" s="116">
        <f>'Capacity inputs'!F16*'Capacity inputs'!J16</f>
        <v>0</v>
      </c>
      <c r="D101" s="116">
        <f t="shared" ref="D101:I101" si="76">D66*$C101/60</f>
        <v>0</v>
      </c>
      <c r="E101" s="116">
        <f t="shared" si="76"/>
        <v>0</v>
      </c>
      <c r="F101" s="116">
        <f t="shared" si="76"/>
        <v>0</v>
      </c>
      <c r="G101" s="116">
        <f t="shared" si="76"/>
        <v>0</v>
      </c>
      <c r="H101" s="116">
        <f t="shared" si="76"/>
        <v>0</v>
      </c>
      <c r="I101" s="116">
        <f t="shared" si="76"/>
        <v>0</v>
      </c>
      <c r="J101" s="259"/>
      <c r="K101" s="195"/>
      <c r="L101" s="195"/>
      <c r="M101" s="195"/>
      <c r="N101" s="195"/>
      <c r="O101" s="195"/>
      <c r="P101" s="195"/>
      <c r="Q101" s="195"/>
      <c r="R101" s="121"/>
      <c r="S101" s="121"/>
      <c r="T101" s="121"/>
      <c r="U101" s="121"/>
      <c r="V101" s="121"/>
      <c r="W101" s="121"/>
      <c r="X101" s="121"/>
      <c r="AH101" s="258"/>
      <c r="AI101" s="258"/>
      <c r="AJ101" s="258"/>
      <c r="AK101" s="258"/>
      <c r="AL101" s="258"/>
    </row>
    <row r="102" spans="1:38" x14ac:dyDescent="0.25">
      <c r="A102" s="259"/>
      <c r="B102" s="251" t="s">
        <v>2210</v>
      </c>
      <c r="C102" s="943"/>
      <c r="D102" s="168">
        <f>SUM(D97:D101)</f>
        <v>0</v>
      </c>
      <c r="E102" s="168">
        <f>SUM(E97:E101)</f>
        <v>0</v>
      </c>
      <c r="F102" s="168">
        <f t="shared" ref="F102" si="77">SUM(F97:F101)</f>
        <v>0</v>
      </c>
      <c r="G102" s="168">
        <f t="shared" ref="G102" si="78">SUM(G97:G101)</f>
        <v>0</v>
      </c>
      <c r="H102" s="168">
        <f t="shared" ref="H102" si="79">SUM(H97:H101)</f>
        <v>0</v>
      </c>
      <c r="I102" s="168">
        <f t="shared" ref="I102" si="80">SUM(I97:I101)</f>
        <v>0</v>
      </c>
      <c r="J102" s="259"/>
      <c r="K102" s="195"/>
      <c r="L102" s="195"/>
      <c r="M102" s="195"/>
      <c r="N102" s="195"/>
      <c r="O102" s="195"/>
      <c r="P102" s="195"/>
      <c r="Q102" s="195"/>
      <c r="R102" s="121"/>
      <c r="S102" s="121"/>
      <c r="T102" s="121"/>
      <c r="U102" s="121"/>
      <c r="V102" s="121"/>
      <c r="W102" s="121"/>
      <c r="X102" s="121"/>
      <c r="AH102" s="258"/>
      <c r="AI102" s="258"/>
      <c r="AJ102" s="258"/>
      <c r="AK102" s="258"/>
      <c r="AL102" s="258"/>
    </row>
    <row r="103" spans="1:38" x14ac:dyDescent="0.25">
      <c r="A103" s="259"/>
      <c r="B103" s="311" t="s">
        <v>2201</v>
      </c>
      <c r="C103" s="116">
        <f>'Capacity inputs'!F16*'Capacity inputs'!H16</f>
        <v>0</v>
      </c>
      <c r="D103" s="116">
        <f t="shared" ref="D103:I103" si="81">D68*$C103/60</f>
        <v>0</v>
      </c>
      <c r="E103" s="116">
        <f t="shared" si="81"/>
        <v>0</v>
      </c>
      <c r="F103" s="116">
        <f t="shared" si="81"/>
        <v>0</v>
      </c>
      <c r="G103" s="116">
        <f t="shared" si="81"/>
        <v>0</v>
      </c>
      <c r="H103" s="116">
        <f t="shared" si="81"/>
        <v>0</v>
      </c>
      <c r="I103" s="116">
        <f t="shared" si="81"/>
        <v>0</v>
      </c>
      <c r="J103" s="259"/>
      <c r="K103" s="195"/>
      <c r="L103" s="195"/>
      <c r="M103" s="195"/>
      <c r="N103" s="195"/>
      <c r="O103" s="195"/>
      <c r="P103" s="195"/>
      <c r="Q103" s="195"/>
      <c r="R103" s="121"/>
      <c r="S103" s="121"/>
      <c r="T103" s="121"/>
      <c r="U103" s="121"/>
      <c r="V103" s="121"/>
      <c r="W103" s="121"/>
      <c r="X103" s="121"/>
      <c r="AH103" s="258"/>
      <c r="AI103" s="258"/>
      <c r="AJ103" s="258"/>
      <c r="AK103" s="258"/>
      <c r="AL103" s="258"/>
    </row>
    <row r="104" spans="1:38" x14ac:dyDescent="0.25">
      <c r="A104" s="259"/>
      <c r="B104" s="311" t="s">
        <v>2202</v>
      </c>
      <c r="C104" s="116">
        <f>'Capacity inputs'!F16*'Capacity inputs'!I16</f>
        <v>0</v>
      </c>
      <c r="D104" s="116">
        <f t="shared" ref="D104:I104" si="82">D69*$C104/60</f>
        <v>0</v>
      </c>
      <c r="E104" s="116">
        <f t="shared" si="82"/>
        <v>0</v>
      </c>
      <c r="F104" s="116">
        <f t="shared" si="82"/>
        <v>0</v>
      </c>
      <c r="G104" s="116">
        <f t="shared" si="82"/>
        <v>0</v>
      </c>
      <c r="H104" s="116">
        <f t="shared" si="82"/>
        <v>0</v>
      </c>
      <c r="I104" s="116">
        <f t="shared" si="82"/>
        <v>0</v>
      </c>
      <c r="J104" s="259"/>
      <c r="K104" s="195"/>
      <c r="L104" s="195"/>
      <c r="M104" s="195"/>
      <c r="N104" s="195"/>
      <c r="O104" s="195"/>
      <c r="P104" s="195"/>
      <c r="Q104" s="195"/>
      <c r="R104" s="121"/>
      <c r="S104" s="121"/>
      <c r="T104" s="121"/>
      <c r="U104" s="121"/>
      <c r="V104" s="121"/>
      <c r="W104" s="121"/>
      <c r="X104" s="121"/>
      <c r="AH104" s="258"/>
      <c r="AI104" s="258"/>
      <c r="AJ104" s="258"/>
      <c r="AK104" s="258"/>
      <c r="AL104" s="258"/>
    </row>
    <row r="105" spans="1:38" x14ac:dyDescent="0.25">
      <c r="A105" s="259"/>
      <c r="B105" s="311" t="s">
        <v>2260</v>
      </c>
      <c r="C105" s="116">
        <f>'Capacity inputs'!F16*'Capacity inputs'!J16</f>
        <v>0</v>
      </c>
      <c r="D105" s="116">
        <f t="shared" ref="D105:I105" si="83">D70*$C105/60</f>
        <v>0</v>
      </c>
      <c r="E105" s="116">
        <f t="shared" si="83"/>
        <v>0</v>
      </c>
      <c r="F105" s="116">
        <f t="shared" si="83"/>
        <v>0</v>
      </c>
      <c r="G105" s="116">
        <f t="shared" si="83"/>
        <v>0</v>
      </c>
      <c r="H105" s="116">
        <f t="shared" si="83"/>
        <v>0</v>
      </c>
      <c r="I105" s="116">
        <f t="shared" si="83"/>
        <v>0</v>
      </c>
      <c r="J105" s="259"/>
      <c r="K105" s="195"/>
      <c r="L105" s="195"/>
      <c r="M105" s="195"/>
      <c r="N105" s="195"/>
      <c r="O105" s="195"/>
      <c r="P105" s="195"/>
      <c r="Q105" s="195"/>
      <c r="R105" s="121"/>
      <c r="S105" s="121"/>
      <c r="T105" s="121"/>
      <c r="U105" s="121"/>
      <c r="V105" s="121"/>
      <c r="W105" s="121"/>
      <c r="X105" s="121"/>
      <c r="AH105" s="258"/>
      <c r="AI105" s="258"/>
      <c r="AJ105" s="258"/>
      <c r="AK105" s="258"/>
      <c r="AL105" s="258"/>
    </row>
    <row r="106" spans="1:38" x14ac:dyDescent="0.25">
      <c r="A106" s="259"/>
      <c r="B106" s="311" t="s">
        <v>2192</v>
      </c>
      <c r="C106" s="116">
        <f>'Capacity inputs'!F16*'Capacity inputs'!K16</f>
        <v>0</v>
      </c>
      <c r="D106" s="116">
        <f t="shared" ref="D106:I106" si="84">D71*$C106/60</f>
        <v>0</v>
      </c>
      <c r="E106" s="116">
        <f t="shared" si="84"/>
        <v>0</v>
      </c>
      <c r="F106" s="116">
        <f t="shared" si="84"/>
        <v>0</v>
      </c>
      <c r="G106" s="116">
        <f t="shared" si="84"/>
        <v>0</v>
      </c>
      <c r="H106" s="116">
        <f t="shared" si="84"/>
        <v>0</v>
      </c>
      <c r="I106" s="116">
        <f t="shared" si="84"/>
        <v>0</v>
      </c>
      <c r="J106" s="259"/>
      <c r="K106" s="195"/>
      <c r="L106" s="195"/>
      <c r="M106" s="195"/>
      <c r="N106" s="195"/>
      <c r="O106" s="195"/>
      <c r="P106" s="195"/>
      <c r="Q106" s="195"/>
      <c r="R106" s="121"/>
      <c r="S106" s="121"/>
      <c r="T106" s="121"/>
      <c r="U106" s="121"/>
      <c r="V106" s="121"/>
      <c r="W106" s="121"/>
      <c r="X106" s="121"/>
      <c r="AH106" s="258"/>
      <c r="AI106" s="258"/>
      <c r="AJ106" s="258"/>
      <c r="AK106" s="258"/>
      <c r="AL106" s="258"/>
    </row>
    <row r="107" spans="1:38" x14ac:dyDescent="0.25">
      <c r="A107" s="259"/>
      <c r="B107" s="251" t="s">
        <v>2261</v>
      </c>
      <c r="C107" s="943"/>
      <c r="D107" s="168">
        <f>SUM(D103:D106)</f>
        <v>0</v>
      </c>
      <c r="E107" s="168">
        <f>SUM(E103:E106)</f>
        <v>0</v>
      </c>
      <c r="F107" s="168">
        <f t="shared" ref="F107" si="85">SUM(F103:F106)</f>
        <v>0</v>
      </c>
      <c r="G107" s="168">
        <f t="shared" ref="G107" si="86">SUM(G103:G106)</f>
        <v>0</v>
      </c>
      <c r="H107" s="168">
        <f t="shared" ref="H107" si="87">SUM(H103:H106)</f>
        <v>0</v>
      </c>
      <c r="I107" s="168">
        <f t="shared" ref="I107" si="88">SUM(I103:I106)</f>
        <v>0</v>
      </c>
      <c r="J107" s="259"/>
      <c r="K107" s="195"/>
      <c r="L107" s="195"/>
      <c r="M107" s="195"/>
      <c r="N107" s="195"/>
      <c r="O107" s="195"/>
      <c r="P107" s="195"/>
      <c r="Q107" s="195"/>
      <c r="R107" s="121"/>
      <c r="S107" s="121"/>
      <c r="T107" s="121"/>
      <c r="U107" s="121"/>
      <c r="V107" s="121"/>
      <c r="W107" s="121"/>
      <c r="X107" s="121"/>
      <c r="AH107" s="258"/>
      <c r="AI107" s="258"/>
      <c r="AJ107" s="258"/>
      <c r="AK107" s="258"/>
      <c r="AL107" s="258"/>
    </row>
    <row r="108" spans="1:38" x14ac:dyDescent="0.25">
      <c r="A108" s="259"/>
      <c r="B108" s="311" t="s">
        <v>2191</v>
      </c>
      <c r="C108" s="116">
        <f>'Capacity inputs'!F16*'Capacity inputs'!L16</f>
        <v>0</v>
      </c>
      <c r="D108" s="116">
        <f t="shared" ref="D108:I108" si="89">D73*$C108/60</f>
        <v>0</v>
      </c>
      <c r="E108" s="116">
        <f t="shared" si="89"/>
        <v>0</v>
      </c>
      <c r="F108" s="116">
        <f t="shared" si="89"/>
        <v>0</v>
      </c>
      <c r="G108" s="116">
        <f t="shared" si="89"/>
        <v>0</v>
      </c>
      <c r="H108" s="116">
        <f t="shared" si="89"/>
        <v>0</v>
      </c>
      <c r="I108" s="116">
        <f t="shared" si="89"/>
        <v>0</v>
      </c>
      <c r="J108" s="259"/>
      <c r="K108" s="195"/>
      <c r="L108" s="195"/>
      <c r="M108" s="195"/>
      <c r="N108" s="195"/>
      <c r="O108" s="195"/>
      <c r="P108" s="195"/>
      <c r="Q108" s="195"/>
      <c r="R108" s="121"/>
      <c r="S108" s="121"/>
      <c r="T108" s="121"/>
      <c r="U108" s="121"/>
      <c r="V108" s="121"/>
      <c r="W108" s="121"/>
      <c r="X108" s="121"/>
      <c r="AH108" s="258"/>
      <c r="AI108" s="258"/>
      <c r="AJ108" s="258"/>
      <c r="AK108" s="258"/>
      <c r="AL108" s="258"/>
    </row>
    <row r="109" spans="1:38" x14ac:dyDescent="0.25">
      <c r="A109" s="259"/>
      <c r="B109" s="252"/>
      <c r="C109" s="944"/>
      <c r="D109" s="168">
        <f>D102+D107+D108</f>
        <v>0</v>
      </c>
      <c r="E109" s="168">
        <f>E102+E107+E108</f>
        <v>0</v>
      </c>
      <c r="F109" s="168">
        <f t="shared" ref="F109" si="90">F102+F107+F108</f>
        <v>0</v>
      </c>
      <c r="G109" s="168">
        <f t="shared" ref="G109" si="91">G102+G107+G108</f>
        <v>0</v>
      </c>
      <c r="H109" s="168">
        <f t="shared" ref="H109" si="92">H102+H107+H108</f>
        <v>0</v>
      </c>
      <c r="I109" s="168">
        <f t="shared" ref="I109" si="93">I102+I107+I108</f>
        <v>0</v>
      </c>
      <c r="J109" s="259"/>
      <c r="K109" s="195"/>
      <c r="L109" s="195"/>
      <c r="M109" s="195"/>
      <c r="N109" s="195"/>
      <c r="O109" s="195"/>
      <c r="P109" s="195"/>
      <c r="Q109" s="195"/>
      <c r="R109" s="121"/>
      <c r="S109" s="121"/>
      <c r="T109" s="121"/>
      <c r="U109" s="121"/>
      <c r="V109" s="121"/>
      <c r="W109" s="121"/>
      <c r="X109" s="121"/>
      <c r="AH109" s="258"/>
      <c r="AI109" s="258"/>
      <c r="AJ109" s="258"/>
      <c r="AK109" s="258"/>
      <c r="AL109" s="258"/>
    </row>
    <row r="110" spans="1:38" x14ac:dyDescent="0.25">
      <c r="A110" s="259"/>
      <c r="B110" s="255"/>
      <c r="C110" s="945"/>
      <c r="D110" s="257" t="s">
        <v>763</v>
      </c>
      <c r="E110" s="168">
        <f>E109-$D$109</f>
        <v>0</v>
      </c>
      <c r="F110" s="168">
        <f>F109-$D$109</f>
        <v>0</v>
      </c>
      <c r="G110" s="168">
        <f>G109-$D$109</f>
        <v>0</v>
      </c>
      <c r="H110" s="168">
        <f>H109-$D$109</f>
        <v>0</v>
      </c>
      <c r="I110" s="168">
        <f>I109-$D$109</f>
        <v>0</v>
      </c>
      <c r="J110" s="259"/>
      <c r="K110" s="195"/>
      <c r="L110" s="195"/>
      <c r="M110" s="195"/>
      <c r="N110" s="195"/>
      <c r="O110" s="195"/>
      <c r="P110" s="195"/>
      <c r="Q110" s="195"/>
      <c r="R110" s="121"/>
      <c r="S110" s="121"/>
      <c r="T110" s="121"/>
      <c r="U110" s="121"/>
      <c r="V110" s="121"/>
      <c r="W110" s="121"/>
      <c r="X110" s="121"/>
      <c r="AH110" s="258"/>
      <c r="AI110" s="258"/>
      <c r="AJ110" s="258"/>
      <c r="AK110" s="258"/>
      <c r="AL110" s="258"/>
    </row>
    <row r="111" spans="1:38" x14ac:dyDescent="0.25">
      <c r="A111" s="259"/>
      <c r="B111" s="291"/>
      <c r="C111" s="946"/>
      <c r="D111" s="195"/>
      <c r="E111" s="195"/>
      <c r="F111" s="195"/>
      <c r="G111" s="195"/>
      <c r="H111" s="195"/>
      <c r="I111" s="195"/>
      <c r="J111" s="195"/>
      <c r="K111" s="195"/>
      <c r="L111" s="195"/>
      <c r="M111" s="195"/>
      <c r="N111" s="195"/>
      <c r="O111" s="195"/>
      <c r="P111" s="195"/>
      <c r="Q111" s="195"/>
      <c r="R111" s="121"/>
      <c r="S111" s="121"/>
      <c r="T111" s="121"/>
      <c r="U111" s="121"/>
      <c r="V111" s="121"/>
      <c r="W111" s="121"/>
      <c r="X111" s="121"/>
      <c r="AH111" s="258"/>
      <c r="AI111" s="258"/>
      <c r="AJ111" s="258"/>
      <c r="AK111" s="258"/>
      <c r="AL111" s="258"/>
    </row>
    <row r="112" spans="1:38" x14ac:dyDescent="0.25">
      <c r="A112" s="259"/>
      <c r="B112" s="345" t="s">
        <v>764</v>
      </c>
      <c r="C112" s="947"/>
      <c r="D112" s="344"/>
      <c r="E112" s="344"/>
      <c r="F112" s="344"/>
      <c r="G112" s="344"/>
      <c r="H112" s="344"/>
      <c r="I112" s="194"/>
      <c r="J112" s="373"/>
      <c r="K112" s="195"/>
      <c r="L112" s="195"/>
      <c r="M112" s="195"/>
      <c r="N112" s="195"/>
      <c r="O112" s="195"/>
      <c r="P112" s="195"/>
      <c r="Q112" s="195"/>
      <c r="R112" s="121"/>
      <c r="T112" s="121"/>
      <c r="AH112" s="258"/>
      <c r="AI112" s="258"/>
      <c r="AJ112" s="258"/>
      <c r="AK112" s="258"/>
      <c r="AL112" s="258"/>
    </row>
    <row r="113" spans="1:38" ht="45" x14ac:dyDescent="0.25">
      <c r="A113" s="259"/>
      <c r="B113" s="254" t="s">
        <v>703</v>
      </c>
      <c r="C113" s="948" t="s">
        <v>746</v>
      </c>
      <c r="D113" s="802" t="s">
        <v>737</v>
      </c>
      <c r="E113" s="229" t="s">
        <v>591</v>
      </c>
      <c r="F113" s="229" t="s">
        <v>592</v>
      </c>
      <c r="G113" s="152" t="s">
        <v>714</v>
      </c>
      <c r="H113" s="152" t="s">
        <v>715</v>
      </c>
      <c r="I113" s="229" t="s">
        <v>716</v>
      </c>
      <c r="J113" s="259"/>
      <c r="K113" s="195"/>
      <c r="L113" s="195"/>
      <c r="M113" s="195"/>
      <c r="N113" s="195"/>
      <c r="O113" s="195"/>
      <c r="P113" s="195"/>
      <c r="Q113" s="195"/>
      <c r="R113" s="121"/>
      <c r="T113" s="121"/>
      <c r="AH113" s="258"/>
      <c r="AI113" s="258"/>
      <c r="AJ113" s="258"/>
      <c r="AK113" s="258"/>
      <c r="AL113" s="258"/>
    </row>
    <row r="114" spans="1:38" x14ac:dyDescent="0.25">
      <c r="A114" s="259"/>
      <c r="B114" s="311" t="str">
        <f>B97</f>
        <v>Enfortumab vedotin with pembrolizumab</v>
      </c>
      <c r="C114" s="116">
        <f>'Capacity inputs'!F17*'Capacity inputs'!G17</f>
        <v>0</v>
      </c>
      <c r="D114" s="116">
        <f>D62*$C114/60</f>
        <v>0</v>
      </c>
      <c r="E114" s="116">
        <f t="shared" ref="E114:I114" si="94">E62*$C114/60</f>
        <v>0</v>
      </c>
      <c r="F114" s="116">
        <f t="shared" si="94"/>
        <v>0</v>
      </c>
      <c r="G114" s="116">
        <f t="shared" si="94"/>
        <v>0</v>
      </c>
      <c r="H114" s="116">
        <f t="shared" si="94"/>
        <v>0</v>
      </c>
      <c r="I114" s="116">
        <f t="shared" si="94"/>
        <v>0</v>
      </c>
      <c r="J114" s="259"/>
      <c r="K114" s="195"/>
      <c r="L114" s="195"/>
      <c r="M114" s="195"/>
      <c r="N114" s="195"/>
      <c r="O114" s="195"/>
      <c r="P114" s="195"/>
      <c r="Q114" s="195"/>
      <c r="R114" s="121"/>
      <c r="T114" s="121"/>
      <c r="AH114" s="258"/>
      <c r="AI114" s="258"/>
      <c r="AJ114" s="258"/>
      <c r="AK114" s="258"/>
      <c r="AL114" s="258"/>
    </row>
    <row r="115" spans="1:38" x14ac:dyDescent="0.25">
      <c r="A115" s="259"/>
      <c r="B115" s="311" t="str">
        <f>B98</f>
        <v>Enfortumab vedotin with pembrolizumab - year 2</v>
      </c>
      <c r="C115" s="116">
        <f>'Capacity inputs'!F17*'Capacity inputs'!G17</f>
        <v>0</v>
      </c>
      <c r="D115" s="116">
        <f t="shared" ref="D115:I115" si="95">D63*$C115/60</f>
        <v>0</v>
      </c>
      <c r="E115" s="116">
        <f t="shared" si="95"/>
        <v>0</v>
      </c>
      <c r="F115" s="116">
        <f t="shared" si="95"/>
        <v>0</v>
      </c>
      <c r="G115" s="116">
        <f t="shared" si="95"/>
        <v>0</v>
      </c>
      <c r="H115" s="116">
        <f t="shared" si="95"/>
        <v>0</v>
      </c>
      <c r="I115" s="116">
        <f t="shared" si="95"/>
        <v>0</v>
      </c>
      <c r="J115" s="259"/>
      <c r="K115" s="195"/>
      <c r="L115" s="195"/>
      <c r="M115" s="195"/>
      <c r="N115" s="195"/>
      <c r="O115" s="195"/>
      <c r="P115" s="195"/>
      <c r="Q115" s="195"/>
      <c r="R115" s="121"/>
      <c r="T115" s="121"/>
      <c r="AH115" s="258"/>
      <c r="AI115" s="258"/>
      <c r="AJ115" s="258"/>
      <c r="AK115" s="258"/>
      <c r="AL115" s="258"/>
    </row>
    <row r="116" spans="1:38" x14ac:dyDescent="0.25">
      <c r="A116" s="259"/>
      <c r="B116" s="311" t="str">
        <f>B99</f>
        <v>Gemcitabine &amp; cisplatin</v>
      </c>
      <c r="C116" s="116">
        <f>'Capacity inputs'!F17*'Capacity inputs'!H17</f>
        <v>0</v>
      </c>
      <c r="D116" s="116">
        <f t="shared" ref="D116:I116" si="96">D64*$C116/60</f>
        <v>0</v>
      </c>
      <c r="E116" s="116">
        <f t="shared" si="96"/>
        <v>0</v>
      </c>
      <c r="F116" s="116">
        <f t="shared" si="96"/>
        <v>0</v>
      </c>
      <c r="G116" s="116">
        <f t="shared" si="96"/>
        <v>0</v>
      </c>
      <c r="H116" s="116">
        <f t="shared" si="96"/>
        <v>0</v>
      </c>
      <c r="I116" s="116">
        <f t="shared" si="96"/>
        <v>0</v>
      </c>
      <c r="J116" s="259"/>
      <c r="K116" s="195"/>
      <c r="L116" s="195"/>
      <c r="M116" s="195"/>
      <c r="N116" s="195"/>
      <c r="O116" s="195"/>
      <c r="P116" s="195"/>
      <c r="Q116" s="195"/>
      <c r="R116" s="121"/>
      <c r="T116" s="121"/>
      <c r="AH116" s="258"/>
      <c r="AI116" s="258"/>
      <c r="AJ116" s="258"/>
      <c r="AK116" s="258"/>
      <c r="AL116" s="258"/>
    </row>
    <row r="117" spans="1:38" x14ac:dyDescent="0.25">
      <c r="A117" s="259"/>
      <c r="B117" s="311" t="str">
        <f>B100</f>
        <v xml:space="preserve">Gemcitabine &amp; carboplatin </v>
      </c>
      <c r="C117" s="116">
        <f>'Capacity inputs'!F17*'Capacity inputs'!I17</f>
        <v>0</v>
      </c>
      <c r="D117" s="116">
        <f t="shared" ref="D117:I117" si="97">D65*$C117/60</f>
        <v>0</v>
      </c>
      <c r="E117" s="116">
        <f t="shared" si="97"/>
        <v>0</v>
      </c>
      <c r="F117" s="116">
        <f t="shared" si="97"/>
        <v>0</v>
      </c>
      <c r="G117" s="116">
        <f t="shared" si="97"/>
        <v>0</v>
      </c>
      <c r="H117" s="116">
        <f t="shared" si="97"/>
        <v>0</v>
      </c>
      <c r="I117" s="116">
        <f t="shared" si="97"/>
        <v>0</v>
      </c>
      <c r="J117" s="259"/>
      <c r="K117" s="195"/>
      <c r="L117" s="195"/>
      <c r="M117" s="195"/>
      <c r="N117" s="195"/>
      <c r="O117" s="195"/>
      <c r="P117" s="195"/>
      <c r="Q117" s="195"/>
      <c r="R117" s="121"/>
      <c r="T117" s="121"/>
      <c r="AH117" s="258"/>
      <c r="AI117" s="258"/>
      <c r="AJ117" s="258"/>
      <c r="AK117" s="258"/>
      <c r="AL117" s="258"/>
    </row>
    <row r="118" spans="1:38" x14ac:dyDescent="0.25">
      <c r="A118" s="259"/>
      <c r="B118" s="311" t="str">
        <f>B101</f>
        <v>Atezolizumab</v>
      </c>
      <c r="C118" s="116">
        <f>'Capacity inputs'!F17*'Capacity inputs'!J17</f>
        <v>0</v>
      </c>
      <c r="D118" s="116">
        <f t="shared" ref="D118:I118" si="98">D66*$C118/60</f>
        <v>0</v>
      </c>
      <c r="E118" s="116">
        <f t="shared" si="98"/>
        <v>0</v>
      </c>
      <c r="F118" s="116">
        <f t="shared" si="98"/>
        <v>0</v>
      </c>
      <c r="G118" s="116">
        <f t="shared" si="98"/>
        <v>0</v>
      </c>
      <c r="H118" s="116">
        <f t="shared" si="98"/>
        <v>0</v>
      </c>
      <c r="I118" s="116">
        <f t="shared" si="98"/>
        <v>0</v>
      </c>
      <c r="J118" s="259"/>
      <c r="K118" s="195"/>
      <c r="L118" s="195"/>
      <c r="M118" s="195"/>
      <c r="N118" s="195"/>
      <c r="O118" s="195"/>
      <c r="P118" s="195"/>
      <c r="Q118" s="195"/>
      <c r="R118" s="121"/>
      <c r="T118" s="121"/>
      <c r="AH118" s="258"/>
      <c r="AI118" s="258"/>
      <c r="AJ118" s="258"/>
      <c r="AK118" s="258"/>
      <c r="AL118" s="258"/>
    </row>
    <row r="119" spans="1:38" x14ac:dyDescent="0.25">
      <c r="A119" s="259"/>
      <c r="B119" s="251" t="s">
        <v>2210</v>
      </c>
      <c r="C119" s="943"/>
      <c r="D119" s="168">
        <f>SUM(D114:D118)</f>
        <v>0</v>
      </c>
      <c r="E119" s="168">
        <f>SUM(E114:E118)</f>
        <v>0</v>
      </c>
      <c r="F119" s="168">
        <f t="shared" ref="F119" si="99">SUM(F114:F118)</f>
        <v>0</v>
      </c>
      <c r="G119" s="168">
        <f t="shared" ref="G119" si="100">SUM(G114:G118)</f>
        <v>0</v>
      </c>
      <c r="H119" s="168">
        <f t="shared" ref="H119" si="101">SUM(H114:H118)</f>
        <v>0</v>
      </c>
      <c r="I119" s="168">
        <f t="shared" ref="I119" si="102">SUM(I114:I118)</f>
        <v>0</v>
      </c>
      <c r="J119" s="259"/>
      <c r="K119" s="195"/>
      <c r="L119" s="195"/>
      <c r="M119" s="195"/>
      <c r="N119" s="195"/>
      <c r="O119" s="195"/>
      <c r="P119" s="195"/>
      <c r="Q119" s="195"/>
      <c r="R119" s="121"/>
      <c r="T119" s="121"/>
      <c r="AH119" s="258"/>
      <c r="AI119" s="258"/>
      <c r="AJ119" s="258"/>
      <c r="AK119" s="258"/>
      <c r="AL119" s="258"/>
    </row>
    <row r="120" spans="1:38" x14ac:dyDescent="0.25">
      <c r="A120" s="259"/>
      <c r="B120" s="311" t="s">
        <v>2201</v>
      </c>
      <c r="C120" s="116">
        <f>'Capacity inputs'!F17*'Capacity inputs'!H17</f>
        <v>0</v>
      </c>
      <c r="D120" s="116">
        <f t="shared" ref="D120:I120" si="103">D68*$C120/60</f>
        <v>0</v>
      </c>
      <c r="E120" s="116">
        <f t="shared" si="103"/>
        <v>0</v>
      </c>
      <c r="F120" s="116">
        <f t="shared" si="103"/>
        <v>0</v>
      </c>
      <c r="G120" s="116">
        <f t="shared" si="103"/>
        <v>0</v>
      </c>
      <c r="H120" s="116">
        <f t="shared" si="103"/>
        <v>0</v>
      </c>
      <c r="I120" s="116">
        <f t="shared" si="103"/>
        <v>0</v>
      </c>
      <c r="J120" s="259"/>
      <c r="K120" s="195"/>
      <c r="L120" s="195"/>
      <c r="M120" s="195"/>
      <c r="N120" s="195"/>
      <c r="O120" s="195"/>
      <c r="P120" s="195"/>
      <c r="Q120" s="195"/>
      <c r="R120" s="121"/>
      <c r="T120" s="121"/>
      <c r="AH120" s="258"/>
      <c r="AI120" s="258"/>
      <c r="AJ120" s="258"/>
      <c r="AK120" s="258"/>
      <c r="AL120" s="258"/>
    </row>
    <row r="121" spans="1:38" x14ac:dyDescent="0.25">
      <c r="A121" s="259"/>
      <c r="B121" s="311" t="s">
        <v>2202</v>
      </c>
      <c r="C121" s="116">
        <f>'Capacity inputs'!F17*'Capacity inputs'!I17</f>
        <v>0</v>
      </c>
      <c r="D121" s="116">
        <f t="shared" ref="D121:I121" si="104">D69*$C121/60</f>
        <v>0</v>
      </c>
      <c r="E121" s="116">
        <f t="shared" si="104"/>
        <v>0</v>
      </c>
      <c r="F121" s="116">
        <f t="shared" si="104"/>
        <v>0</v>
      </c>
      <c r="G121" s="116">
        <f t="shared" si="104"/>
        <v>0</v>
      </c>
      <c r="H121" s="116">
        <f t="shared" si="104"/>
        <v>0</v>
      </c>
      <c r="I121" s="116">
        <f t="shared" si="104"/>
        <v>0</v>
      </c>
      <c r="J121" s="259"/>
      <c r="K121" s="195"/>
      <c r="L121" s="195"/>
      <c r="M121" s="195"/>
      <c r="N121" s="195"/>
      <c r="O121" s="195"/>
      <c r="P121" s="195"/>
      <c r="Q121" s="195"/>
      <c r="R121" s="121"/>
      <c r="T121" s="121"/>
      <c r="AH121" s="258"/>
      <c r="AI121" s="258"/>
      <c r="AJ121" s="258"/>
      <c r="AK121" s="258"/>
      <c r="AL121" s="258"/>
    </row>
    <row r="122" spans="1:38" x14ac:dyDescent="0.25">
      <c r="A122" s="259"/>
      <c r="B122" s="311" t="s">
        <v>2260</v>
      </c>
      <c r="C122" s="116">
        <f>'Capacity inputs'!F17*'Capacity inputs'!J17</f>
        <v>0</v>
      </c>
      <c r="D122" s="116">
        <f t="shared" ref="D122:I122" si="105">D70*$C122/60</f>
        <v>0</v>
      </c>
      <c r="E122" s="116">
        <f t="shared" si="105"/>
        <v>0</v>
      </c>
      <c r="F122" s="116">
        <f t="shared" si="105"/>
        <v>0</v>
      </c>
      <c r="G122" s="116">
        <f t="shared" si="105"/>
        <v>0</v>
      </c>
      <c r="H122" s="116">
        <f t="shared" si="105"/>
        <v>0</v>
      </c>
      <c r="I122" s="116">
        <f t="shared" si="105"/>
        <v>0</v>
      </c>
      <c r="J122" s="259"/>
      <c r="K122" s="195"/>
      <c r="L122" s="195"/>
      <c r="M122" s="195"/>
      <c r="N122" s="195"/>
      <c r="O122" s="195"/>
      <c r="P122" s="195"/>
      <c r="Q122" s="195"/>
      <c r="R122" s="121"/>
      <c r="T122" s="121"/>
      <c r="AH122" s="258"/>
      <c r="AI122" s="258"/>
      <c r="AJ122" s="258"/>
      <c r="AK122" s="258"/>
      <c r="AL122" s="258"/>
    </row>
    <row r="123" spans="1:38" x14ac:dyDescent="0.25">
      <c r="A123" s="259"/>
      <c r="B123" s="311" t="s">
        <v>2192</v>
      </c>
      <c r="C123" s="116">
        <f>'Capacity inputs'!F17*'Capacity inputs'!K17</f>
        <v>0</v>
      </c>
      <c r="D123" s="116">
        <f t="shared" ref="D123:I123" si="106">D71*$C123/60</f>
        <v>0</v>
      </c>
      <c r="E123" s="116">
        <f t="shared" si="106"/>
        <v>0</v>
      </c>
      <c r="F123" s="116">
        <f t="shared" si="106"/>
        <v>0</v>
      </c>
      <c r="G123" s="116">
        <f t="shared" si="106"/>
        <v>0</v>
      </c>
      <c r="H123" s="116">
        <f t="shared" si="106"/>
        <v>0</v>
      </c>
      <c r="I123" s="116">
        <f t="shared" si="106"/>
        <v>0</v>
      </c>
      <c r="J123" s="259"/>
      <c r="K123" s="195"/>
      <c r="L123" s="195"/>
      <c r="M123" s="195"/>
      <c r="N123" s="195"/>
      <c r="O123" s="195"/>
      <c r="P123" s="195"/>
      <c r="Q123" s="195"/>
      <c r="R123" s="121"/>
      <c r="T123" s="121"/>
      <c r="AH123" s="258"/>
      <c r="AI123" s="258"/>
      <c r="AJ123" s="258"/>
      <c r="AK123" s="258"/>
      <c r="AL123" s="258"/>
    </row>
    <row r="124" spans="1:38" x14ac:dyDescent="0.25">
      <c r="A124" s="259"/>
      <c r="B124" s="251" t="s">
        <v>2261</v>
      </c>
      <c r="C124" s="943"/>
      <c r="D124" s="168">
        <f>SUM(D120:D123)</f>
        <v>0</v>
      </c>
      <c r="E124" s="168">
        <f>SUM(E120:E123)</f>
        <v>0</v>
      </c>
      <c r="F124" s="168">
        <f t="shared" ref="F124" si="107">SUM(F120:F123)</f>
        <v>0</v>
      </c>
      <c r="G124" s="168">
        <f t="shared" ref="G124" si="108">SUM(G120:G123)</f>
        <v>0</v>
      </c>
      <c r="H124" s="168">
        <f t="shared" ref="H124" si="109">SUM(H120:H123)</f>
        <v>0</v>
      </c>
      <c r="I124" s="168">
        <f t="shared" ref="I124" si="110">SUM(I120:I123)</f>
        <v>0</v>
      </c>
      <c r="J124" s="259"/>
      <c r="K124" s="195"/>
      <c r="L124" s="195"/>
      <c r="M124" s="195"/>
      <c r="N124" s="195"/>
      <c r="O124" s="195"/>
      <c r="P124" s="195"/>
      <c r="Q124" s="195"/>
      <c r="R124" s="121"/>
      <c r="T124" s="121"/>
      <c r="AH124" s="258"/>
      <c r="AI124" s="258"/>
      <c r="AJ124" s="258"/>
      <c r="AK124" s="258"/>
      <c r="AL124" s="258"/>
    </row>
    <row r="125" spans="1:38" x14ac:dyDescent="0.25">
      <c r="A125" s="259"/>
      <c r="B125" s="311" t="s">
        <v>2191</v>
      </c>
      <c r="C125" s="116">
        <f>'Capacity inputs'!F17*'Capacity inputs'!L17</f>
        <v>0</v>
      </c>
      <c r="D125" s="116">
        <f>D73*$C125/60</f>
        <v>0</v>
      </c>
      <c r="E125" s="116">
        <f t="shared" ref="E125:I125" si="111">E73*$C125/60</f>
        <v>0</v>
      </c>
      <c r="F125" s="116">
        <f t="shared" si="111"/>
        <v>0</v>
      </c>
      <c r="G125" s="116">
        <f t="shared" si="111"/>
        <v>0</v>
      </c>
      <c r="H125" s="116">
        <f t="shared" si="111"/>
        <v>0</v>
      </c>
      <c r="I125" s="116">
        <f t="shared" si="111"/>
        <v>0</v>
      </c>
      <c r="J125" s="259"/>
      <c r="K125" s="195"/>
      <c r="L125" s="195"/>
      <c r="M125" s="195"/>
      <c r="N125" s="195"/>
      <c r="O125" s="195"/>
      <c r="P125" s="195"/>
      <c r="Q125" s="195"/>
      <c r="R125" s="121"/>
      <c r="T125" s="121"/>
      <c r="AH125" s="258"/>
      <c r="AI125" s="258"/>
      <c r="AJ125" s="258"/>
      <c r="AK125" s="258"/>
      <c r="AL125" s="258"/>
    </row>
    <row r="126" spans="1:38" x14ac:dyDescent="0.25">
      <c r="A126" s="259"/>
      <c r="B126" s="252"/>
      <c r="C126" s="944"/>
      <c r="D126" s="168">
        <f>D119+D124+D125</f>
        <v>0</v>
      </c>
      <c r="E126" s="168">
        <f>E119+E124+E125</f>
        <v>0</v>
      </c>
      <c r="F126" s="168">
        <f t="shared" ref="F126" si="112">F119+F124+F125</f>
        <v>0</v>
      </c>
      <c r="G126" s="168">
        <f t="shared" ref="G126" si="113">G119+G124+G125</f>
        <v>0</v>
      </c>
      <c r="H126" s="168">
        <f t="shared" ref="H126" si="114">H119+H124+H125</f>
        <v>0</v>
      </c>
      <c r="I126" s="168">
        <f t="shared" ref="I126" si="115">I119+I124+I125</f>
        <v>0</v>
      </c>
      <c r="J126" s="259"/>
      <c r="K126" s="195"/>
      <c r="L126" s="195"/>
      <c r="M126" s="195"/>
      <c r="N126" s="195"/>
      <c r="O126" s="195"/>
      <c r="P126" s="195"/>
      <c r="Q126" s="195"/>
      <c r="R126" s="121"/>
      <c r="S126" s="121"/>
      <c r="T126" s="121"/>
      <c r="U126" s="121"/>
      <c r="V126" s="121"/>
      <c r="W126" s="121"/>
      <c r="X126" s="121"/>
      <c r="AH126" s="258"/>
      <c r="AI126" s="258"/>
      <c r="AJ126" s="258"/>
      <c r="AK126" s="258"/>
      <c r="AL126" s="258"/>
    </row>
    <row r="127" spans="1:38" x14ac:dyDescent="0.25">
      <c r="A127" s="259"/>
      <c r="B127" s="279"/>
      <c r="C127" s="945"/>
      <c r="D127" s="257" t="s">
        <v>765</v>
      </c>
      <c r="E127" s="168">
        <f>E126-$D$126</f>
        <v>0</v>
      </c>
      <c r="F127" s="168">
        <f>F126-$D$126</f>
        <v>0</v>
      </c>
      <c r="G127" s="168">
        <f>G126-$D$126</f>
        <v>0</v>
      </c>
      <c r="H127" s="168">
        <f>H126-$D$126</f>
        <v>0</v>
      </c>
      <c r="I127" s="168">
        <f>I126-$D$126</f>
        <v>0</v>
      </c>
      <c r="J127" s="259"/>
      <c r="K127" s="195"/>
      <c r="L127" s="195"/>
      <c r="M127" s="195"/>
      <c r="N127" s="195"/>
      <c r="O127" s="195"/>
      <c r="P127" s="195"/>
      <c r="Q127" s="195"/>
      <c r="R127" s="121"/>
      <c r="S127" s="121"/>
      <c r="T127" s="121"/>
      <c r="U127" s="121"/>
      <c r="V127" s="121"/>
      <c r="W127" s="121"/>
      <c r="X127" s="121"/>
      <c r="AH127" s="258"/>
      <c r="AI127" s="258"/>
      <c r="AJ127" s="258"/>
      <c r="AK127" s="258"/>
      <c r="AL127" s="258"/>
    </row>
    <row r="128" spans="1:38" x14ac:dyDescent="0.25">
      <c r="A128" s="259"/>
      <c r="B128" s="291"/>
      <c r="C128" s="946"/>
      <c r="D128" s="195"/>
      <c r="E128" s="195"/>
      <c r="F128" s="195"/>
      <c r="G128" s="195"/>
      <c r="H128" s="195"/>
      <c r="I128" s="195"/>
      <c r="J128" s="259"/>
      <c r="K128" s="259"/>
      <c r="L128" s="195"/>
      <c r="M128" s="195"/>
      <c r="N128" s="195"/>
      <c r="O128" s="195"/>
      <c r="P128" s="195"/>
      <c r="Q128" s="195"/>
      <c r="R128" s="121"/>
      <c r="S128" s="121"/>
      <c r="T128" s="121"/>
      <c r="U128" s="121"/>
      <c r="V128" s="121"/>
      <c r="W128" s="121"/>
      <c r="X128" s="121"/>
      <c r="AH128" s="258"/>
      <c r="AI128" s="258"/>
      <c r="AJ128" s="258"/>
      <c r="AK128" s="258"/>
      <c r="AL128" s="258"/>
    </row>
    <row r="129" spans="1:38" x14ac:dyDescent="0.25">
      <c r="A129" s="550"/>
      <c r="B129" s="556" t="s">
        <v>766</v>
      </c>
      <c r="C129" s="949"/>
      <c r="D129" s="552"/>
      <c r="E129" s="551"/>
      <c r="F129" s="553"/>
      <c r="G129" s="554"/>
      <c r="H129" s="554"/>
      <c r="I129" s="555"/>
      <c r="J129" s="550"/>
      <c r="K129" s="550"/>
      <c r="L129" s="550"/>
      <c r="M129" s="550"/>
      <c r="N129" s="550"/>
      <c r="O129" s="550"/>
      <c r="P129" s="550"/>
      <c r="Q129" s="550"/>
      <c r="R129" s="121"/>
      <c r="S129" s="121"/>
      <c r="T129" s="121"/>
      <c r="U129" s="121"/>
      <c r="V129" s="121"/>
      <c r="W129" s="121"/>
      <c r="X129" s="121"/>
      <c r="AH129" s="258"/>
      <c r="AI129" s="258"/>
      <c r="AJ129" s="258"/>
      <c r="AK129" s="258"/>
      <c r="AL129" s="258"/>
    </row>
    <row r="130" spans="1:38" x14ac:dyDescent="0.25">
      <c r="A130" s="261"/>
      <c r="B130" s="346" t="s">
        <v>767</v>
      </c>
      <c r="C130" s="950"/>
      <c r="D130" s="347"/>
      <c r="E130" s="347"/>
      <c r="F130" s="347"/>
      <c r="G130" s="347"/>
      <c r="H130" s="347"/>
      <c r="I130" s="198"/>
      <c r="J130" s="261"/>
      <c r="K130" s="261"/>
      <c r="L130" s="261"/>
      <c r="M130" s="261"/>
      <c r="N130" s="261"/>
      <c r="O130" s="261"/>
      <c r="P130" s="261"/>
      <c r="Q130" s="261"/>
      <c r="R130" s="121"/>
      <c r="T130" s="121"/>
    </row>
    <row r="131" spans="1:38" ht="45" x14ac:dyDescent="0.25">
      <c r="A131" s="261"/>
      <c r="B131" s="251" t="s">
        <v>703</v>
      </c>
      <c r="C131" s="948" t="s">
        <v>746</v>
      </c>
      <c r="D131" s="802" t="s">
        <v>737</v>
      </c>
      <c r="E131" s="229" t="s">
        <v>591</v>
      </c>
      <c r="F131" s="229" t="s">
        <v>592</v>
      </c>
      <c r="G131" s="152" t="s">
        <v>714</v>
      </c>
      <c r="H131" s="152" t="s">
        <v>715</v>
      </c>
      <c r="I131" s="229" t="s">
        <v>716</v>
      </c>
      <c r="J131" s="261"/>
      <c r="K131" s="261"/>
      <c r="L131" s="261"/>
      <c r="M131" s="261"/>
      <c r="N131" s="261"/>
      <c r="O131" s="261"/>
      <c r="P131" s="261"/>
      <c r="Q131" s="261"/>
      <c r="R131" s="121"/>
      <c r="T131" s="121"/>
    </row>
    <row r="132" spans="1:38" x14ac:dyDescent="0.25">
      <c r="A132" s="261"/>
      <c r="B132" s="311" t="str">
        <f>B114</f>
        <v>Enfortumab vedotin with pembrolizumab</v>
      </c>
      <c r="C132" s="116">
        <f>'Capacity inputs'!F18</f>
        <v>0</v>
      </c>
      <c r="D132" s="116">
        <f>D62*$C132/60</f>
        <v>0</v>
      </c>
      <c r="E132" s="116">
        <f t="shared" ref="E132:I132" si="116">E62*$C132/60</f>
        <v>0</v>
      </c>
      <c r="F132" s="116">
        <f t="shared" si="116"/>
        <v>0</v>
      </c>
      <c r="G132" s="116">
        <f t="shared" si="116"/>
        <v>0</v>
      </c>
      <c r="H132" s="116">
        <f t="shared" si="116"/>
        <v>0</v>
      </c>
      <c r="I132" s="116">
        <f t="shared" si="116"/>
        <v>0</v>
      </c>
      <c r="J132" s="261"/>
      <c r="K132" s="261"/>
      <c r="L132" s="261"/>
      <c r="M132" s="261"/>
      <c r="N132" s="261"/>
      <c r="O132" s="261"/>
      <c r="P132" s="261"/>
      <c r="Q132" s="261"/>
      <c r="R132" s="121"/>
      <c r="T132" s="121"/>
    </row>
    <row r="133" spans="1:38" x14ac:dyDescent="0.25">
      <c r="A133" s="261"/>
      <c r="B133" s="311" t="str">
        <f>B115</f>
        <v>Enfortumab vedotin with pembrolizumab - year 2</v>
      </c>
      <c r="C133" s="116">
        <f>'Capacity inputs'!F18</f>
        <v>0</v>
      </c>
      <c r="D133" s="116">
        <f t="shared" ref="D133:I133" si="117">D63*$C133/60</f>
        <v>0</v>
      </c>
      <c r="E133" s="116">
        <f t="shared" si="117"/>
        <v>0</v>
      </c>
      <c r="F133" s="116">
        <f t="shared" si="117"/>
        <v>0</v>
      </c>
      <c r="G133" s="116">
        <f t="shared" si="117"/>
        <v>0</v>
      </c>
      <c r="H133" s="116">
        <f t="shared" si="117"/>
        <v>0</v>
      </c>
      <c r="I133" s="116">
        <f t="shared" si="117"/>
        <v>0</v>
      </c>
      <c r="J133" s="261"/>
      <c r="K133" s="261"/>
      <c r="L133" s="261"/>
      <c r="M133" s="261"/>
      <c r="N133" s="261"/>
      <c r="O133" s="261"/>
      <c r="P133" s="261"/>
      <c r="Q133" s="261"/>
      <c r="R133" s="121"/>
      <c r="T133" s="121"/>
    </row>
    <row r="134" spans="1:38" x14ac:dyDescent="0.25">
      <c r="A134" s="261"/>
      <c r="B134" s="311" t="str">
        <f>B116</f>
        <v>Gemcitabine &amp; cisplatin</v>
      </c>
      <c r="C134" s="116">
        <f>'Capacity inputs'!F18</f>
        <v>0</v>
      </c>
      <c r="D134" s="116">
        <f t="shared" ref="D134:I134" si="118">D64*$C134/60</f>
        <v>0</v>
      </c>
      <c r="E134" s="116">
        <f t="shared" si="118"/>
        <v>0</v>
      </c>
      <c r="F134" s="116">
        <f t="shared" si="118"/>
        <v>0</v>
      </c>
      <c r="G134" s="116">
        <f t="shared" si="118"/>
        <v>0</v>
      </c>
      <c r="H134" s="116">
        <f t="shared" si="118"/>
        <v>0</v>
      </c>
      <c r="I134" s="116">
        <f t="shared" si="118"/>
        <v>0</v>
      </c>
      <c r="J134" s="261"/>
      <c r="K134" s="261"/>
      <c r="L134" s="261"/>
      <c r="M134" s="261"/>
      <c r="N134" s="261"/>
      <c r="O134" s="261"/>
      <c r="P134" s="261"/>
      <c r="Q134" s="261"/>
      <c r="R134" s="121"/>
      <c r="T134" s="121"/>
    </row>
    <row r="135" spans="1:38" x14ac:dyDescent="0.25">
      <c r="A135" s="261"/>
      <c r="B135" s="311" t="str">
        <f>B117</f>
        <v xml:space="preserve">Gemcitabine &amp; carboplatin </v>
      </c>
      <c r="C135" s="116">
        <f>'Capacity inputs'!F18</f>
        <v>0</v>
      </c>
      <c r="D135" s="116">
        <f t="shared" ref="D135:I135" si="119">D65*$C135/60</f>
        <v>0</v>
      </c>
      <c r="E135" s="116">
        <f t="shared" si="119"/>
        <v>0</v>
      </c>
      <c r="F135" s="116">
        <f t="shared" si="119"/>
        <v>0</v>
      </c>
      <c r="G135" s="116">
        <f t="shared" si="119"/>
        <v>0</v>
      </c>
      <c r="H135" s="116">
        <f t="shared" si="119"/>
        <v>0</v>
      </c>
      <c r="I135" s="116">
        <f t="shared" si="119"/>
        <v>0</v>
      </c>
      <c r="J135" s="261"/>
      <c r="K135" s="261"/>
      <c r="L135" s="261"/>
      <c r="M135" s="261"/>
      <c r="N135" s="261"/>
      <c r="O135" s="261"/>
      <c r="P135" s="261"/>
      <c r="Q135" s="261"/>
      <c r="R135" s="121"/>
      <c r="T135" s="121"/>
    </row>
    <row r="136" spans="1:38" x14ac:dyDescent="0.25">
      <c r="A136" s="261"/>
      <c r="B136" s="311" t="str">
        <f>B118</f>
        <v>Atezolizumab</v>
      </c>
      <c r="C136" s="116">
        <f>'Capacity inputs'!F18</f>
        <v>0</v>
      </c>
      <c r="D136" s="116">
        <f t="shared" ref="D136:I136" si="120">D66*$C136/60</f>
        <v>0</v>
      </c>
      <c r="E136" s="116">
        <f t="shared" si="120"/>
        <v>0</v>
      </c>
      <c r="F136" s="116">
        <f t="shared" si="120"/>
        <v>0</v>
      </c>
      <c r="G136" s="116">
        <f t="shared" si="120"/>
        <v>0</v>
      </c>
      <c r="H136" s="116">
        <f t="shared" si="120"/>
        <v>0</v>
      </c>
      <c r="I136" s="116">
        <f t="shared" si="120"/>
        <v>0</v>
      </c>
      <c r="J136" s="261"/>
      <c r="K136" s="261"/>
      <c r="L136" s="261"/>
      <c r="M136" s="261"/>
      <c r="N136" s="261"/>
      <c r="O136" s="261"/>
      <c r="P136" s="261"/>
      <c r="Q136" s="261"/>
      <c r="R136" s="121"/>
      <c r="T136" s="121"/>
    </row>
    <row r="137" spans="1:38" x14ac:dyDescent="0.25">
      <c r="A137" s="261"/>
      <c r="B137" s="251" t="s">
        <v>2210</v>
      </c>
      <c r="C137" s="943"/>
      <c r="D137" s="168">
        <f>SUM(D132:D136)</f>
        <v>0</v>
      </c>
      <c r="E137" s="168">
        <f>SUM(E132:E136)</f>
        <v>0</v>
      </c>
      <c r="F137" s="168">
        <f t="shared" ref="F137" si="121">SUM(F132:F136)</f>
        <v>0</v>
      </c>
      <c r="G137" s="168">
        <f t="shared" ref="G137" si="122">SUM(G132:G136)</f>
        <v>0</v>
      </c>
      <c r="H137" s="168">
        <f t="shared" ref="H137" si="123">SUM(H132:H136)</f>
        <v>0</v>
      </c>
      <c r="I137" s="168">
        <f t="shared" ref="I137" si="124">SUM(I132:I136)</f>
        <v>0</v>
      </c>
      <c r="J137" s="261"/>
      <c r="K137" s="261"/>
      <c r="L137" s="261"/>
      <c r="M137" s="261"/>
      <c r="N137" s="261"/>
      <c r="O137" s="261"/>
      <c r="P137" s="261"/>
      <c r="Q137" s="261"/>
      <c r="R137" s="121"/>
      <c r="T137" s="121"/>
    </row>
    <row r="138" spans="1:38" x14ac:dyDescent="0.25">
      <c r="A138" s="261"/>
      <c r="B138" s="311" t="s">
        <v>2201</v>
      </c>
      <c r="C138" s="116">
        <f>'Capacity inputs'!F18</f>
        <v>0</v>
      </c>
      <c r="D138" s="116">
        <f t="shared" ref="D138:I138" si="125">D68*$C138/60</f>
        <v>0</v>
      </c>
      <c r="E138" s="116">
        <f t="shared" si="125"/>
        <v>0</v>
      </c>
      <c r="F138" s="116">
        <f t="shared" si="125"/>
        <v>0</v>
      </c>
      <c r="G138" s="116">
        <f t="shared" si="125"/>
        <v>0</v>
      </c>
      <c r="H138" s="116">
        <f t="shared" si="125"/>
        <v>0</v>
      </c>
      <c r="I138" s="116">
        <f t="shared" si="125"/>
        <v>0</v>
      </c>
      <c r="J138" s="261"/>
      <c r="K138" s="261"/>
      <c r="L138" s="261"/>
      <c r="M138" s="261"/>
      <c r="N138" s="261"/>
      <c r="O138" s="261"/>
      <c r="P138" s="261"/>
      <c r="Q138" s="261"/>
      <c r="R138" s="121"/>
      <c r="T138" s="121"/>
    </row>
    <row r="139" spans="1:38" x14ac:dyDescent="0.25">
      <c r="A139" s="261"/>
      <c r="B139" s="311" t="s">
        <v>2202</v>
      </c>
      <c r="C139" s="116">
        <f>'Capacity inputs'!F18</f>
        <v>0</v>
      </c>
      <c r="D139" s="116">
        <f t="shared" ref="D139:I139" si="126">D69*$C139/60</f>
        <v>0</v>
      </c>
      <c r="E139" s="116">
        <f>E69*$C139/60</f>
        <v>0</v>
      </c>
      <c r="F139" s="116">
        <f t="shared" si="126"/>
        <v>0</v>
      </c>
      <c r="G139" s="116">
        <f t="shared" si="126"/>
        <v>0</v>
      </c>
      <c r="H139" s="116">
        <f t="shared" si="126"/>
        <v>0</v>
      </c>
      <c r="I139" s="116">
        <f t="shared" si="126"/>
        <v>0</v>
      </c>
      <c r="J139" s="261"/>
      <c r="K139" s="261"/>
      <c r="L139" s="261"/>
      <c r="M139" s="261"/>
      <c r="N139" s="261"/>
      <c r="O139" s="261"/>
      <c r="P139" s="261"/>
      <c r="Q139" s="261"/>
      <c r="R139" s="121"/>
      <c r="T139" s="121"/>
    </row>
    <row r="140" spans="1:38" x14ac:dyDescent="0.25">
      <c r="A140" s="261"/>
      <c r="B140" s="311" t="s">
        <v>2260</v>
      </c>
      <c r="C140" s="116">
        <f>'Capacity inputs'!F18</f>
        <v>0</v>
      </c>
      <c r="D140" s="116">
        <f t="shared" ref="D140:I140" si="127">D70*$C140/60</f>
        <v>0</v>
      </c>
      <c r="E140" s="116">
        <f t="shared" si="127"/>
        <v>0</v>
      </c>
      <c r="F140" s="116">
        <f t="shared" si="127"/>
        <v>0</v>
      </c>
      <c r="G140" s="116">
        <f t="shared" si="127"/>
        <v>0</v>
      </c>
      <c r="H140" s="116">
        <f t="shared" si="127"/>
        <v>0</v>
      </c>
      <c r="I140" s="116">
        <f t="shared" si="127"/>
        <v>0</v>
      </c>
      <c r="J140" s="261"/>
      <c r="K140" s="261"/>
      <c r="L140" s="261"/>
      <c r="M140" s="261"/>
      <c r="N140" s="261"/>
      <c r="O140" s="261"/>
      <c r="P140" s="261"/>
      <c r="Q140" s="261"/>
      <c r="R140" s="121"/>
      <c r="T140" s="121"/>
    </row>
    <row r="141" spans="1:38" x14ac:dyDescent="0.25">
      <c r="A141" s="261"/>
      <c r="B141" s="311" t="s">
        <v>2192</v>
      </c>
      <c r="C141" s="116">
        <f>'Capacity inputs'!F18</f>
        <v>0</v>
      </c>
      <c r="D141" s="116">
        <f t="shared" ref="D141:I141" si="128">D71*$C141/60</f>
        <v>0</v>
      </c>
      <c r="E141" s="116">
        <f t="shared" si="128"/>
        <v>0</v>
      </c>
      <c r="F141" s="116">
        <f t="shared" si="128"/>
        <v>0</v>
      </c>
      <c r="G141" s="116">
        <f t="shared" si="128"/>
        <v>0</v>
      </c>
      <c r="H141" s="116">
        <f t="shared" si="128"/>
        <v>0</v>
      </c>
      <c r="I141" s="116">
        <f t="shared" si="128"/>
        <v>0</v>
      </c>
      <c r="J141" s="261"/>
      <c r="K141" s="261"/>
      <c r="L141" s="261"/>
      <c r="M141" s="261"/>
      <c r="N141" s="261"/>
      <c r="O141" s="261"/>
      <c r="P141" s="261"/>
      <c r="Q141" s="261"/>
      <c r="R141" s="121"/>
      <c r="T141" s="121"/>
    </row>
    <row r="142" spans="1:38" x14ac:dyDescent="0.25">
      <c r="A142" s="261"/>
      <c r="B142" s="251" t="s">
        <v>2261</v>
      </c>
      <c r="C142" s="943"/>
      <c r="D142" s="168">
        <f>SUM(D138:D141)</f>
        <v>0</v>
      </c>
      <c r="E142" s="168">
        <f>SUM(E138:E141)</f>
        <v>0</v>
      </c>
      <c r="F142" s="168">
        <f t="shared" ref="F142" si="129">SUM(F138:F141)</f>
        <v>0</v>
      </c>
      <c r="G142" s="168">
        <f t="shared" ref="G142" si="130">SUM(G138:G141)</f>
        <v>0</v>
      </c>
      <c r="H142" s="168">
        <f t="shared" ref="H142" si="131">SUM(H138:H141)</f>
        <v>0</v>
      </c>
      <c r="I142" s="168">
        <f t="shared" ref="I142" si="132">SUM(I138:I141)</f>
        <v>0</v>
      </c>
      <c r="J142" s="261"/>
      <c r="K142" s="261"/>
      <c r="L142" s="261"/>
      <c r="M142" s="261"/>
      <c r="N142" s="261"/>
      <c r="O142" s="261"/>
      <c r="P142" s="261"/>
      <c r="Q142" s="261"/>
      <c r="R142" s="121"/>
      <c r="T142" s="121"/>
    </row>
    <row r="143" spans="1:38" x14ac:dyDescent="0.25">
      <c r="A143" s="261"/>
      <c r="B143" s="311" t="s">
        <v>2191</v>
      </c>
      <c r="C143" s="116">
        <f>'Capacity inputs'!F18</f>
        <v>0</v>
      </c>
      <c r="D143" s="116">
        <f t="shared" ref="D143:I143" si="133">D73*$C143/60</f>
        <v>0</v>
      </c>
      <c r="E143" s="116">
        <f t="shared" si="133"/>
        <v>0</v>
      </c>
      <c r="F143" s="116">
        <f t="shared" si="133"/>
        <v>0</v>
      </c>
      <c r="G143" s="116">
        <f t="shared" si="133"/>
        <v>0</v>
      </c>
      <c r="H143" s="116">
        <f t="shared" si="133"/>
        <v>0</v>
      </c>
      <c r="I143" s="116">
        <f t="shared" si="133"/>
        <v>0</v>
      </c>
      <c r="J143" s="261"/>
      <c r="K143" s="261"/>
      <c r="L143" s="261"/>
      <c r="M143" s="261"/>
      <c r="N143" s="261"/>
      <c r="O143" s="261"/>
      <c r="P143" s="261"/>
      <c r="Q143" s="261"/>
      <c r="R143" s="121"/>
      <c r="T143" s="121"/>
    </row>
    <row r="144" spans="1:38" x14ac:dyDescent="0.25">
      <c r="A144" s="261"/>
      <c r="B144" s="252"/>
      <c r="C144" s="951"/>
      <c r="D144" s="168">
        <f>D137+D142+D143</f>
        <v>0</v>
      </c>
      <c r="E144" s="168">
        <f>E137+E142+E143</f>
        <v>0</v>
      </c>
      <c r="F144" s="168">
        <f t="shared" ref="F144" si="134">F137+F142+F143</f>
        <v>0</v>
      </c>
      <c r="G144" s="168">
        <f t="shared" ref="G144" si="135">G137+G142+G143</f>
        <v>0</v>
      </c>
      <c r="H144" s="168">
        <f t="shared" ref="H144" si="136">H137+H142+H143</f>
        <v>0</v>
      </c>
      <c r="I144" s="168">
        <f t="shared" ref="I144" si="137">I137+I142+I143</f>
        <v>0</v>
      </c>
      <c r="J144" s="261"/>
      <c r="K144" s="261"/>
      <c r="L144" s="261"/>
      <c r="M144" s="261"/>
      <c r="N144" s="261"/>
      <c r="O144" s="261"/>
      <c r="P144" s="261"/>
      <c r="Q144" s="261"/>
      <c r="R144" s="121"/>
      <c r="T144" s="121"/>
    </row>
    <row r="145" spans="1:38" x14ac:dyDescent="0.25">
      <c r="A145" s="261"/>
      <c r="B145" s="279"/>
      <c r="C145" s="952"/>
      <c r="D145" s="257" t="s">
        <v>768</v>
      </c>
      <c r="E145" s="168">
        <f>E144-$D$144</f>
        <v>0</v>
      </c>
      <c r="F145" s="168">
        <f>F144-$D$144</f>
        <v>0</v>
      </c>
      <c r="G145" s="168">
        <f>G144-$D$144</f>
        <v>0</v>
      </c>
      <c r="H145" s="168">
        <f>H144-$D$144</f>
        <v>0</v>
      </c>
      <c r="I145" s="168">
        <f>I144-$D$144</f>
        <v>0</v>
      </c>
      <c r="J145" s="261"/>
      <c r="K145" s="261"/>
      <c r="L145" s="261"/>
      <c r="M145" s="261"/>
      <c r="N145" s="261"/>
      <c r="O145" s="261"/>
      <c r="P145" s="261"/>
      <c r="Q145" s="261"/>
      <c r="R145" s="121"/>
      <c r="T145" s="121"/>
    </row>
    <row r="146" spans="1:38" x14ac:dyDescent="0.25">
      <c r="A146" s="261"/>
      <c r="B146" s="292"/>
      <c r="C146" s="1001"/>
      <c r="D146" s="199"/>
      <c r="E146" s="199"/>
      <c r="F146" s="199"/>
      <c r="G146" s="199"/>
      <c r="H146" s="199"/>
      <c r="I146" s="199"/>
      <c r="J146" s="199"/>
      <c r="K146" s="199"/>
      <c r="L146" s="199"/>
      <c r="M146" s="199"/>
      <c r="N146" s="199"/>
      <c r="O146" s="199"/>
      <c r="P146" s="199"/>
      <c r="Q146" s="199"/>
      <c r="R146" s="121"/>
      <c r="S146" s="121"/>
      <c r="T146" s="121"/>
      <c r="U146" s="121"/>
      <c r="V146" s="121"/>
      <c r="W146" s="121"/>
      <c r="X146" s="121"/>
      <c r="AH146" s="258"/>
      <c r="AI146" s="258"/>
      <c r="AJ146" s="258"/>
      <c r="AK146" s="258"/>
      <c r="AL146" s="258"/>
    </row>
    <row r="147" spans="1:38" hidden="1" x14ac:dyDescent="0.25">
      <c r="A147" s="295"/>
      <c r="B147" s="296" t="s">
        <v>769</v>
      </c>
      <c r="C147" s="1000"/>
      <c r="D147" s="297"/>
      <c r="E147" s="298"/>
      <c r="F147" s="299"/>
      <c r="G147" s="300"/>
      <c r="H147" s="300"/>
      <c r="I147" s="340"/>
      <c r="J147" s="295"/>
      <c r="K147" s="295"/>
      <c r="L147" s="295"/>
      <c r="M147" s="295"/>
      <c r="N147" s="295"/>
      <c r="O147" s="295"/>
      <c r="P147" s="295"/>
      <c r="Q147" s="358"/>
      <c r="R147" s="121"/>
      <c r="S147" s="121"/>
      <c r="T147" s="121"/>
      <c r="U147" s="121"/>
      <c r="V147" s="121"/>
      <c r="W147" s="121"/>
      <c r="X147" s="121"/>
      <c r="AH147" s="258"/>
      <c r="AI147" s="258"/>
      <c r="AJ147" s="258"/>
      <c r="AK147" s="258"/>
      <c r="AL147" s="258"/>
    </row>
    <row r="148" spans="1:38" hidden="1" x14ac:dyDescent="0.25">
      <c r="A148" s="295"/>
      <c r="B148" s="350" t="s">
        <v>770</v>
      </c>
      <c r="C148" s="351"/>
      <c r="D148" s="351"/>
      <c r="E148" s="351"/>
      <c r="F148" s="351"/>
      <c r="G148" s="351"/>
      <c r="H148" s="351"/>
      <c r="I148" s="301"/>
      <c r="J148" s="358"/>
      <c r="K148" s="358"/>
      <c r="L148" s="295"/>
      <c r="M148" s="295"/>
      <c r="N148" s="295"/>
      <c r="O148" s="295"/>
      <c r="P148" s="295"/>
      <c r="Q148" s="358"/>
      <c r="R148" s="121"/>
      <c r="S148" s="121"/>
      <c r="T148" s="121"/>
      <c r="U148" s="121"/>
      <c r="V148" s="121"/>
      <c r="W148" s="121"/>
      <c r="X148" s="121"/>
      <c r="AH148" s="258"/>
      <c r="AI148" s="258"/>
      <c r="AJ148" s="258"/>
      <c r="AK148" s="258"/>
      <c r="AL148" s="258"/>
    </row>
    <row r="149" spans="1:38" ht="45" hidden="1" x14ac:dyDescent="0.25">
      <c r="A149" s="295"/>
      <c r="B149" s="251" t="s">
        <v>703</v>
      </c>
      <c r="C149" s="153" t="s">
        <v>751</v>
      </c>
      <c r="D149" s="802" t="s">
        <v>737</v>
      </c>
      <c r="E149" s="229" t="s">
        <v>591</v>
      </c>
      <c r="F149" s="229" t="s">
        <v>592</v>
      </c>
      <c r="G149" s="152" t="s">
        <v>714</v>
      </c>
      <c r="H149" s="152" t="s">
        <v>715</v>
      </c>
      <c r="I149" s="229" t="s">
        <v>716</v>
      </c>
      <c r="J149" s="295"/>
      <c r="K149" s="358"/>
      <c r="L149" s="295"/>
      <c r="M149" s="295"/>
      <c r="N149" s="295"/>
      <c r="O149" s="295"/>
      <c r="P149" s="295"/>
      <c r="Q149" s="358"/>
      <c r="R149" s="121"/>
      <c r="S149" s="121"/>
      <c r="T149" s="121"/>
      <c r="U149" s="121"/>
      <c r="V149" s="121"/>
      <c r="W149" s="121"/>
      <c r="X149" s="121"/>
      <c r="AH149" s="258"/>
      <c r="AI149" s="258"/>
      <c r="AJ149" s="258"/>
      <c r="AK149" s="258"/>
      <c r="AL149" s="258"/>
    </row>
    <row r="150" spans="1:38" hidden="1" x14ac:dyDescent="0.25">
      <c r="A150" s="295"/>
      <c r="B150" s="311" t="str">
        <f>B132</f>
        <v>Enfortumab vedotin with pembrolizumab</v>
      </c>
      <c r="C150" s="137">
        <f>'Capacity inputs'!G19</f>
        <v>0</v>
      </c>
      <c r="D150" s="116">
        <f>$C150*'Financial impact (cash)'!D13</f>
        <v>0</v>
      </c>
      <c r="E150" s="116">
        <f>$C150*'Financial impact (cash)'!E13</f>
        <v>0</v>
      </c>
      <c r="F150" s="116">
        <f>$C150*'Financial impact (cash)'!F13</f>
        <v>0</v>
      </c>
      <c r="G150" s="116">
        <f>$C150*'Financial impact (cash)'!G13</f>
        <v>0</v>
      </c>
      <c r="H150" s="116">
        <f>$C150*'Financial impact (cash)'!H13</f>
        <v>0</v>
      </c>
      <c r="I150" s="116">
        <f>$C150*'Financial impact (cash)'!I13</f>
        <v>0</v>
      </c>
      <c r="J150" s="295"/>
      <c r="K150" s="358"/>
      <c r="L150" s="295"/>
      <c r="M150" s="295"/>
      <c r="N150" s="295"/>
      <c r="O150" s="295"/>
      <c r="P150" s="295"/>
      <c r="Q150" s="358"/>
      <c r="R150" s="121"/>
      <c r="S150" s="121"/>
      <c r="T150" s="121"/>
      <c r="U150" s="121"/>
      <c r="V150" s="121"/>
      <c r="W150" s="121"/>
      <c r="X150" s="121"/>
      <c r="AH150" s="258"/>
      <c r="AI150" s="258"/>
      <c r="AJ150" s="258"/>
      <c r="AK150" s="258"/>
      <c r="AL150" s="258"/>
    </row>
    <row r="151" spans="1:38" hidden="1" x14ac:dyDescent="0.25">
      <c r="A151" s="295"/>
      <c r="B151" s="311" t="str">
        <f>B134</f>
        <v>Gemcitabine &amp; cisplatin</v>
      </c>
      <c r="C151" s="137">
        <f>'Capacity inputs'!H19</f>
        <v>0</v>
      </c>
      <c r="D151" s="116">
        <f>$C151*'Financial impact (cash)'!D15</f>
        <v>0</v>
      </c>
      <c r="E151" s="116">
        <f>$C151*'Financial impact (cash)'!E15</f>
        <v>0</v>
      </c>
      <c r="F151" s="116">
        <f>$C151*'Financial impact (cash)'!F15</f>
        <v>0</v>
      </c>
      <c r="G151" s="116">
        <f>$C151*'Financial impact (cash)'!G15</f>
        <v>0</v>
      </c>
      <c r="H151" s="116">
        <f>$C151*'Financial impact (cash)'!H15</f>
        <v>0</v>
      </c>
      <c r="I151" s="116">
        <f>$C151*'Financial impact (cash)'!I15</f>
        <v>0</v>
      </c>
      <c r="J151" s="295"/>
      <c r="K151" s="358"/>
      <c r="L151" s="295"/>
      <c r="M151" s="295"/>
      <c r="N151" s="295"/>
      <c r="O151" s="295"/>
      <c r="P151" s="295"/>
      <c r="Q151" s="358"/>
      <c r="R151" s="121"/>
      <c r="S151" s="121"/>
      <c r="T151" s="121"/>
      <c r="U151" s="121"/>
      <c r="V151" s="121"/>
      <c r="W151" s="121"/>
      <c r="X151" s="121"/>
      <c r="AH151" s="258"/>
      <c r="AI151" s="258"/>
      <c r="AJ151" s="258"/>
      <c r="AK151" s="258"/>
      <c r="AL151" s="258"/>
    </row>
    <row r="152" spans="1:38" hidden="1" x14ac:dyDescent="0.25">
      <c r="A152" s="295"/>
      <c r="B152" s="311" t="str">
        <f>B135</f>
        <v xml:space="preserve">Gemcitabine &amp; carboplatin </v>
      </c>
      <c r="C152" s="137">
        <f>'Capacity inputs'!I19</f>
        <v>0</v>
      </c>
      <c r="D152" s="116">
        <f>$C152*'Financial impact (cash)'!D16</f>
        <v>0</v>
      </c>
      <c r="E152" s="116">
        <f>$C152*'Financial impact (cash)'!E16</f>
        <v>0</v>
      </c>
      <c r="F152" s="116">
        <f>$C152*'Financial impact (cash)'!F16</f>
        <v>0</v>
      </c>
      <c r="G152" s="116">
        <f>$C152*'Financial impact (cash)'!G16</f>
        <v>0</v>
      </c>
      <c r="H152" s="116">
        <f>$C152*'Financial impact (cash)'!H16</f>
        <v>0</v>
      </c>
      <c r="I152" s="116">
        <f>$C152*'Financial impact (cash)'!I16</f>
        <v>0</v>
      </c>
      <c r="J152" s="295"/>
      <c r="K152" s="358"/>
      <c r="L152" s="295"/>
      <c r="M152" s="295"/>
      <c r="N152" s="295"/>
      <c r="O152" s="295"/>
      <c r="P152" s="295"/>
      <c r="Q152" s="358"/>
      <c r="R152" s="121"/>
      <c r="S152" s="121"/>
      <c r="T152" s="121"/>
      <c r="U152" s="121"/>
      <c r="V152" s="121"/>
      <c r="W152" s="121"/>
      <c r="X152" s="121"/>
      <c r="AH152" s="258"/>
      <c r="AI152" s="258"/>
      <c r="AJ152" s="258"/>
      <c r="AK152" s="258"/>
      <c r="AL152" s="258"/>
    </row>
    <row r="153" spans="1:38" hidden="1" x14ac:dyDescent="0.25">
      <c r="A153" s="295"/>
      <c r="B153" s="311" t="str">
        <f>B136</f>
        <v>Atezolizumab</v>
      </c>
      <c r="C153" s="137">
        <f>'Capacity inputs'!J19</f>
        <v>0</v>
      </c>
      <c r="D153" s="116" t="e">
        <f>$C153*'Financial impact (cash)'!#REF!</f>
        <v>#REF!</v>
      </c>
      <c r="E153" s="116" t="e">
        <f>$C153*'Financial impact (cash)'!#REF!</f>
        <v>#REF!</v>
      </c>
      <c r="F153" s="116" t="e">
        <f>$C153*'Financial impact (cash)'!#REF!</f>
        <v>#REF!</v>
      </c>
      <c r="G153" s="116" t="e">
        <f>$C153*'Financial impact (cash)'!#REF!</f>
        <v>#REF!</v>
      </c>
      <c r="H153" s="116" t="e">
        <f>$C153*'Financial impact (cash)'!#REF!</f>
        <v>#REF!</v>
      </c>
      <c r="I153" s="116" t="e">
        <f>$C153*'Financial impact (cash)'!#REF!</f>
        <v>#REF!</v>
      </c>
      <c r="J153" s="295"/>
      <c r="K153" s="358"/>
      <c r="L153" s="295"/>
      <c r="M153" s="295"/>
      <c r="N153" s="295"/>
      <c r="O153" s="295"/>
      <c r="P153" s="295"/>
      <c r="Q153" s="358"/>
      <c r="R153" s="121"/>
      <c r="S153" s="121"/>
      <c r="T153" s="121"/>
      <c r="U153" s="121"/>
      <c r="V153" s="121"/>
      <c r="W153" s="121"/>
      <c r="X153" s="121"/>
      <c r="AH153" s="258"/>
      <c r="AI153" s="258"/>
      <c r="AJ153" s="258"/>
      <c r="AK153" s="258"/>
      <c r="AL153" s="258"/>
    </row>
    <row r="154" spans="1:38" hidden="1" x14ac:dyDescent="0.25">
      <c r="A154" s="295"/>
      <c r="B154" s="311" t="e">
        <f>#REF!</f>
        <v>#REF!</v>
      </c>
      <c r="C154" s="137">
        <f>'Capacity inputs'!K19</f>
        <v>0</v>
      </c>
      <c r="D154" s="116" t="e">
        <f>$C154*'Financial impact (cash)'!#REF!</f>
        <v>#REF!</v>
      </c>
      <c r="E154" s="116" t="e">
        <f>$C154*'Financial impact (cash)'!#REF!</f>
        <v>#REF!</v>
      </c>
      <c r="F154" s="116" t="e">
        <f>$C154*'Financial impact (cash)'!#REF!</f>
        <v>#REF!</v>
      </c>
      <c r="G154" s="116" t="e">
        <f>$C154*'Financial impact (cash)'!#REF!</f>
        <v>#REF!</v>
      </c>
      <c r="H154" s="116" t="e">
        <f>$C154*'Financial impact (cash)'!#REF!</f>
        <v>#REF!</v>
      </c>
      <c r="I154" s="116" t="e">
        <f>$C154*'Financial impact (cash)'!#REF!</f>
        <v>#REF!</v>
      </c>
      <c r="J154" s="295"/>
      <c r="K154" s="358"/>
      <c r="L154" s="295"/>
      <c r="M154" s="295"/>
      <c r="N154" s="295"/>
      <c r="O154" s="295"/>
      <c r="P154" s="295"/>
      <c r="Q154" s="358"/>
      <c r="R154" s="121"/>
      <c r="S154" s="121"/>
      <c r="T154" s="121"/>
      <c r="U154" s="121"/>
      <c r="V154" s="121"/>
      <c r="W154" s="121"/>
      <c r="X154" s="121"/>
      <c r="AH154" s="258"/>
      <c r="AI154" s="258"/>
      <c r="AJ154" s="258"/>
      <c r="AK154" s="258"/>
      <c r="AL154" s="258"/>
    </row>
    <row r="155" spans="1:38" hidden="1" x14ac:dyDescent="0.25">
      <c r="A155" s="295"/>
      <c r="B155" s="311" t="e">
        <f>#REF!</f>
        <v>#REF!</v>
      </c>
      <c r="C155" s="137">
        <f>'Capacity inputs'!L19</f>
        <v>0</v>
      </c>
      <c r="D155" s="116" t="e">
        <f>$C155*'Financial impact (cash)'!#REF!</f>
        <v>#REF!</v>
      </c>
      <c r="E155" s="116" t="e">
        <f>$C155*'Financial impact (cash)'!#REF!</f>
        <v>#REF!</v>
      </c>
      <c r="F155" s="116" t="e">
        <f>$C155*'Financial impact (cash)'!#REF!</f>
        <v>#REF!</v>
      </c>
      <c r="G155" s="116" t="e">
        <f>$C155*'Financial impact (cash)'!#REF!</f>
        <v>#REF!</v>
      </c>
      <c r="H155" s="116" t="e">
        <f>$C155*'Financial impact (cash)'!#REF!</f>
        <v>#REF!</v>
      </c>
      <c r="I155" s="116" t="e">
        <f>$C155*'Financial impact (cash)'!#REF!</f>
        <v>#REF!</v>
      </c>
      <c r="J155" s="295"/>
      <c r="K155" s="358"/>
      <c r="L155" s="295"/>
      <c r="M155" s="295"/>
      <c r="N155" s="295"/>
      <c r="O155" s="295"/>
      <c r="P155" s="295"/>
      <c r="Q155" s="358"/>
      <c r="R155" s="121"/>
      <c r="S155" s="121"/>
      <c r="T155" s="121"/>
      <c r="U155" s="121"/>
      <c r="V155" s="121"/>
      <c r="W155" s="121"/>
      <c r="X155" s="121"/>
      <c r="AH155" s="258"/>
      <c r="AI155" s="258"/>
      <c r="AJ155" s="258"/>
      <c r="AK155" s="258"/>
      <c r="AL155" s="258"/>
    </row>
    <row r="156" spans="1:38" hidden="1" x14ac:dyDescent="0.25">
      <c r="A156" s="295"/>
      <c r="B156" s="311" t="e">
        <f>#REF!</f>
        <v>#REF!</v>
      </c>
      <c r="C156" s="137">
        <f>'Capacity inputs'!M19</f>
        <v>0</v>
      </c>
      <c r="D156" s="116" t="e">
        <f>$C156*'Financial impact (cash)'!#REF!</f>
        <v>#REF!</v>
      </c>
      <c r="E156" s="116" t="e">
        <f>$C156*'Financial impact (cash)'!#REF!</f>
        <v>#REF!</v>
      </c>
      <c r="F156" s="116" t="e">
        <f>$C156*'Financial impact (cash)'!#REF!</f>
        <v>#REF!</v>
      </c>
      <c r="G156" s="116" t="e">
        <f>$C156*'Financial impact (cash)'!#REF!</f>
        <v>#REF!</v>
      </c>
      <c r="H156" s="116" t="e">
        <f>$C156*'Financial impact (cash)'!#REF!</f>
        <v>#REF!</v>
      </c>
      <c r="I156" s="116" t="e">
        <f>$C156*'Financial impact (cash)'!#REF!</f>
        <v>#REF!</v>
      </c>
      <c r="J156" s="295"/>
      <c r="K156" s="358"/>
      <c r="L156" s="295"/>
      <c r="M156" s="295"/>
      <c r="N156" s="295"/>
      <c r="O156" s="295"/>
      <c r="P156" s="295"/>
      <c r="Q156" s="358"/>
      <c r="R156" s="121"/>
      <c r="S156" s="121"/>
      <c r="T156" s="121"/>
      <c r="U156" s="121"/>
      <c r="V156" s="121"/>
      <c r="W156" s="121"/>
      <c r="X156" s="121"/>
      <c r="AH156" s="258"/>
      <c r="AI156" s="258"/>
      <c r="AJ156" s="258"/>
      <c r="AK156" s="258"/>
      <c r="AL156" s="258"/>
    </row>
    <row r="157" spans="1:38" hidden="1" x14ac:dyDescent="0.25">
      <c r="A157" s="295"/>
      <c r="B157" s="252"/>
      <c r="C157" s="188"/>
      <c r="D157" s="168" t="e">
        <f>SUM(D150:D156)</f>
        <v>#REF!</v>
      </c>
      <c r="E157" s="168" t="e">
        <f t="shared" ref="E157:I157" si="138">SUM(E150:E156)</f>
        <v>#REF!</v>
      </c>
      <c r="F157" s="168" t="e">
        <f t="shared" si="138"/>
        <v>#REF!</v>
      </c>
      <c r="G157" s="168" t="e">
        <f t="shared" si="138"/>
        <v>#REF!</v>
      </c>
      <c r="H157" s="168" t="e">
        <f t="shared" si="138"/>
        <v>#REF!</v>
      </c>
      <c r="I157" s="168" t="e">
        <f t="shared" si="138"/>
        <v>#REF!</v>
      </c>
      <c r="J157" s="295"/>
      <c r="K157" s="358"/>
      <c r="L157" s="295"/>
      <c r="M157" s="295"/>
      <c r="N157" s="295"/>
      <c r="O157" s="295"/>
      <c r="P157" s="295"/>
      <c r="Q157" s="358"/>
      <c r="R157" s="121"/>
      <c r="S157" s="121"/>
      <c r="T157" s="121"/>
      <c r="U157" s="121"/>
      <c r="V157" s="121"/>
      <c r="W157" s="121"/>
      <c r="X157" s="121"/>
      <c r="AH157" s="258"/>
      <c r="AI157" s="258"/>
      <c r="AJ157" s="258"/>
      <c r="AK157" s="258"/>
      <c r="AL157" s="258"/>
    </row>
    <row r="158" spans="1:38" hidden="1" x14ac:dyDescent="0.25">
      <c r="A158" s="295"/>
      <c r="B158" s="279"/>
      <c r="C158" s="230"/>
      <c r="D158" s="257" t="s">
        <v>771</v>
      </c>
      <c r="E158" s="168" t="e">
        <f>E157-$D$157</f>
        <v>#REF!</v>
      </c>
      <c r="F158" s="168" t="e">
        <f>F157-$D$157</f>
        <v>#REF!</v>
      </c>
      <c r="G158" s="168" t="e">
        <f>G157-$D$157</f>
        <v>#REF!</v>
      </c>
      <c r="H158" s="168" t="e">
        <f>H157-$D$157</f>
        <v>#REF!</v>
      </c>
      <c r="I158" s="168" t="e">
        <f>I157-$D$157</f>
        <v>#REF!</v>
      </c>
      <c r="J158" s="295"/>
      <c r="K158" s="358"/>
      <c r="L158" s="295"/>
      <c r="M158" s="295"/>
      <c r="N158" s="295"/>
      <c r="O158" s="295"/>
      <c r="P158" s="295"/>
      <c r="Q158" s="358"/>
      <c r="R158" s="121"/>
      <c r="T158" s="121"/>
    </row>
    <row r="159" spans="1:38" hidden="1" x14ac:dyDescent="0.25">
      <c r="A159" s="295"/>
      <c r="B159" s="295"/>
      <c r="C159" s="295"/>
      <c r="D159" s="295"/>
      <c r="E159" s="295"/>
      <c r="F159" s="295"/>
      <c r="G159" s="295"/>
      <c r="H159" s="295"/>
      <c r="I159" s="295"/>
      <c r="J159" s="295"/>
      <c r="K159" s="358"/>
      <c r="L159" s="295"/>
      <c r="M159" s="295"/>
      <c r="N159" s="295"/>
      <c r="O159" s="295"/>
      <c r="P159" s="295"/>
      <c r="Q159" s="358"/>
      <c r="R159" s="121"/>
      <c r="T159" s="121"/>
    </row>
    <row r="160" spans="1:38" x14ac:dyDescent="0.25">
      <c r="A160" s="262"/>
      <c r="B160" s="293" t="s">
        <v>2283</v>
      </c>
      <c r="C160" s="281"/>
      <c r="D160" s="282"/>
      <c r="E160" s="283"/>
      <c r="F160" s="284"/>
      <c r="G160" s="284"/>
      <c r="H160" s="284"/>
      <c r="I160" s="379"/>
      <c r="J160" s="262"/>
      <c r="K160" s="262"/>
      <c r="L160" s="262"/>
      <c r="M160" s="262"/>
      <c r="N160" s="262"/>
      <c r="O160" s="262"/>
      <c r="P160" s="262"/>
      <c r="Q160" s="201"/>
      <c r="R160" s="121"/>
      <c r="S160" s="121"/>
      <c r="T160" s="121"/>
      <c r="U160" s="121"/>
      <c r="V160" s="121"/>
      <c r="W160" s="121"/>
      <c r="X160" s="121"/>
      <c r="AH160" s="258"/>
      <c r="AI160" s="258"/>
      <c r="AJ160" s="258"/>
      <c r="AK160" s="258"/>
      <c r="AL160" s="258"/>
    </row>
    <row r="161" spans="1:38" x14ac:dyDescent="0.25">
      <c r="A161" s="262"/>
      <c r="B161" s="352"/>
      <c r="C161" s="353"/>
      <c r="D161" s="353"/>
      <c r="E161" s="353"/>
      <c r="F161" s="353"/>
      <c r="G161" s="353"/>
      <c r="H161" s="353"/>
      <c r="I161" s="200"/>
      <c r="J161" s="201"/>
      <c r="K161" s="262"/>
      <c r="L161" s="262"/>
      <c r="M161" s="262"/>
      <c r="N161" s="262"/>
      <c r="O161" s="262"/>
      <c r="P161" s="262"/>
      <c r="Q161" s="201"/>
      <c r="R161" s="121"/>
      <c r="S161" s="121"/>
      <c r="T161" s="121"/>
      <c r="U161" s="121"/>
      <c r="V161" s="121"/>
      <c r="W161" s="121"/>
      <c r="X161" s="121"/>
      <c r="AH161" s="258"/>
      <c r="AI161" s="258"/>
      <c r="AJ161" s="258"/>
      <c r="AK161" s="258"/>
      <c r="AL161" s="258"/>
    </row>
    <row r="162" spans="1:38" ht="45" x14ac:dyDescent="0.25">
      <c r="A162" s="262"/>
      <c r="B162" s="251" t="s">
        <v>703</v>
      </c>
      <c r="C162" s="153"/>
      <c r="D162" s="802" t="s">
        <v>737</v>
      </c>
      <c r="E162" s="229" t="s">
        <v>591</v>
      </c>
      <c r="F162" s="229" t="s">
        <v>592</v>
      </c>
      <c r="G162" s="152" t="s">
        <v>714</v>
      </c>
      <c r="H162" s="152" t="s">
        <v>715</v>
      </c>
      <c r="I162" s="229" t="s">
        <v>716</v>
      </c>
      <c r="J162" s="262"/>
      <c r="K162" s="449" t="s">
        <v>777</v>
      </c>
      <c r="L162" s="802" t="s">
        <v>737</v>
      </c>
      <c r="M162" s="229" t="s">
        <v>591</v>
      </c>
      <c r="N162" s="229" t="s">
        <v>592</v>
      </c>
      <c r="O162" s="152" t="s">
        <v>714</v>
      </c>
      <c r="P162" s="152" t="s">
        <v>715</v>
      </c>
      <c r="Q162" s="229" t="s">
        <v>716</v>
      </c>
      <c r="R162" s="121"/>
      <c r="S162" s="121"/>
      <c r="T162" s="121"/>
      <c r="U162" s="121"/>
      <c r="V162" s="121"/>
      <c r="W162" s="121"/>
      <c r="X162" s="121"/>
      <c r="AH162" s="258"/>
      <c r="AI162" s="258"/>
      <c r="AJ162" s="258"/>
      <c r="AK162" s="258"/>
      <c r="AL162" s="258"/>
    </row>
    <row r="163" spans="1:38" x14ac:dyDescent="0.25">
      <c r="A163" s="262"/>
      <c r="B163" s="1003" t="s">
        <v>2290</v>
      </c>
      <c r="C163" s="137"/>
      <c r="D163" s="116">
        <f>(D$45*'Unit costs'!$D129)+(D$46*'Unit costs'!$E129)+(D$47*'Unit costs'!$F129)+(D$48*'Unit costs'!$G129)+(D$49*'Unit costs'!$H129)</f>
        <v>0</v>
      </c>
      <c r="E163" s="116">
        <f>(E$45*'Unit costs'!$D129)+(E$46*'Unit costs'!$E129)+(E$47*'Unit costs'!$F129)+(E$48*'Unit costs'!$G129)+(E$49*'Unit costs'!$H129)</f>
        <v>0</v>
      </c>
      <c r="F163" s="116">
        <f>(F$45*'Unit costs'!$D129)+(F$46*'Unit costs'!$E129)+(F$47*'Unit costs'!$F129)+(F$48*'Unit costs'!$G129)+(F$49*'Unit costs'!$H129)</f>
        <v>0</v>
      </c>
      <c r="G163" s="116">
        <f>(G$45*'Unit costs'!$D129)+(G$46*'Unit costs'!$E129)+(G$47*'Unit costs'!$F129)+(G$48*'Unit costs'!$G129)+(G$49*'Unit costs'!$H129)</f>
        <v>0</v>
      </c>
      <c r="H163" s="116">
        <f>(H$45*'Unit costs'!$D129)+(H$46*'Unit costs'!$E129)+(H$47*'Unit costs'!$F129)+(H$48*'Unit costs'!$G129)+(H$49*'Unit costs'!$H129)</f>
        <v>0</v>
      </c>
      <c r="I163" s="116">
        <f>(I$45*'Unit costs'!$D129)+(I$46*'Unit costs'!$E129)+(I$47*'Unit costs'!$F129)+(I$48*'Unit costs'!$G129)+(I$49*'Unit costs'!$H129)</f>
        <v>0</v>
      </c>
      <c r="J163" s="262"/>
      <c r="K163" s="263">
        <f>'Unit costs'!C129</f>
        <v>2.96</v>
      </c>
      <c r="L163" s="263">
        <f>$K163*D163/1000</f>
        <v>0</v>
      </c>
      <c r="M163" s="263">
        <f t="shared" ref="M163:Q168" si="139">$K163*E163/1000</f>
        <v>0</v>
      </c>
      <c r="N163" s="263">
        <f t="shared" si="139"/>
        <v>0</v>
      </c>
      <c r="O163" s="263">
        <f t="shared" si="139"/>
        <v>0</v>
      </c>
      <c r="P163" s="263">
        <f t="shared" si="139"/>
        <v>0</v>
      </c>
      <c r="Q163" s="263">
        <f t="shared" si="139"/>
        <v>0</v>
      </c>
      <c r="R163" s="121"/>
      <c r="S163" s="121"/>
      <c r="T163" s="121"/>
      <c r="U163" s="121"/>
      <c r="V163" s="121"/>
      <c r="W163" s="121"/>
      <c r="X163" s="121"/>
      <c r="AH163" s="258"/>
      <c r="AI163" s="258"/>
      <c r="AJ163" s="258"/>
      <c r="AK163" s="258"/>
      <c r="AL163" s="258"/>
    </row>
    <row r="164" spans="1:38" x14ac:dyDescent="0.25">
      <c r="A164" s="262"/>
      <c r="B164" s="1003" t="s">
        <v>2196</v>
      </c>
      <c r="C164" s="137"/>
      <c r="D164" s="116">
        <f>(D$45*'Unit costs'!$D130)+(D$46*'Unit costs'!$E130)+(D$47*'Unit costs'!$F130)+(D$48*'Unit costs'!$G130)+(D$49*'Unit costs'!$H130)</f>
        <v>0</v>
      </c>
      <c r="E164" s="116">
        <f>(E$45*'Unit costs'!$D130)+(E$46*'Unit costs'!$E130)+(E$47*'Unit costs'!$F130)+(E$48*'Unit costs'!$G130)+(E$49*'Unit costs'!$H130)</f>
        <v>0</v>
      </c>
      <c r="F164" s="116">
        <f>(F$45*'Unit costs'!$D130)+(F$46*'Unit costs'!$E130)+(F$47*'Unit costs'!$F130)+(F$48*'Unit costs'!$G130)+(F$49*'Unit costs'!$H130)</f>
        <v>0</v>
      </c>
      <c r="G164" s="116">
        <f>(G$45*'Unit costs'!$D130)+(G$46*'Unit costs'!$E130)+(G$47*'Unit costs'!$F130)+(G$48*'Unit costs'!$G130)+(G$49*'Unit costs'!$H130)</f>
        <v>0</v>
      </c>
      <c r="H164" s="116">
        <f>(H$45*'Unit costs'!$D130)+(H$46*'Unit costs'!$E130)+(H$47*'Unit costs'!$F130)+(H$48*'Unit costs'!$G130)+(H$49*'Unit costs'!$H130)</f>
        <v>0</v>
      </c>
      <c r="I164" s="116">
        <f>(I$45*'Unit costs'!$D130)+(I$46*'Unit costs'!$E130)+(I$47*'Unit costs'!$F130)+(I$48*'Unit costs'!$G130)+(I$49*'Unit costs'!$H130)</f>
        <v>0</v>
      </c>
      <c r="J164" s="262"/>
      <c r="K164" s="263">
        <f>'Unit costs'!C130</f>
        <v>1.55</v>
      </c>
      <c r="L164" s="263">
        <f t="shared" ref="L164:L168" si="140">$K164*D164/1000</f>
        <v>0</v>
      </c>
      <c r="M164" s="263">
        <f t="shared" si="139"/>
        <v>0</v>
      </c>
      <c r="N164" s="263">
        <f t="shared" si="139"/>
        <v>0</v>
      </c>
      <c r="O164" s="263">
        <f t="shared" si="139"/>
        <v>0</v>
      </c>
      <c r="P164" s="263">
        <f t="shared" si="139"/>
        <v>0</v>
      </c>
      <c r="Q164" s="263">
        <f t="shared" si="139"/>
        <v>0</v>
      </c>
      <c r="R164" s="121"/>
      <c r="S164" s="121"/>
      <c r="T164" s="121"/>
      <c r="U164" s="121"/>
      <c r="V164" s="121"/>
      <c r="W164" s="121"/>
      <c r="X164" s="121"/>
      <c r="AH164" s="258"/>
      <c r="AI164" s="258"/>
      <c r="AJ164" s="258"/>
      <c r="AK164" s="258"/>
      <c r="AL164" s="258"/>
    </row>
    <row r="165" spans="1:38" x14ac:dyDescent="0.25">
      <c r="A165" s="262"/>
      <c r="B165" s="1003" t="s">
        <v>2197</v>
      </c>
      <c r="C165" s="137"/>
      <c r="D165" s="116">
        <f>(D$45*'Unit costs'!$D131)+(D$46*'Unit costs'!$E131)+(D$47*'Unit costs'!$F131)+(D$48*'Unit costs'!$G131)+(D$49*'Unit costs'!$H131)</f>
        <v>0</v>
      </c>
      <c r="E165" s="116">
        <f>(E$45*'Unit costs'!$D131)+(E$46*'Unit costs'!$E131)+(E$47*'Unit costs'!$F131)+(E$48*'Unit costs'!$G131)+(E$49*'Unit costs'!$H131)</f>
        <v>0</v>
      </c>
      <c r="F165" s="116">
        <f>(F$45*'Unit costs'!$D131)+(F$46*'Unit costs'!$E131)+(F$47*'Unit costs'!$F131)+(F$48*'Unit costs'!$G131)+(F$49*'Unit costs'!$H131)</f>
        <v>0</v>
      </c>
      <c r="G165" s="116">
        <f>(G$45*'Unit costs'!$D131)+(G$46*'Unit costs'!$E131)+(G$47*'Unit costs'!$F131)+(G$48*'Unit costs'!$G131)+(G$49*'Unit costs'!$H131)</f>
        <v>0</v>
      </c>
      <c r="H165" s="116">
        <f>(H$45*'Unit costs'!$D131)+(H$46*'Unit costs'!$E131)+(H$47*'Unit costs'!$F131)+(H$48*'Unit costs'!$G131)+(H$49*'Unit costs'!$H131)</f>
        <v>0</v>
      </c>
      <c r="I165" s="116">
        <f>(I$45*'Unit costs'!$D131)+(I$46*'Unit costs'!$E131)+(I$47*'Unit costs'!$F131)+(I$48*'Unit costs'!$G131)+(I$49*'Unit costs'!$H131)</f>
        <v>0</v>
      </c>
      <c r="J165" s="262"/>
      <c r="K165" s="263">
        <f>'Unit costs'!C131</f>
        <v>1.55</v>
      </c>
      <c r="L165" s="263">
        <f t="shared" si="140"/>
        <v>0</v>
      </c>
      <c r="M165" s="263">
        <f t="shared" si="139"/>
        <v>0</v>
      </c>
      <c r="N165" s="263">
        <f t="shared" si="139"/>
        <v>0</v>
      </c>
      <c r="O165" s="263">
        <f t="shared" si="139"/>
        <v>0</v>
      </c>
      <c r="P165" s="263">
        <f t="shared" si="139"/>
        <v>0</v>
      </c>
      <c r="Q165" s="263">
        <f t="shared" si="139"/>
        <v>0</v>
      </c>
      <c r="R165" s="121"/>
      <c r="S165" s="121"/>
      <c r="T165" s="121"/>
      <c r="U165" s="121"/>
      <c r="V165" s="121"/>
      <c r="W165" s="121"/>
      <c r="X165" s="121"/>
      <c r="AH165" s="258"/>
      <c r="AI165" s="258"/>
      <c r="AJ165" s="258"/>
      <c r="AK165" s="258"/>
      <c r="AL165" s="258"/>
    </row>
    <row r="166" spans="1:38" x14ac:dyDescent="0.25">
      <c r="A166" s="262"/>
      <c r="B166" s="1003" t="s">
        <v>2198</v>
      </c>
      <c r="C166" s="137"/>
      <c r="D166" s="116">
        <f>(D$45*'Unit costs'!$D132)+(D$46*'Unit costs'!$E132)+(D$47*'Unit costs'!$F132)+(D$48*'Unit costs'!$G132)+(D$49*'Unit costs'!$H132)</f>
        <v>0</v>
      </c>
      <c r="E166" s="116">
        <f>(E$45*'Unit costs'!$D132)+(E$46*'Unit costs'!$E132)+(E$47*'Unit costs'!$F132)+(E$48*'Unit costs'!$G132)+(E$49*'Unit costs'!$H132)</f>
        <v>0</v>
      </c>
      <c r="F166" s="116">
        <f>(F$45*'Unit costs'!$D132)+(F$46*'Unit costs'!$E132)+(F$47*'Unit costs'!$F132)+(F$48*'Unit costs'!$G132)+(F$49*'Unit costs'!$H132)</f>
        <v>0</v>
      </c>
      <c r="G166" s="116">
        <f>(G$45*'Unit costs'!$D132)+(G$46*'Unit costs'!$E132)+(G$47*'Unit costs'!$F132)+(G$48*'Unit costs'!$G132)+(G$49*'Unit costs'!$H132)</f>
        <v>0</v>
      </c>
      <c r="H166" s="116">
        <f>(H$45*'Unit costs'!$D132)+(H$46*'Unit costs'!$E132)+(H$47*'Unit costs'!$F132)+(H$48*'Unit costs'!$G132)+(H$49*'Unit costs'!$H132)</f>
        <v>0</v>
      </c>
      <c r="I166" s="116">
        <f>(I$45*'Unit costs'!$D132)+(I$46*'Unit costs'!$E132)+(I$47*'Unit costs'!$F132)+(I$48*'Unit costs'!$G132)+(I$49*'Unit costs'!$H132)</f>
        <v>0</v>
      </c>
      <c r="J166" s="262"/>
      <c r="K166" s="263">
        <f>'Unit costs'!C132</f>
        <v>1.55</v>
      </c>
      <c r="L166" s="263">
        <f t="shared" si="140"/>
        <v>0</v>
      </c>
      <c r="M166" s="263">
        <f t="shared" si="139"/>
        <v>0</v>
      </c>
      <c r="N166" s="263">
        <f t="shared" si="139"/>
        <v>0</v>
      </c>
      <c r="O166" s="263">
        <f t="shared" si="139"/>
        <v>0</v>
      </c>
      <c r="P166" s="263">
        <f t="shared" si="139"/>
        <v>0</v>
      </c>
      <c r="Q166" s="263">
        <f t="shared" si="139"/>
        <v>0</v>
      </c>
      <c r="R166" s="121"/>
      <c r="S166" s="121"/>
      <c r="T166" s="121"/>
      <c r="U166" s="121"/>
      <c r="V166" s="121"/>
      <c r="W166" s="121"/>
      <c r="X166" s="121"/>
      <c r="AH166" s="258"/>
      <c r="AI166" s="258"/>
      <c r="AJ166" s="258"/>
      <c r="AK166" s="258"/>
      <c r="AL166" s="258"/>
    </row>
    <row r="167" spans="1:38" x14ac:dyDescent="0.25">
      <c r="A167" s="262"/>
      <c r="B167" s="1003" t="s">
        <v>2199</v>
      </c>
      <c r="C167" s="137"/>
      <c r="D167" s="116">
        <f>(D$45*'Unit costs'!$D133)+(D$46*'Unit costs'!$E133)+(D$47*'Unit costs'!$F133)+(D$48*'Unit costs'!$G133)+(D$49*'Unit costs'!$H133)</f>
        <v>0</v>
      </c>
      <c r="E167" s="116">
        <f>(E$45*'Unit costs'!$D133)+(E$46*'Unit costs'!$E133)+(E$47*'Unit costs'!$F133)+(E$48*'Unit costs'!$G133)+(E$49*'Unit costs'!$H133)</f>
        <v>0</v>
      </c>
      <c r="F167" s="116">
        <f>(F$45*'Unit costs'!$D133)+(F$46*'Unit costs'!$E133)+(F$47*'Unit costs'!$F133)+(F$48*'Unit costs'!$G133)+(F$49*'Unit costs'!$H133)</f>
        <v>0</v>
      </c>
      <c r="G167" s="116">
        <f>(G$45*'Unit costs'!$D133)+(G$46*'Unit costs'!$E133)+(G$47*'Unit costs'!$F133)+(G$48*'Unit costs'!$G133)+(G$49*'Unit costs'!$H133)</f>
        <v>0</v>
      </c>
      <c r="H167" s="116">
        <f>(H$45*'Unit costs'!$D133)+(H$46*'Unit costs'!$E133)+(H$47*'Unit costs'!$F133)+(H$48*'Unit costs'!$G133)+(H$49*'Unit costs'!$H133)</f>
        <v>0</v>
      </c>
      <c r="I167" s="116">
        <f>(I$45*'Unit costs'!$D133)+(I$46*'Unit costs'!$E133)+(I$47*'Unit costs'!$F133)+(I$48*'Unit costs'!$G133)+(I$49*'Unit costs'!$H133)</f>
        <v>0</v>
      </c>
      <c r="J167" s="262"/>
      <c r="K167" s="263">
        <f>'Unit costs'!C133</f>
        <v>1.55</v>
      </c>
      <c r="L167" s="263">
        <f t="shared" si="140"/>
        <v>0</v>
      </c>
      <c r="M167" s="263">
        <f t="shared" si="139"/>
        <v>0</v>
      </c>
      <c r="N167" s="263">
        <f t="shared" si="139"/>
        <v>0</v>
      </c>
      <c r="O167" s="263">
        <f t="shared" si="139"/>
        <v>0</v>
      </c>
      <c r="P167" s="263">
        <f t="shared" si="139"/>
        <v>0</v>
      </c>
      <c r="Q167" s="263">
        <f t="shared" si="139"/>
        <v>0</v>
      </c>
      <c r="R167" s="121"/>
      <c r="S167" s="121"/>
      <c r="T167" s="121"/>
      <c r="U167" s="121"/>
      <c r="V167" s="121"/>
      <c r="W167" s="121"/>
      <c r="X167" s="121"/>
      <c r="AH167" s="258"/>
      <c r="AI167" s="258"/>
      <c r="AJ167" s="258"/>
      <c r="AK167" s="258"/>
      <c r="AL167" s="258"/>
    </row>
    <row r="168" spans="1:38" x14ac:dyDescent="0.25">
      <c r="A168" s="262"/>
      <c r="B168" s="1003" t="s">
        <v>2200</v>
      </c>
      <c r="C168" s="137"/>
      <c r="D168" s="116">
        <f>(D$45*'Unit costs'!$D134)+(D$46*'Unit costs'!$E134)+(D$47*'Unit costs'!$F134)+(D$48*'Unit costs'!$G134)+(D$49*'Unit costs'!$H134)</f>
        <v>0</v>
      </c>
      <c r="E168" s="116">
        <f>(E$45*'Unit costs'!$D134)+(E$46*'Unit costs'!$E134)+(E$47*'Unit costs'!$F134)+(E$48*'Unit costs'!$G134)+(E$49*'Unit costs'!$H134)</f>
        <v>0</v>
      </c>
      <c r="F168" s="116">
        <f>(F$45*'Unit costs'!$D134)+(F$46*'Unit costs'!$E134)+(F$47*'Unit costs'!$F134)+(F$48*'Unit costs'!$G134)+(F$49*'Unit costs'!$H134)</f>
        <v>0</v>
      </c>
      <c r="G168" s="116">
        <f>(G$45*'Unit costs'!$D134)+(G$46*'Unit costs'!$E134)+(G$47*'Unit costs'!$F134)+(G$48*'Unit costs'!$G134)+(G$49*'Unit costs'!$H134)</f>
        <v>0</v>
      </c>
      <c r="H168" s="116">
        <f>(H$45*'Unit costs'!$D134)+(H$46*'Unit costs'!$E134)+(H$47*'Unit costs'!$F134)+(H$48*'Unit costs'!$G134)+(H$49*'Unit costs'!$H134)</f>
        <v>0</v>
      </c>
      <c r="I168" s="116">
        <f>(I$45*'Unit costs'!$D134)+(I$46*'Unit costs'!$E134)+(I$47*'Unit costs'!$F134)+(I$48*'Unit costs'!$G134)+(I$49*'Unit costs'!$H134)</f>
        <v>0</v>
      </c>
      <c r="J168" s="262"/>
      <c r="K168" s="263">
        <f>'Unit costs'!C134</f>
        <v>213.5</v>
      </c>
      <c r="L168" s="263">
        <f t="shared" si="140"/>
        <v>0</v>
      </c>
      <c r="M168" s="263">
        <f t="shared" si="139"/>
        <v>0</v>
      </c>
      <c r="N168" s="263">
        <f t="shared" si="139"/>
        <v>0</v>
      </c>
      <c r="O168" s="263">
        <f t="shared" si="139"/>
        <v>0</v>
      </c>
      <c r="P168" s="263">
        <f t="shared" si="139"/>
        <v>0</v>
      </c>
      <c r="Q168" s="263">
        <f t="shared" si="139"/>
        <v>0</v>
      </c>
      <c r="R168" s="121"/>
      <c r="S168" s="121"/>
      <c r="T168" s="121"/>
      <c r="U168" s="121"/>
      <c r="V168" s="121"/>
      <c r="W168" s="121"/>
      <c r="X168" s="121"/>
      <c r="AH168" s="258"/>
      <c r="AI168" s="258"/>
      <c r="AJ168" s="258"/>
      <c r="AK168" s="258"/>
      <c r="AL168" s="258"/>
    </row>
    <row r="169" spans="1:38" x14ac:dyDescent="0.25">
      <c r="A169" s="262"/>
      <c r="B169" s="252"/>
      <c r="C169" s="188"/>
      <c r="D169" s="168">
        <f t="shared" ref="D169:I169" si="141">SUM(D163:D168)</f>
        <v>0</v>
      </c>
      <c r="E169" s="168">
        <f t="shared" si="141"/>
        <v>0</v>
      </c>
      <c r="F169" s="168">
        <f t="shared" si="141"/>
        <v>0</v>
      </c>
      <c r="G169" s="168">
        <f t="shared" si="141"/>
        <v>0</v>
      </c>
      <c r="H169" s="168">
        <f t="shared" si="141"/>
        <v>0</v>
      </c>
      <c r="I169" s="168">
        <f t="shared" si="141"/>
        <v>0</v>
      </c>
      <c r="J169" s="262"/>
      <c r="K169" s="807"/>
      <c r="L169" s="264">
        <f t="shared" ref="L169:Q169" si="142">SUM(L163:L168)</f>
        <v>0</v>
      </c>
      <c r="M169" s="264">
        <f t="shared" si="142"/>
        <v>0</v>
      </c>
      <c r="N169" s="264">
        <f t="shared" si="142"/>
        <v>0</v>
      </c>
      <c r="O169" s="264">
        <f t="shared" si="142"/>
        <v>0</v>
      </c>
      <c r="P169" s="264">
        <f t="shared" si="142"/>
        <v>0</v>
      </c>
      <c r="Q169" s="264">
        <f t="shared" si="142"/>
        <v>0</v>
      </c>
      <c r="R169" s="121"/>
      <c r="S169" s="121"/>
      <c r="T169" s="121"/>
      <c r="U169" s="121"/>
      <c r="V169" s="121"/>
      <c r="W169" s="121"/>
      <c r="X169" s="121"/>
      <c r="AH169" s="258"/>
      <c r="AI169" s="258"/>
      <c r="AJ169" s="258"/>
      <c r="AK169" s="258"/>
      <c r="AL169" s="258"/>
    </row>
    <row r="170" spans="1:38" x14ac:dyDescent="0.25">
      <c r="A170" s="262"/>
      <c r="B170" s="279"/>
      <c r="C170" s="230"/>
      <c r="D170" s="257" t="s">
        <v>2285</v>
      </c>
      <c r="E170" s="168">
        <f>E169-$D$169</f>
        <v>0</v>
      </c>
      <c r="F170" s="168">
        <f>F169-$D$169</f>
        <v>0</v>
      </c>
      <c r="G170" s="168">
        <f>G169-$D$169</f>
        <v>0</v>
      </c>
      <c r="H170" s="168">
        <f>H169-$D$169</f>
        <v>0</v>
      </c>
      <c r="I170" s="168">
        <f>I169-$D$169</f>
        <v>0</v>
      </c>
      <c r="J170" s="262"/>
      <c r="K170" s="262"/>
      <c r="L170" s="808"/>
      <c r="M170" s="264">
        <f>M169-$L$169</f>
        <v>0</v>
      </c>
      <c r="N170" s="264">
        <f t="shared" ref="N170:Q170" si="143">N169-$L$169</f>
        <v>0</v>
      </c>
      <c r="O170" s="264">
        <f t="shared" si="143"/>
        <v>0</v>
      </c>
      <c r="P170" s="264">
        <f t="shared" si="143"/>
        <v>0</v>
      </c>
      <c r="Q170" s="264">
        <f t="shared" si="143"/>
        <v>0</v>
      </c>
      <c r="R170" s="121"/>
      <c r="T170" s="121"/>
    </row>
    <row r="171" spans="1:38" ht="14.25" customHeight="1" x14ac:dyDescent="0.25">
      <c r="A171" s="262"/>
      <c r="B171" s="294"/>
      <c r="C171" s="201"/>
      <c r="D171" s="201"/>
      <c r="E171" s="201"/>
      <c r="F171" s="201"/>
      <c r="G171" s="201"/>
      <c r="H171" s="201"/>
      <c r="I171" s="201"/>
      <c r="J171" s="262"/>
      <c r="K171" s="262"/>
      <c r="L171" s="201"/>
      <c r="M171" s="201"/>
      <c r="N171" s="201"/>
      <c r="O171" s="201"/>
      <c r="P171" s="201"/>
      <c r="Q171" s="201"/>
      <c r="R171" s="121"/>
      <c r="T171" s="121"/>
    </row>
    <row r="172" spans="1:38" hidden="1" x14ac:dyDescent="0.25">
      <c r="A172" s="262"/>
      <c r="B172" s="352" t="s">
        <v>772</v>
      </c>
      <c r="C172" s="353"/>
      <c r="D172" s="353"/>
      <c r="E172" s="353"/>
      <c r="F172" s="353"/>
      <c r="G172" s="353"/>
      <c r="H172" s="353"/>
      <c r="I172" s="200"/>
      <c r="J172" s="262"/>
      <c r="K172" s="262"/>
      <c r="L172" s="262"/>
      <c r="M172" s="262"/>
      <c r="N172" s="262"/>
      <c r="O172" s="262"/>
      <c r="P172" s="262"/>
      <c r="Q172" s="201"/>
      <c r="R172" s="121"/>
      <c r="S172" s="121"/>
      <c r="T172" s="121"/>
      <c r="U172" s="121"/>
      <c r="V172" s="121"/>
      <c r="W172" s="121"/>
      <c r="X172" s="121"/>
      <c r="AH172" s="258"/>
      <c r="AI172" s="258"/>
      <c r="AJ172" s="258"/>
      <c r="AK172" s="258"/>
      <c r="AL172" s="258"/>
    </row>
    <row r="173" spans="1:38" ht="45" hidden="1" x14ac:dyDescent="0.25">
      <c r="A173" s="262"/>
      <c r="B173" s="251" t="s">
        <v>703</v>
      </c>
      <c r="C173" s="153" t="s">
        <v>751</v>
      </c>
      <c r="D173" s="802" t="s">
        <v>737</v>
      </c>
      <c r="E173" s="229" t="s">
        <v>591</v>
      </c>
      <c r="F173" s="229" t="s">
        <v>592</v>
      </c>
      <c r="G173" s="152" t="s">
        <v>714</v>
      </c>
      <c r="H173" s="152" t="s">
        <v>715</v>
      </c>
      <c r="I173" s="229" t="s">
        <v>716</v>
      </c>
      <c r="J173" s="262"/>
      <c r="K173" s="262"/>
      <c r="L173" s="262"/>
      <c r="M173" s="262"/>
      <c r="N173" s="262"/>
      <c r="O173" s="262"/>
      <c r="P173" s="262"/>
      <c r="Q173" s="201"/>
      <c r="R173" s="121"/>
      <c r="S173" s="121"/>
      <c r="T173" s="121"/>
      <c r="U173" s="121"/>
      <c r="V173" s="121"/>
      <c r="W173" s="121"/>
      <c r="X173" s="121"/>
      <c r="AH173" s="258"/>
      <c r="AI173" s="258"/>
      <c r="AJ173" s="258"/>
      <c r="AK173" s="258"/>
      <c r="AL173" s="258"/>
    </row>
    <row r="174" spans="1:38" hidden="1" x14ac:dyDescent="0.25">
      <c r="A174" s="262"/>
      <c r="B174" s="311" t="str">
        <f t="shared" ref="B174:B179" si="144">B163</f>
        <v>Blood counts</v>
      </c>
      <c r="C174" s="137" t="e">
        <f>'Capacity inputs'!#REF!</f>
        <v>#REF!</v>
      </c>
      <c r="D174" s="116" t="e">
        <f>'Financial impact (cash)'!D13*'Capacity (local prices)'!$C174</f>
        <v>#REF!</v>
      </c>
      <c r="E174" s="116" t="e">
        <f>'Financial impact (cash)'!E13*'Capacity (local prices)'!$C174</f>
        <v>#REF!</v>
      </c>
      <c r="F174" s="116" t="e">
        <f>'Financial impact (cash)'!F13*'Capacity (local prices)'!$C174</f>
        <v>#REF!</v>
      </c>
      <c r="G174" s="116" t="e">
        <f>'Financial impact (cash)'!G13*'Capacity (local prices)'!$C174</f>
        <v>#REF!</v>
      </c>
      <c r="H174" s="116" t="e">
        <f>'Financial impact (cash)'!H13*'Capacity (local prices)'!$C174</f>
        <v>#REF!</v>
      </c>
      <c r="I174" s="116" t="e">
        <f>'Financial impact (cash)'!I13*'Capacity (local prices)'!$C174</f>
        <v>#REF!</v>
      </c>
      <c r="J174" s="262"/>
      <c r="K174" s="262"/>
      <c r="L174" s="262"/>
      <c r="M174" s="262"/>
      <c r="N174" s="262"/>
      <c r="O174" s="262"/>
      <c r="P174" s="262"/>
      <c r="Q174" s="201"/>
      <c r="R174" s="121"/>
      <c r="S174" s="121"/>
      <c r="T174" s="121"/>
      <c r="U174" s="121"/>
      <c r="V174" s="121"/>
      <c r="W174" s="121"/>
      <c r="X174" s="121"/>
      <c r="AH174" s="258"/>
      <c r="AI174" s="258"/>
      <c r="AJ174" s="258"/>
      <c r="AK174" s="258"/>
      <c r="AL174" s="258"/>
    </row>
    <row r="175" spans="1:38" hidden="1" x14ac:dyDescent="0.25">
      <c r="A175" s="262"/>
      <c r="B175" s="311" t="str">
        <f t="shared" si="144"/>
        <v>Hepatic function</v>
      </c>
      <c r="C175" s="137" t="e">
        <f>'Capacity inputs'!#REF!</f>
        <v>#REF!</v>
      </c>
      <c r="D175" s="116" t="e">
        <f>'Financial impact (cash)'!D15*'Capacity (local prices)'!$C175</f>
        <v>#REF!</v>
      </c>
      <c r="E175" s="116" t="e">
        <f>'Financial impact (cash)'!E15*'Capacity (local prices)'!$C175</f>
        <v>#REF!</v>
      </c>
      <c r="F175" s="116" t="e">
        <f>'Financial impact (cash)'!F15*'Capacity (local prices)'!$C175</f>
        <v>#REF!</v>
      </c>
      <c r="G175" s="116" t="e">
        <f>'Financial impact (cash)'!G15*'Capacity (local prices)'!$C175</f>
        <v>#REF!</v>
      </c>
      <c r="H175" s="116" t="e">
        <f>'Financial impact (cash)'!H15*'Capacity (local prices)'!$C175</f>
        <v>#REF!</v>
      </c>
      <c r="I175" s="116" t="e">
        <f>'Financial impact (cash)'!I15*'Capacity (local prices)'!$C175</f>
        <v>#REF!</v>
      </c>
      <c r="J175" s="262"/>
      <c r="K175" s="262"/>
      <c r="L175" s="262"/>
      <c r="M175" s="262"/>
      <c r="N175" s="262"/>
      <c r="O175" s="262"/>
      <c r="P175" s="262"/>
      <c r="Q175" s="201"/>
      <c r="R175" s="121"/>
      <c r="S175" s="121"/>
      <c r="T175" s="121"/>
      <c r="U175" s="121"/>
      <c r="V175" s="121"/>
      <c r="W175" s="121"/>
      <c r="X175" s="121"/>
      <c r="AH175" s="258"/>
      <c r="AI175" s="258"/>
      <c r="AJ175" s="258"/>
      <c r="AK175" s="258"/>
      <c r="AL175" s="258"/>
    </row>
    <row r="176" spans="1:38" hidden="1" x14ac:dyDescent="0.25">
      <c r="A176" s="262"/>
      <c r="B176" s="311" t="str">
        <f t="shared" si="144"/>
        <v>Adrenal function</v>
      </c>
      <c r="C176" s="137" t="e">
        <f>'Capacity inputs'!#REF!</f>
        <v>#REF!</v>
      </c>
      <c r="D176" s="116" t="e">
        <f>'Financial impact (cash)'!D16*'Capacity (local prices)'!$C176</f>
        <v>#REF!</v>
      </c>
      <c r="E176" s="116" t="e">
        <f>'Financial impact (cash)'!E16*'Capacity (local prices)'!$C176</f>
        <v>#REF!</v>
      </c>
      <c r="F176" s="116" t="e">
        <f>'Financial impact (cash)'!F16*'Capacity (local prices)'!$C176</f>
        <v>#REF!</v>
      </c>
      <c r="G176" s="116" t="e">
        <f>'Financial impact (cash)'!G16*'Capacity (local prices)'!$C176</f>
        <v>#REF!</v>
      </c>
      <c r="H176" s="116" t="e">
        <f>'Financial impact (cash)'!H16*'Capacity (local prices)'!$C176</f>
        <v>#REF!</v>
      </c>
      <c r="I176" s="116" t="e">
        <f>'Financial impact (cash)'!I16*'Capacity (local prices)'!$C176</f>
        <v>#REF!</v>
      </c>
      <c r="J176" s="262"/>
      <c r="K176" s="262"/>
      <c r="L176" s="262"/>
      <c r="M176" s="262"/>
      <c r="N176" s="262"/>
      <c r="O176" s="262"/>
      <c r="P176" s="262"/>
      <c r="Q176" s="201"/>
      <c r="R176" s="121"/>
      <c r="S176" s="121"/>
      <c r="T176" s="121"/>
      <c r="U176" s="121"/>
      <c r="V176" s="121"/>
      <c r="W176" s="121"/>
      <c r="X176" s="121"/>
      <c r="AH176" s="258"/>
      <c r="AI176" s="258"/>
      <c r="AJ176" s="258"/>
      <c r="AK176" s="258"/>
      <c r="AL176" s="258"/>
    </row>
    <row r="177" spans="1:38" hidden="1" x14ac:dyDescent="0.25">
      <c r="A177" s="262"/>
      <c r="B177" s="311" t="str">
        <f t="shared" si="144"/>
        <v>Renal function</v>
      </c>
      <c r="C177" s="137" t="e">
        <f>'Capacity inputs'!#REF!</f>
        <v>#REF!</v>
      </c>
      <c r="D177" s="116" t="e">
        <f>'Financial impact (cash)'!#REF!*'Capacity (local prices)'!$C177</f>
        <v>#REF!</v>
      </c>
      <c r="E177" s="116" t="e">
        <f>'Financial impact (cash)'!#REF!*'Capacity (local prices)'!$C177</f>
        <v>#REF!</v>
      </c>
      <c r="F177" s="116" t="e">
        <f>'Financial impact (cash)'!#REF!*'Capacity (local prices)'!$C177</f>
        <v>#REF!</v>
      </c>
      <c r="G177" s="116" t="e">
        <f>'Financial impact (cash)'!#REF!*'Capacity (local prices)'!$C177</f>
        <v>#REF!</v>
      </c>
      <c r="H177" s="116" t="e">
        <f>'Financial impact (cash)'!#REF!*'Capacity (local prices)'!$C177</f>
        <v>#REF!</v>
      </c>
      <c r="I177" s="116" t="e">
        <f>'Financial impact (cash)'!#REF!*'Capacity (local prices)'!$C177</f>
        <v>#REF!</v>
      </c>
      <c r="J177" s="262"/>
      <c r="K177" s="262"/>
      <c r="L177" s="262"/>
      <c r="M177" s="262"/>
      <c r="N177" s="262"/>
      <c r="O177" s="262"/>
      <c r="P177" s="262"/>
      <c r="Q177" s="201"/>
      <c r="R177" s="121"/>
      <c r="S177" s="121"/>
      <c r="T177" s="121"/>
      <c r="U177" s="121"/>
      <c r="V177" s="121"/>
      <c r="W177" s="121"/>
      <c r="X177" s="121"/>
      <c r="AH177" s="258"/>
      <c r="AI177" s="258"/>
      <c r="AJ177" s="258"/>
      <c r="AK177" s="258"/>
      <c r="AL177" s="258"/>
    </row>
    <row r="178" spans="1:38" hidden="1" x14ac:dyDescent="0.25">
      <c r="A178" s="262"/>
      <c r="B178" s="311" t="str">
        <f t="shared" si="144"/>
        <v>Thyroid function</v>
      </c>
      <c r="C178" s="137" t="e">
        <f>'Capacity inputs'!#REF!</f>
        <v>#REF!</v>
      </c>
      <c r="D178" s="116" t="e">
        <f>'Financial impact (cash)'!#REF!*'Capacity (local prices)'!$C178</f>
        <v>#REF!</v>
      </c>
      <c r="E178" s="116" t="e">
        <f>'Financial impact (cash)'!#REF!*'Capacity (local prices)'!$C178</f>
        <v>#REF!</v>
      </c>
      <c r="F178" s="116" t="e">
        <f>'Financial impact (cash)'!#REF!*'Capacity (local prices)'!$C178</f>
        <v>#REF!</v>
      </c>
      <c r="G178" s="116" t="e">
        <f>'Financial impact (cash)'!#REF!*'Capacity (local prices)'!$C178</f>
        <v>#REF!</v>
      </c>
      <c r="H178" s="116" t="e">
        <f>'Financial impact (cash)'!#REF!*'Capacity (local prices)'!$C178</f>
        <v>#REF!</v>
      </c>
      <c r="I178" s="116" t="e">
        <f>'Financial impact (cash)'!#REF!*'Capacity (local prices)'!$C178</f>
        <v>#REF!</v>
      </c>
      <c r="J178" s="262"/>
      <c r="K178" s="262"/>
      <c r="L178" s="262"/>
      <c r="M178" s="262"/>
      <c r="N178" s="262"/>
      <c r="O178" s="262"/>
      <c r="P178" s="262"/>
      <c r="Q178" s="201"/>
      <c r="R178" s="121"/>
      <c r="S178" s="121"/>
      <c r="T178" s="121"/>
      <c r="U178" s="121"/>
      <c r="V178" s="121"/>
      <c r="W178" s="121"/>
      <c r="X178" s="121"/>
      <c r="AH178" s="258"/>
      <c r="AI178" s="258"/>
      <c r="AJ178" s="258"/>
      <c r="AK178" s="258"/>
      <c r="AL178" s="258"/>
    </row>
    <row r="179" spans="1:38" hidden="1" x14ac:dyDescent="0.25">
      <c r="A179" s="262"/>
      <c r="B179" s="311" t="str">
        <f t="shared" si="144"/>
        <v>Neurologic function</v>
      </c>
      <c r="C179" s="137" t="e">
        <f>'Capacity inputs'!#REF!</f>
        <v>#REF!</v>
      </c>
      <c r="D179" s="116" t="e">
        <f>'Financial impact (cash)'!#REF!*'Capacity (local prices)'!$C179</f>
        <v>#REF!</v>
      </c>
      <c r="E179" s="116" t="e">
        <f>'Financial impact (cash)'!#REF!*'Capacity (local prices)'!$C179</f>
        <v>#REF!</v>
      </c>
      <c r="F179" s="116" t="e">
        <f>'Financial impact (cash)'!#REF!*'Capacity (local prices)'!$C179</f>
        <v>#REF!</v>
      </c>
      <c r="G179" s="116" t="e">
        <f>'Financial impact (cash)'!#REF!*'Capacity (local prices)'!$C179</f>
        <v>#REF!</v>
      </c>
      <c r="H179" s="116" t="e">
        <f>'Financial impact (cash)'!#REF!*'Capacity (local prices)'!$C179</f>
        <v>#REF!</v>
      </c>
      <c r="I179" s="116" t="e">
        <f>'Financial impact (cash)'!#REF!*'Capacity (local prices)'!$C179</f>
        <v>#REF!</v>
      </c>
      <c r="J179" s="262"/>
      <c r="K179" s="262"/>
      <c r="L179" s="262"/>
      <c r="M179" s="262"/>
      <c r="N179" s="262"/>
      <c r="O179" s="262"/>
      <c r="P179" s="262"/>
      <c r="Q179" s="201"/>
      <c r="R179" s="121"/>
      <c r="S179" s="121"/>
      <c r="T179" s="121"/>
      <c r="U179" s="121"/>
      <c r="V179" s="121"/>
      <c r="W179" s="121"/>
      <c r="X179" s="121"/>
      <c r="AH179" s="258"/>
      <c r="AI179" s="258"/>
      <c r="AJ179" s="258"/>
      <c r="AK179" s="258"/>
      <c r="AL179" s="258"/>
    </row>
    <row r="180" spans="1:38" hidden="1" x14ac:dyDescent="0.25">
      <c r="A180" s="262"/>
      <c r="B180" s="311" t="e">
        <f>#REF!</f>
        <v>#REF!</v>
      </c>
      <c r="C180" s="137" t="e">
        <f>'Capacity inputs'!#REF!</f>
        <v>#REF!</v>
      </c>
      <c r="D180" s="116" t="e">
        <f>'Financial impact (cash)'!#REF!*'Capacity (local prices)'!$C180</f>
        <v>#REF!</v>
      </c>
      <c r="E180" s="116" t="e">
        <f>'Financial impact (cash)'!#REF!*'Capacity (local prices)'!$C180</f>
        <v>#REF!</v>
      </c>
      <c r="F180" s="116" t="e">
        <f>'Financial impact (cash)'!#REF!*'Capacity (local prices)'!$C180</f>
        <v>#REF!</v>
      </c>
      <c r="G180" s="116" t="e">
        <f>'Financial impact (cash)'!#REF!*'Capacity (local prices)'!$C180</f>
        <v>#REF!</v>
      </c>
      <c r="H180" s="116" t="e">
        <f>'Financial impact (cash)'!#REF!*'Capacity (local prices)'!$C180</f>
        <v>#REF!</v>
      </c>
      <c r="I180" s="116" t="e">
        <f>'Financial impact (cash)'!#REF!*'Capacity (local prices)'!$C180</f>
        <v>#REF!</v>
      </c>
      <c r="J180" s="262"/>
      <c r="K180" s="262"/>
      <c r="L180" s="262"/>
      <c r="M180" s="262"/>
      <c r="N180" s="262"/>
      <c r="O180" s="262"/>
      <c r="P180" s="262"/>
      <c r="Q180" s="201"/>
      <c r="R180" s="121"/>
      <c r="S180" s="121"/>
      <c r="T180" s="121"/>
      <c r="U180" s="121"/>
      <c r="V180" s="121"/>
      <c r="W180" s="121"/>
      <c r="X180" s="121"/>
      <c r="AH180" s="258"/>
      <c r="AI180" s="258"/>
      <c r="AJ180" s="258"/>
      <c r="AK180" s="258"/>
      <c r="AL180" s="258"/>
    </row>
    <row r="181" spans="1:38" hidden="1" x14ac:dyDescent="0.25">
      <c r="A181" s="262"/>
      <c r="B181" s="252"/>
      <c r="C181" s="188"/>
      <c r="D181" s="168" t="e">
        <f>SUM(D174:D180)</f>
        <v>#REF!</v>
      </c>
      <c r="E181" s="168" t="e">
        <f t="shared" ref="E181:I181" si="145">SUM(E174:E180)</f>
        <v>#REF!</v>
      </c>
      <c r="F181" s="168" t="e">
        <f t="shared" si="145"/>
        <v>#REF!</v>
      </c>
      <c r="G181" s="168" t="e">
        <f t="shared" si="145"/>
        <v>#REF!</v>
      </c>
      <c r="H181" s="168" t="e">
        <f t="shared" si="145"/>
        <v>#REF!</v>
      </c>
      <c r="I181" s="168" t="e">
        <f t="shared" si="145"/>
        <v>#REF!</v>
      </c>
      <c r="J181" s="262"/>
      <c r="K181" s="262"/>
      <c r="L181" s="262"/>
      <c r="M181" s="262"/>
      <c r="N181" s="262"/>
      <c r="O181" s="262"/>
      <c r="P181" s="262"/>
      <c r="Q181" s="201"/>
      <c r="R181" s="121"/>
      <c r="S181" s="121"/>
      <c r="T181" s="121"/>
      <c r="U181" s="121"/>
      <c r="V181" s="121"/>
      <c r="W181" s="121"/>
      <c r="X181" s="121"/>
      <c r="AH181" s="258"/>
      <c r="AI181" s="258"/>
      <c r="AJ181" s="258"/>
      <c r="AK181" s="258"/>
      <c r="AL181" s="258"/>
    </row>
    <row r="182" spans="1:38" hidden="1" x14ac:dyDescent="0.25">
      <c r="A182" s="262"/>
      <c r="B182" s="279"/>
      <c r="C182" s="230"/>
      <c r="D182" s="257" t="s">
        <v>773</v>
      </c>
      <c r="E182" s="168" t="e">
        <f>E181-$D$181</f>
        <v>#REF!</v>
      </c>
      <c r="F182" s="168" t="e">
        <f>F181-$D$181</f>
        <v>#REF!</v>
      </c>
      <c r="G182" s="168" t="e">
        <f>G181-$D$181</f>
        <v>#REF!</v>
      </c>
      <c r="H182" s="168" t="e">
        <f>H181-$D$181</f>
        <v>#REF!</v>
      </c>
      <c r="I182" s="168" t="e">
        <f>I181-$D$181</f>
        <v>#REF!</v>
      </c>
      <c r="J182" s="262"/>
      <c r="K182" s="262"/>
      <c r="L182" s="262"/>
      <c r="M182" s="262"/>
      <c r="N182" s="262"/>
      <c r="O182" s="262"/>
      <c r="P182" s="262"/>
      <c r="Q182" s="201"/>
      <c r="R182" s="121"/>
      <c r="T182" s="121"/>
    </row>
    <row r="183" spans="1:38" hidden="1" x14ac:dyDescent="0.25">
      <c r="A183" s="262"/>
      <c r="B183" s="294"/>
      <c r="C183" s="201"/>
      <c r="D183" s="201"/>
      <c r="E183" s="201"/>
      <c r="F183" s="201"/>
      <c r="G183" s="201"/>
      <c r="H183" s="201"/>
      <c r="I183" s="201"/>
      <c r="J183" s="201"/>
      <c r="K183" s="201"/>
      <c r="L183" s="201"/>
      <c r="M183" s="201"/>
      <c r="N183" s="201"/>
      <c r="O183" s="201"/>
      <c r="P183" s="201"/>
      <c r="Q183" s="201"/>
      <c r="R183" s="121"/>
      <c r="T183" s="121"/>
    </row>
    <row r="184" spans="1:38" hidden="1" x14ac:dyDescent="0.25">
      <c r="A184" s="262"/>
      <c r="B184" s="352" t="s">
        <v>668</v>
      </c>
      <c r="C184" s="353"/>
      <c r="D184" s="353"/>
      <c r="E184" s="353"/>
      <c r="F184" s="353"/>
      <c r="G184" s="353"/>
      <c r="H184" s="353"/>
      <c r="I184" s="200"/>
      <c r="J184" s="201"/>
      <c r="K184" s="201"/>
      <c r="L184" s="201"/>
      <c r="M184" s="201"/>
      <c r="N184" s="201"/>
      <c r="O184" s="201"/>
      <c r="P184" s="201"/>
      <c r="Q184" s="201"/>
      <c r="R184" s="121"/>
      <c r="S184" s="121"/>
      <c r="T184" s="121"/>
      <c r="U184" s="121"/>
      <c r="V184" s="121"/>
      <c r="W184" s="121"/>
      <c r="X184" s="121"/>
      <c r="AH184" s="258"/>
      <c r="AI184" s="258"/>
      <c r="AJ184" s="258"/>
      <c r="AK184" s="258"/>
      <c r="AL184" s="258"/>
    </row>
    <row r="185" spans="1:38" ht="45" hidden="1" x14ac:dyDescent="0.25">
      <c r="A185" s="262"/>
      <c r="B185" s="251" t="s">
        <v>703</v>
      </c>
      <c r="C185" s="153" t="s">
        <v>751</v>
      </c>
      <c r="D185" s="802" t="s">
        <v>737</v>
      </c>
      <c r="E185" s="229" t="s">
        <v>591</v>
      </c>
      <c r="F185" s="229" t="s">
        <v>592</v>
      </c>
      <c r="G185" s="152" t="s">
        <v>714</v>
      </c>
      <c r="H185" s="152" t="s">
        <v>715</v>
      </c>
      <c r="I185" s="229" t="s">
        <v>716</v>
      </c>
      <c r="J185" s="262"/>
      <c r="K185" s="262"/>
      <c r="L185" s="201"/>
      <c r="M185" s="201"/>
      <c r="N185" s="201"/>
      <c r="O185" s="201"/>
      <c r="P185" s="201"/>
      <c r="Q185" s="201"/>
      <c r="R185" s="121"/>
      <c r="S185" s="121"/>
      <c r="T185" s="121"/>
      <c r="U185" s="121"/>
      <c r="V185" s="121"/>
      <c r="W185" s="121"/>
      <c r="X185" s="121"/>
      <c r="AH185" s="258"/>
      <c r="AI185" s="258"/>
      <c r="AJ185" s="258"/>
      <c r="AK185" s="258"/>
      <c r="AL185" s="258"/>
    </row>
    <row r="186" spans="1:38" hidden="1" x14ac:dyDescent="0.25">
      <c r="A186" s="262"/>
      <c r="B186" s="311" t="str">
        <f>B174</f>
        <v>Blood counts</v>
      </c>
      <c r="C186" s="137" t="e">
        <f>'Capacity inputs'!#REF!</f>
        <v>#REF!</v>
      </c>
      <c r="D186" s="116" t="e">
        <f>'Financial impact (cash)'!D13*'Capacity (local prices)'!$C186</f>
        <v>#REF!</v>
      </c>
      <c r="E186" s="116" t="e">
        <f>'Financial impact (cash)'!E13*'Capacity (local prices)'!$C186</f>
        <v>#REF!</v>
      </c>
      <c r="F186" s="116" t="e">
        <f>'Financial impact (cash)'!F13*'Capacity (local prices)'!$C186</f>
        <v>#REF!</v>
      </c>
      <c r="G186" s="116" t="e">
        <f>'Financial impact (cash)'!G13*'Capacity (local prices)'!$C186</f>
        <v>#REF!</v>
      </c>
      <c r="H186" s="116" t="e">
        <f>'Financial impact (cash)'!H13*'Capacity (local prices)'!$C186</f>
        <v>#REF!</v>
      </c>
      <c r="I186" s="116" t="e">
        <f>'Financial impact (cash)'!I13*'Capacity (local prices)'!$C186</f>
        <v>#REF!</v>
      </c>
      <c r="J186" s="262"/>
      <c r="K186" s="262"/>
      <c r="L186" s="201"/>
      <c r="M186" s="201"/>
      <c r="N186" s="201"/>
      <c r="O186" s="201"/>
      <c r="P186" s="201"/>
      <c r="Q186" s="201"/>
      <c r="R186" s="121"/>
      <c r="S186" s="121"/>
      <c r="T186" s="121"/>
      <c r="U186" s="121"/>
      <c r="V186" s="121"/>
      <c r="W186" s="121"/>
      <c r="X186" s="121"/>
      <c r="AH186" s="258"/>
      <c r="AI186" s="258"/>
      <c r="AJ186" s="258"/>
      <c r="AK186" s="258"/>
      <c r="AL186" s="258"/>
    </row>
    <row r="187" spans="1:38" hidden="1" x14ac:dyDescent="0.25">
      <c r="A187" s="262"/>
      <c r="B187" s="311" t="str">
        <f t="shared" ref="B187:B192" si="146">B175</f>
        <v>Hepatic function</v>
      </c>
      <c r="C187" s="137" t="e">
        <f>'Capacity inputs'!#REF!</f>
        <v>#REF!</v>
      </c>
      <c r="D187" s="116" t="e">
        <f>'Financial impact (cash)'!D15*'Capacity (local prices)'!$C187</f>
        <v>#REF!</v>
      </c>
      <c r="E187" s="116" t="e">
        <f>'Financial impact (cash)'!E15*'Capacity (local prices)'!$C187</f>
        <v>#REF!</v>
      </c>
      <c r="F187" s="116" t="e">
        <f>'Financial impact (cash)'!F15*'Capacity (local prices)'!$C187</f>
        <v>#REF!</v>
      </c>
      <c r="G187" s="116" t="e">
        <f>'Financial impact (cash)'!G15*'Capacity (local prices)'!$C187</f>
        <v>#REF!</v>
      </c>
      <c r="H187" s="116" t="e">
        <f>'Financial impact (cash)'!H15*'Capacity (local prices)'!$C187</f>
        <v>#REF!</v>
      </c>
      <c r="I187" s="116" t="e">
        <f>'Financial impact (cash)'!I15*'Capacity (local prices)'!$C187</f>
        <v>#REF!</v>
      </c>
      <c r="J187" s="262"/>
      <c r="K187" s="262"/>
      <c r="L187" s="201"/>
      <c r="M187" s="201"/>
      <c r="N187" s="201"/>
      <c r="O187" s="201"/>
      <c r="P187" s="201"/>
      <c r="Q187" s="201"/>
      <c r="R187" s="121"/>
      <c r="S187" s="121"/>
      <c r="T187" s="121"/>
      <c r="U187" s="121"/>
      <c r="V187" s="121"/>
      <c r="W187" s="121"/>
      <c r="X187" s="121"/>
      <c r="AH187" s="258"/>
      <c r="AI187" s="258"/>
      <c r="AJ187" s="258"/>
      <c r="AK187" s="258"/>
      <c r="AL187" s="258"/>
    </row>
    <row r="188" spans="1:38" hidden="1" x14ac:dyDescent="0.25">
      <c r="A188" s="262"/>
      <c r="B188" s="311" t="str">
        <f t="shared" si="146"/>
        <v>Adrenal function</v>
      </c>
      <c r="C188" s="137" t="e">
        <f>'Capacity inputs'!#REF!</f>
        <v>#REF!</v>
      </c>
      <c r="D188" s="116" t="e">
        <f>'Financial impact (cash)'!D16*'Capacity (local prices)'!$C188</f>
        <v>#REF!</v>
      </c>
      <c r="E188" s="116" t="e">
        <f>'Financial impact (cash)'!E16*'Capacity (local prices)'!$C188</f>
        <v>#REF!</v>
      </c>
      <c r="F188" s="116" t="e">
        <f>'Financial impact (cash)'!F16*'Capacity (local prices)'!$C188</f>
        <v>#REF!</v>
      </c>
      <c r="G188" s="116" t="e">
        <f>'Financial impact (cash)'!G16*'Capacity (local prices)'!$C188</f>
        <v>#REF!</v>
      </c>
      <c r="H188" s="116" t="e">
        <f>'Financial impact (cash)'!H16*'Capacity (local prices)'!$C188</f>
        <v>#REF!</v>
      </c>
      <c r="I188" s="116" t="e">
        <f>'Financial impact (cash)'!I16*'Capacity (local prices)'!$C188</f>
        <v>#REF!</v>
      </c>
      <c r="J188" s="262"/>
      <c r="K188" s="262"/>
      <c r="L188" s="201"/>
      <c r="M188" s="201"/>
      <c r="N188" s="201"/>
      <c r="O188" s="201"/>
      <c r="P188" s="201"/>
      <c r="Q188" s="201"/>
      <c r="R188" s="121"/>
      <c r="S188" s="121"/>
      <c r="T188" s="121"/>
      <c r="U188" s="121"/>
      <c r="V188" s="121"/>
      <c r="W188" s="121"/>
      <c r="X188" s="121"/>
      <c r="AH188" s="258"/>
      <c r="AI188" s="258"/>
      <c r="AJ188" s="258"/>
      <c r="AK188" s="258"/>
      <c r="AL188" s="258"/>
    </row>
    <row r="189" spans="1:38" hidden="1" x14ac:dyDescent="0.25">
      <c r="A189" s="262"/>
      <c r="B189" s="311" t="str">
        <f t="shared" si="146"/>
        <v>Renal function</v>
      </c>
      <c r="C189" s="137" t="e">
        <f>'Capacity inputs'!#REF!</f>
        <v>#REF!</v>
      </c>
      <c r="D189" s="116" t="e">
        <f>'Financial impact (cash)'!#REF!*'Capacity (local prices)'!$C189</f>
        <v>#REF!</v>
      </c>
      <c r="E189" s="116" t="e">
        <f>'Financial impact (cash)'!#REF!*'Capacity (local prices)'!$C189</f>
        <v>#REF!</v>
      </c>
      <c r="F189" s="116" t="e">
        <f>'Financial impact (cash)'!#REF!*'Capacity (local prices)'!$C189</f>
        <v>#REF!</v>
      </c>
      <c r="G189" s="116" t="e">
        <f>'Financial impact (cash)'!#REF!*'Capacity (local prices)'!$C189</f>
        <v>#REF!</v>
      </c>
      <c r="H189" s="116" t="e">
        <f>'Financial impact (cash)'!#REF!*'Capacity (local prices)'!$C189</f>
        <v>#REF!</v>
      </c>
      <c r="I189" s="116" t="e">
        <f>'Financial impact (cash)'!#REF!*'Capacity (local prices)'!$C189</f>
        <v>#REF!</v>
      </c>
      <c r="J189" s="262"/>
      <c r="K189" s="262"/>
      <c r="L189" s="201"/>
      <c r="M189" s="201"/>
      <c r="N189" s="201"/>
      <c r="O189" s="201"/>
      <c r="P189" s="201"/>
      <c r="Q189" s="201"/>
      <c r="R189" s="121"/>
      <c r="S189" s="121"/>
      <c r="T189" s="121"/>
      <c r="U189" s="121"/>
      <c r="V189" s="121"/>
      <c r="W189" s="121"/>
      <c r="X189" s="121"/>
      <c r="AH189" s="258"/>
      <c r="AI189" s="258"/>
      <c r="AJ189" s="258"/>
      <c r="AK189" s="258"/>
      <c r="AL189" s="258"/>
    </row>
    <row r="190" spans="1:38" hidden="1" x14ac:dyDescent="0.25">
      <c r="A190" s="262"/>
      <c r="B190" s="311" t="str">
        <f t="shared" si="146"/>
        <v>Thyroid function</v>
      </c>
      <c r="C190" s="137" t="e">
        <f>'Capacity inputs'!#REF!</f>
        <v>#REF!</v>
      </c>
      <c r="D190" s="116" t="e">
        <f>'Financial impact (cash)'!#REF!*'Capacity (local prices)'!$C190</f>
        <v>#REF!</v>
      </c>
      <c r="E190" s="116" t="e">
        <f>'Financial impact (cash)'!#REF!*'Capacity (local prices)'!$C190</f>
        <v>#REF!</v>
      </c>
      <c r="F190" s="116" t="e">
        <f>'Financial impact (cash)'!#REF!*'Capacity (local prices)'!$C190</f>
        <v>#REF!</v>
      </c>
      <c r="G190" s="116" t="e">
        <f>'Financial impact (cash)'!#REF!*'Capacity (local prices)'!$C190</f>
        <v>#REF!</v>
      </c>
      <c r="H190" s="116" t="e">
        <f>'Financial impact (cash)'!#REF!*'Capacity (local prices)'!$C190</f>
        <v>#REF!</v>
      </c>
      <c r="I190" s="116" t="e">
        <f>'Financial impact (cash)'!#REF!*'Capacity (local prices)'!$C190</f>
        <v>#REF!</v>
      </c>
      <c r="J190" s="262"/>
      <c r="K190" s="262"/>
      <c r="L190" s="201"/>
      <c r="M190" s="201"/>
      <c r="N190" s="201"/>
      <c r="O190" s="201"/>
      <c r="P190" s="201"/>
      <c r="Q190" s="201"/>
      <c r="R190" s="121"/>
      <c r="S190" s="121"/>
      <c r="T190" s="121"/>
      <c r="U190" s="121"/>
      <c r="V190" s="121"/>
      <c r="W190" s="121"/>
      <c r="X190" s="121"/>
      <c r="AH190" s="258"/>
      <c r="AI190" s="258"/>
      <c r="AJ190" s="258"/>
      <c r="AK190" s="258"/>
      <c r="AL190" s="258"/>
    </row>
    <row r="191" spans="1:38" hidden="1" x14ac:dyDescent="0.25">
      <c r="A191" s="262"/>
      <c r="B191" s="311" t="str">
        <f t="shared" si="146"/>
        <v>Neurologic function</v>
      </c>
      <c r="C191" s="137" t="e">
        <f>'Capacity inputs'!#REF!</f>
        <v>#REF!</v>
      </c>
      <c r="D191" s="116" t="e">
        <f>'Financial impact (cash)'!#REF!*'Capacity (local prices)'!$C191</f>
        <v>#REF!</v>
      </c>
      <c r="E191" s="116" t="e">
        <f>'Financial impact (cash)'!#REF!*'Capacity (local prices)'!$C191</f>
        <v>#REF!</v>
      </c>
      <c r="F191" s="116" t="e">
        <f>'Financial impact (cash)'!#REF!*'Capacity (local prices)'!$C191</f>
        <v>#REF!</v>
      </c>
      <c r="G191" s="116" t="e">
        <f>'Financial impact (cash)'!#REF!*'Capacity (local prices)'!$C191</f>
        <v>#REF!</v>
      </c>
      <c r="H191" s="116" t="e">
        <f>'Financial impact (cash)'!#REF!*'Capacity (local prices)'!$C191</f>
        <v>#REF!</v>
      </c>
      <c r="I191" s="116" t="e">
        <f>'Financial impact (cash)'!#REF!*'Capacity (local prices)'!$C191</f>
        <v>#REF!</v>
      </c>
      <c r="J191" s="262"/>
      <c r="K191" s="262"/>
      <c r="L191" s="201"/>
      <c r="M191" s="201"/>
      <c r="N191" s="201"/>
      <c r="O191" s="201"/>
      <c r="P191" s="201"/>
      <c r="Q191" s="201"/>
      <c r="R191" s="121"/>
      <c r="S191" s="121"/>
      <c r="T191" s="121"/>
      <c r="U191" s="121"/>
      <c r="V191" s="121"/>
      <c r="W191" s="121"/>
      <c r="X191" s="121"/>
      <c r="AH191" s="258"/>
      <c r="AI191" s="258"/>
      <c r="AJ191" s="258"/>
      <c r="AK191" s="258"/>
      <c r="AL191" s="258"/>
    </row>
    <row r="192" spans="1:38" hidden="1" x14ac:dyDescent="0.25">
      <c r="A192" s="262"/>
      <c r="B192" s="311" t="e">
        <f t="shared" si="146"/>
        <v>#REF!</v>
      </c>
      <c r="C192" s="137" t="e">
        <f>'Capacity inputs'!#REF!</f>
        <v>#REF!</v>
      </c>
      <c r="D192" s="116" t="e">
        <f>'Financial impact (cash)'!#REF!*'Capacity (local prices)'!$C192</f>
        <v>#REF!</v>
      </c>
      <c r="E192" s="116" t="e">
        <f>'Financial impact (cash)'!#REF!*'Capacity (local prices)'!$C192</f>
        <v>#REF!</v>
      </c>
      <c r="F192" s="116" t="e">
        <f>'Financial impact (cash)'!#REF!*'Capacity (local prices)'!$C192</f>
        <v>#REF!</v>
      </c>
      <c r="G192" s="116" t="e">
        <f>'Financial impact (cash)'!#REF!*'Capacity (local prices)'!$C192</f>
        <v>#REF!</v>
      </c>
      <c r="H192" s="116" t="e">
        <f>'Financial impact (cash)'!#REF!*'Capacity (local prices)'!$C192</f>
        <v>#REF!</v>
      </c>
      <c r="I192" s="116" t="e">
        <f>'Financial impact (cash)'!#REF!*'Capacity (local prices)'!$C192</f>
        <v>#REF!</v>
      </c>
      <c r="J192" s="262"/>
      <c r="K192" s="262"/>
      <c r="L192" s="201"/>
      <c r="M192" s="201"/>
      <c r="N192" s="201"/>
      <c r="O192" s="201"/>
      <c r="P192" s="201"/>
      <c r="Q192" s="201"/>
      <c r="R192" s="121"/>
      <c r="S192" s="121"/>
      <c r="T192" s="121"/>
      <c r="U192" s="121"/>
      <c r="V192" s="121"/>
      <c r="W192" s="121"/>
      <c r="X192" s="121"/>
      <c r="AH192" s="258"/>
      <c r="AI192" s="258"/>
      <c r="AJ192" s="258"/>
      <c r="AK192" s="258"/>
      <c r="AL192" s="258"/>
    </row>
    <row r="193" spans="1:38" hidden="1" x14ac:dyDescent="0.25">
      <c r="A193" s="262"/>
      <c r="B193" s="252"/>
      <c r="C193" s="188"/>
      <c r="D193" s="168" t="e">
        <f>SUM(D186:D192)</f>
        <v>#REF!</v>
      </c>
      <c r="E193" s="168" t="e">
        <f t="shared" ref="E193:I193" si="147">SUM(E186:E192)</f>
        <v>#REF!</v>
      </c>
      <c r="F193" s="168" t="e">
        <f t="shared" si="147"/>
        <v>#REF!</v>
      </c>
      <c r="G193" s="168" t="e">
        <f t="shared" si="147"/>
        <v>#REF!</v>
      </c>
      <c r="H193" s="168" t="e">
        <f t="shared" si="147"/>
        <v>#REF!</v>
      </c>
      <c r="I193" s="168" t="e">
        <f t="shared" si="147"/>
        <v>#REF!</v>
      </c>
      <c r="J193" s="262"/>
      <c r="K193" s="262"/>
      <c r="L193" s="201"/>
      <c r="M193" s="201"/>
      <c r="N193" s="201"/>
      <c r="O193" s="201"/>
      <c r="P193" s="201"/>
      <c r="Q193" s="201"/>
      <c r="R193" s="121"/>
      <c r="S193" s="121"/>
      <c r="T193" s="121"/>
      <c r="U193" s="121"/>
      <c r="V193" s="121"/>
      <c r="W193" s="121"/>
      <c r="X193" s="121"/>
      <c r="AH193" s="258"/>
      <c r="AI193" s="258"/>
      <c r="AJ193" s="258"/>
      <c r="AK193" s="258"/>
      <c r="AL193" s="258"/>
    </row>
    <row r="194" spans="1:38" hidden="1" x14ac:dyDescent="0.25">
      <c r="A194" s="262"/>
      <c r="B194" s="279"/>
      <c r="C194" s="230"/>
      <c r="D194" s="257" t="s">
        <v>774</v>
      </c>
      <c r="E194" s="168" t="e">
        <f>E193-$D$193</f>
        <v>#REF!</v>
      </c>
      <c r="F194" s="168" t="e">
        <f>F193-$D$193</f>
        <v>#REF!</v>
      </c>
      <c r="G194" s="168" t="e">
        <f>G193-$D$193</f>
        <v>#REF!</v>
      </c>
      <c r="H194" s="168" t="e">
        <f>H193-$D$193</f>
        <v>#REF!</v>
      </c>
      <c r="I194" s="168" t="e">
        <f>I193-$D$193</f>
        <v>#REF!</v>
      </c>
      <c r="J194" s="262"/>
      <c r="K194" s="262"/>
      <c r="L194" s="201"/>
      <c r="M194" s="201"/>
      <c r="N194" s="201"/>
      <c r="O194" s="201"/>
      <c r="P194" s="201"/>
      <c r="Q194" s="201"/>
      <c r="R194" s="121"/>
      <c r="T194" s="121"/>
    </row>
    <row r="195" spans="1:38" hidden="1" x14ac:dyDescent="0.25">
      <c r="A195" s="262"/>
      <c r="B195" s="262"/>
      <c r="C195" s="201"/>
      <c r="D195" s="262"/>
      <c r="E195" s="262"/>
      <c r="F195" s="262"/>
      <c r="G195" s="262"/>
      <c r="H195" s="262"/>
      <c r="I195" s="201"/>
      <c r="J195" s="201"/>
      <c r="K195" s="201"/>
      <c r="L195" s="201"/>
      <c r="M195" s="201"/>
      <c r="N195" s="201"/>
      <c r="O195" s="201"/>
      <c r="P195" s="201"/>
      <c r="Q195" s="201"/>
      <c r="R195" s="121"/>
      <c r="T195" s="121"/>
    </row>
    <row r="196" spans="1:38" x14ac:dyDescent="0.25">
      <c r="B196"/>
    </row>
    <row r="197" spans="1:38" x14ac:dyDescent="0.25">
      <c r="B197"/>
    </row>
    <row r="198" spans="1:38" x14ac:dyDescent="0.25">
      <c r="B198"/>
    </row>
    <row r="199" spans="1:38" x14ac:dyDescent="0.25">
      <c r="B199"/>
    </row>
    <row r="200" spans="1:38" x14ac:dyDescent="0.25">
      <c r="B200"/>
    </row>
  </sheetData>
  <sheetProtection algorithmName="SHA-512" hashValue="meJKu92R96m9wGvohE45ivxkC7qLCW1lvtM1ZE5FcGh5Z1WDlrT09RjHO3V2iJ6cczOEZT3E3pGhD13cSa3Hiw==" saltValue="BpCJ0w3faE8rLYlWK53Thw=="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6" min="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207"/>
  <sheetViews>
    <sheetView showGridLines="0" topLeftCell="B1" zoomScale="90" zoomScaleNormal="90" zoomScaleSheetLayoutView="30" workbookViewId="0">
      <selection activeCell="K1" sqref="K1"/>
    </sheetView>
  </sheetViews>
  <sheetFormatPr defaultColWidth="8.85546875" defaultRowHeight="15" x14ac:dyDescent="0.25"/>
  <cols>
    <col min="1" max="1" width="3.5703125" customWidth="1"/>
    <col min="2" max="2" width="56.5703125" style="1" customWidth="1"/>
    <col min="3" max="9" width="12.5703125" customWidth="1"/>
    <col min="10" max="10" width="1.85546875" customWidth="1"/>
    <col min="11" max="18" width="11.5703125" customWidth="1"/>
    <col min="19" max="19" width="11.42578125" customWidth="1"/>
    <col min="20" max="20" width="11.5703125" customWidth="1"/>
    <col min="21" max="26" width="10.85546875" customWidth="1"/>
    <col min="28" max="41" width="0" hidden="1" customWidth="1"/>
  </cols>
  <sheetData>
    <row r="1" spans="1:40" ht="30" customHeight="1" x14ac:dyDescent="0.25">
      <c r="B1" s="447" t="str">
        <f>'Inputs and population'!B1</f>
        <v>Enfortumab vedotin with pembrolizumab for untreated unresectable or metastatic urothelial cancer when platinum-based chemotherapy is suitable</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 customHeight="1" x14ac:dyDescent="0.25">
      <c r="B2" s="192" t="s">
        <v>775</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45" customHeight="1" x14ac:dyDescent="0.25">
      <c r="B3" s="118" t="s">
        <v>599</v>
      </c>
      <c r="C3" s="121" t="s">
        <v>599</v>
      </c>
      <c r="D3" s="121" t="s">
        <v>599</v>
      </c>
      <c r="E3" s="121" t="s">
        <v>599</v>
      </c>
      <c r="F3" s="121" t="s">
        <v>599</v>
      </c>
      <c r="G3" s="121" t="s">
        <v>599</v>
      </c>
      <c r="H3" s="121" t="s">
        <v>599</v>
      </c>
      <c r="I3" s="121" t="s">
        <v>599</v>
      </c>
      <c r="J3" s="121" t="s">
        <v>599</v>
      </c>
      <c r="K3" s="121"/>
      <c r="L3" s="121" t="s">
        <v>599</v>
      </c>
      <c r="M3" s="121" t="s">
        <v>599</v>
      </c>
      <c r="N3" s="121" t="s">
        <v>599</v>
      </c>
      <c r="O3" s="121" t="s">
        <v>599</v>
      </c>
      <c r="P3" s="121" t="s">
        <v>599</v>
      </c>
      <c r="Q3" s="121"/>
      <c r="R3" s="121"/>
      <c r="S3" s="115"/>
      <c r="T3" s="115"/>
      <c r="U3" s="115"/>
      <c r="V3" s="115"/>
      <c r="W3" s="115"/>
      <c r="X3" s="115"/>
      <c r="Y3" s="121"/>
      <c r="Z3" s="121"/>
    </row>
    <row r="4" spans="1:40" ht="14.45" customHeight="1" x14ac:dyDescent="0.25">
      <c r="B4" t="s">
        <v>776</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45" customHeight="1" x14ac:dyDescent="0.25">
      <c r="B5" s="5"/>
      <c r="F5" s="121"/>
      <c r="G5" s="121"/>
      <c r="H5" s="121"/>
      <c r="I5" s="121"/>
      <c r="J5" s="121"/>
      <c r="K5" s="121"/>
      <c r="L5" s="121"/>
      <c r="M5" s="121"/>
      <c r="N5" s="121"/>
      <c r="O5" s="121"/>
      <c r="P5" s="121"/>
      <c r="Q5" s="121"/>
      <c r="R5" s="121"/>
      <c r="S5" s="115"/>
      <c r="T5" s="115"/>
      <c r="U5" s="115"/>
      <c r="V5" s="115"/>
      <c r="W5" s="115"/>
      <c r="X5" s="115"/>
      <c r="Y5" s="121"/>
      <c r="Z5" s="121"/>
    </row>
    <row r="6" spans="1:40" ht="45" x14ac:dyDescent="0.25">
      <c r="B6" s="231" t="s">
        <v>717</v>
      </c>
      <c r="C6" s="188"/>
      <c r="D6" s="802" t="s">
        <v>737</v>
      </c>
      <c r="E6" s="229" t="s">
        <v>591</v>
      </c>
      <c r="F6" s="229" t="s">
        <v>592</v>
      </c>
      <c r="G6" s="152" t="s">
        <v>714</v>
      </c>
      <c r="H6" s="152" t="s">
        <v>715</v>
      </c>
      <c r="I6" s="229" t="s">
        <v>716</v>
      </c>
      <c r="L6" s="802" t="s">
        <v>737</v>
      </c>
      <c r="M6" s="229" t="s">
        <v>591</v>
      </c>
      <c r="N6" s="229" t="s">
        <v>592</v>
      </c>
      <c r="O6" s="152" t="s">
        <v>714</v>
      </c>
      <c r="P6" s="152" t="s">
        <v>715</v>
      </c>
      <c r="Q6" s="229" t="s">
        <v>716</v>
      </c>
      <c r="R6" s="121"/>
      <c r="S6" s="115"/>
      <c r="T6" s="115"/>
      <c r="U6" s="115"/>
      <c r="V6" s="115"/>
      <c r="W6" s="115"/>
      <c r="X6" s="115"/>
      <c r="Y6" s="121"/>
      <c r="Z6" s="121"/>
      <c r="AJ6" s="258"/>
      <c r="AK6" s="258"/>
      <c r="AL6" s="258"/>
      <c r="AM6" s="258"/>
      <c r="AN6" s="258"/>
    </row>
    <row r="7" spans="1:40" ht="14.45" customHeight="1" x14ac:dyDescent="0.25">
      <c r="B7" s="203" t="s">
        <v>717</v>
      </c>
      <c r="C7" s="155"/>
      <c r="D7" s="334">
        <f>'Inputs and population'!E34</f>
        <v>1298.5707162590279</v>
      </c>
      <c r="E7" s="334">
        <f>'Inputs and population'!F34</f>
        <v>1309.9862170041781</v>
      </c>
      <c r="F7" s="334">
        <f>'Inputs and population'!G34</f>
        <v>1321.5020693556216</v>
      </c>
      <c r="G7" s="334">
        <f>'Inputs and population'!H34</f>
        <v>1333.1191554862141</v>
      </c>
      <c r="H7" s="334">
        <f>'Inputs and population'!I34</f>
        <v>1344.8383653238332</v>
      </c>
      <c r="I7" s="334">
        <f>'Inputs and population'!J34</f>
        <v>1356.6605966195514</v>
      </c>
      <c r="P7" s="121"/>
      <c r="Q7" s="121"/>
      <c r="R7" s="121"/>
      <c r="S7" s="115"/>
      <c r="T7" s="115"/>
      <c r="U7" s="115"/>
      <c r="V7" s="115"/>
      <c r="W7" s="115"/>
      <c r="X7" s="115"/>
      <c r="Y7" s="121"/>
      <c r="Z7" s="121"/>
      <c r="AJ7" s="258"/>
      <c r="AK7" s="258"/>
      <c r="AL7" s="258"/>
      <c r="AM7" s="258"/>
      <c r="AN7" s="258"/>
    </row>
    <row r="8" spans="1:40" ht="14.45" customHeight="1" x14ac:dyDescent="0.25">
      <c r="B8"/>
      <c r="P8" s="121"/>
      <c r="Q8" s="121"/>
      <c r="R8" s="121"/>
      <c r="S8" s="115"/>
      <c r="T8" s="115"/>
      <c r="U8" s="115"/>
      <c r="V8" s="115"/>
      <c r="W8" s="115"/>
      <c r="X8" s="115"/>
      <c r="Y8" s="121"/>
      <c r="Z8" s="121"/>
      <c r="AJ8" s="258"/>
      <c r="AK8" s="258"/>
      <c r="AL8" s="258"/>
      <c r="AM8" s="258"/>
      <c r="AN8" s="258"/>
    </row>
    <row r="9" spans="1:40" ht="14.45" customHeight="1" x14ac:dyDescent="0.25">
      <c r="B9" s="251" t="s">
        <v>745</v>
      </c>
      <c r="C9" s="361" t="s">
        <v>746</v>
      </c>
      <c r="D9" s="380"/>
      <c r="E9" s="381"/>
      <c r="F9" s="380"/>
      <c r="G9" s="382"/>
      <c r="H9" s="383"/>
      <c r="I9" s="383"/>
      <c r="J9" s="467"/>
      <c r="K9" s="688"/>
      <c r="L9" s="545" t="s">
        <v>721</v>
      </c>
      <c r="M9" s="545" t="s">
        <v>721</v>
      </c>
      <c r="N9" s="545" t="s">
        <v>721</v>
      </c>
      <c r="O9" s="545" t="s">
        <v>721</v>
      </c>
      <c r="P9" s="545" t="s">
        <v>721</v>
      </c>
      <c r="Q9" s="545" t="s">
        <v>721</v>
      </c>
      <c r="R9" s="121"/>
      <c r="S9" s="115"/>
      <c r="T9" s="115"/>
      <c r="U9" s="115"/>
      <c r="V9" s="115"/>
      <c r="W9" s="115"/>
      <c r="X9" s="115"/>
      <c r="Y9" s="121"/>
      <c r="Z9" s="121"/>
      <c r="AJ9" s="258"/>
      <c r="AK9" s="258"/>
      <c r="AL9" s="258"/>
      <c r="AM9" s="258"/>
      <c r="AN9" s="258"/>
    </row>
    <row r="10" spans="1:40" ht="14.45" customHeight="1" x14ac:dyDescent="0.25">
      <c r="A10" s="260"/>
      <c r="B10" s="387" t="str">
        <f>B31</f>
        <v>First attendances</v>
      </c>
      <c r="C10" s="339"/>
      <c r="D10" s="369">
        <f>D37</f>
        <v>0</v>
      </c>
      <c r="E10" s="369">
        <f t="shared" ref="E10:I10" si="0">E37</f>
        <v>0</v>
      </c>
      <c r="F10" s="369">
        <f t="shared" si="0"/>
        <v>0</v>
      </c>
      <c r="G10" s="369">
        <f t="shared" si="0"/>
        <v>0</v>
      </c>
      <c r="H10" s="369">
        <f t="shared" si="0"/>
        <v>0</v>
      </c>
      <c r="I10" s="369">
        <f t="shared" si="0"/>
        <v>0</v>
      </c>
      <c r="L10" s="263">
        <f>L37</f>
        <v>0</v>
      </c>
      <c r="M10" s="263">
        <f t="shared" ref="M10:Q10" si="1">M37</f>
        <v>0</v>
      </c>
      <c r="N10" s="263">
        <f t="shared" si="1"/>
        <v>0</v>
      </c>
      <c r="O10" s="263">
        <f t="shared" si="1"/>
        <v>0</v>
      </c>
      <c r="P10" s="263">
        <f t="shared" si="1"/>
        <v>0</v>
      </c>
      <c r="Q10" s="263">
        <f t="shared" si="1"/>
        <v>0</v>
      </c>
      <c r="R10" s="121"/>
      <c r="S10" s="121"/>
      <c r="T10" s="121"/>
      <c r="U10" s="121"/>
      <c r="V10" s="121"/>
      <c r="W10" s="121"/>
      <c r="X10" s="121"/>
      <c r="Y10" s="121"/>
      <c r="Z10" s="121"/>
      <c r="AJ10" s="258"/>
      <c r="AK10" s="258"/>
      <c r="AL10" s="258"/>
      <c r="AM10" s="258"/>
      <c r="AN10" s="258"/>
    </row>
    <row r="11" spans="1:40" ht="14.45" customHeight="1" x14ac:dyDescent="0.25">
      <c r="A11" s="260"/>
      <c r="B11" s="387" t="str">
        <f>B31&amp;" - hours"</f>
        <v>First attendances - hours</v>
      </c>
      <c r="C11" s="683">
        <f>'Capacity inputs'!F13</f>
        <v>0</v>
      </c>
      <c r="D11" s="369">
        <f>D10*$C11/60</f>
        <v>0</v>
      </c>
      <c r="E11" s="369">
        <f t="shared" ref="E11:I11" si="2">E10*$C11/60</f>
        <v>0</v>
      </c>
      <c r="F11" s="369">
        <f t="shared" si="2"/>
        <v>0</v>
      </c>
      <c r="G11" s="369">
        <f t="shared" si="2"/>
        <v>0</v>
      </c>
      <c r="H11" s="369">
        <f t="shared" si="2"/>
        <v>0</v>
      </c>
      <c r="I11" s="369">
        <f t="shared" si="2"/>
        <v>0</v>
      </c>
      <c r="L11" s="684"/>
      <c r="M11" s="684"/>
      <c r="N11" s="684"/>
      <c r="O11" s="684"/>
      <c r="P11" s="684"/>
      <c r="Q11" s="684"/>
      <c r="R11" s="121"/>
      <c r="S11" s="121"/>
      <c r="T11" s="121"/>
      <c r="U11" s="121"/>
      <c r="V11" s="121"/>
      <c r="W11" s="121"/>
      <c r="X11" s="121"/>
      <c r="Y11" s="121"/>
      <c r="Z11" s="121"/>
      <c r="AJ11" s="258"/>
      <c r="AK11" s="258"/>
      <c r="AL11" s="258"/>
      <c r="AM11" s="258"/>
      <c r="AN11" s="258"/>
    </row>
    <row r="12" spans="1:40" ht="14.45" customHeight="1" x14ac:dyDescent="0.25">
      <c r="A12" s="260"/>
      <c r="B12" s="387" t="str">
        <f>B40</f>
        <v>Follow up attendances</v>
      </c>
      <c r="C12" s="339"/>
      <c r="D12" s="369">
        <f>D46</f>
        <v>0</v>
      </c>
      <c r="E12" s="369">
        <f t="shared" ref="E12:I12" si="3">E46</f>
        <v>0</v>
      </c>
      <c r="F12" s="369">
        <f t="shared" si="3"/>
        <v>0</v>
      </c>
      <c r="G12" s="369">
        <f t="shared" si="3"/>
        <v>0</v>
      </c>
      <c r="H12" s="369">
        <f t="shared" si="3"/>
        <v>0</v>
      </c>
      <c r="I12" s="369">
        <f t="shared" si="3"/>
        <v>0</v>
      </c>
      <c r="L12" s="263">
        <f>L46</f>
        <v>0</v>
      </c>
      <c r="M12" s="263">
        <f t="shared" ref="M12:Q12" si="4">M46</f>
        <v>0</v>
      </c>
      <c r="N12" s="263">
        <f t="shared" si="4"/>
        <v>0</v>
      </c>
      <c r="O12" s="263">
        <f t="shared" si="4"/>
        <v>0</v>
      </c>
      <c r="P12" s="263">
        <f t="shared" si="4"/>
        <v>0</v>
      </c>
      <c r="Q12" s="263">
        <f t="shared" si="4"/>
        <v>0</v>
      </c>
      <c r="R12" s="121"/>
      <c r="S12" s="121"/>
      <c r="T12" s="121"/>
      <c r="U12" s="121"/>
      <c r="V12" s="121"/>
      <c r="W12" s="121"/>
      <c r="X12" s="121"/>
      <c r="Y12" s="121"/>
      <c r="Z12" s="121"/>
      <c r="AJ12" s="258"/>
      <c r="AK12" s="258"/>
      <c r="AL12" s="258"/>
      <c r="AM12" s="258"/>
      <c r="AN12" s="258"/>
    </row>
    <row r="13" spans="1:40" ht="14.45" customHeight="1" x14ac:dyDescent="0.25">
      <c r="A13" s="260"/>
      <c r="B13" s="387" t="str">
        <f>B40&amp;" - hours"</f>
        <v>Follow up attendances - hours</v>
      </c>
      <c r="C13" s="683">
        <f>'Capacity inputs'!F14</f>
        <v>0</v>
      </c>
      <c r="D13" s="369">
        <f>$C13/60*D12</f>
        <v>0</v>
      </c>
      <c r="E13" s="369">
        <f t="shared" ref="E13:I13" si="5">$C13/60*E12</f>
        <v>0</v>
      </c>
      <c r="F13" s="369">
        <f t="shared" si="5"/>
        <v>0</v>
      </c>
      <c r="G13" s="369">
        <f t="shared" si="5"/>
        <v>0</v>
      </c>
      <c r="H13" s="369">
        <f t="shared" si="5"/>
        <v>0</v>
      </c>
      <c r="I13" s="369">
        <f t="shared" si="5"/>
        <v>0</v>
      </c>
      <c r="L13" s="684"/>
      <c r="M13" s="684"/>
      <c r="N13" s="684"/>
      <c r="O13" s="684"/>
      <c r="P13" s="684"/>
      <c r="Q13" s="684"/>
      <c r="R13" s="121"/>
      <c r="S13" s="121"/>
      <c r="T13" s="121"/>
      <c r="U13" s="121"/>
      <c r="V13" s="121"/>
      <c r="W13" s="121"/>
      <c r="X13" s="121"/>
      <c r="Y13" s="121"/>
      <c r="Z13" s="121"/>
      <c r="AJ13" s="258"/>
      <c r="AK13" s="258"/>
      <c r="AL13" s="258"/>
      <c r="AM13" s="258"/>
      <c r="AN13" s="258"/>
    </row>
    <row r="14" spans="1:40" ht="14.45" customHeight="1" x14ac:dyDescent="0.25">
      <c r="A14" s="266"/>
      <c r="B14" s="384" t="str">
        <f>B67</f>
        <v>Number of administrations</v>
      </c>
      <c r="C14" s="365"/>
      <c r="D14" s="364">
        <f>D81</f>
        <v>0</v>
      </c>
      <c r="E14" s="364">
        <f t="shared" ref="E14:I14" si="6">E81</f>
        <v>0</v>
      </c>
      <c r="F14" s="364">
        <f t="shared" si="6"/>
        <v>0</v>
      </c>
      <c r="G14" s="364">
        <f t="shared" si="6"/>
        <v>0</v>
      </c>
      <c r="H14" s="364">
        <f t="shared" si="6"/>
        <v>0</v>
      </c>
      <c r="I14" s="364">
        <f t="shared" si="6"/>
        <v>0</v>
      </c>
      <c r="L14" s="263">
        <f>L81</f>
        <v>0</v>
      </c>
      <c r="M14" s="263">
        <f t="shared" ref="M14:Q14" si="7">M81</f>
        <v>0</v>
      </c>
      <c r="N14" s="263">
        <f t="shared" si="7"/>
        <v>0</v>
      </c>
      <c r="O14" s="263">
        <f t="shared" si="7"/>
        <v>0</v>
      </c>
      <c r="P14" s="263">
        <f t="shared" si="7"/>
        <v>0</v>
      </c>
      <c r="Q14" s="263">
        <f t="shared" si="7"/>
        <v>0</v>
      </c>
      <c r="R14" s="121"/>
      <c r="S14" s="121"/>
      <c r="T14" s="121"/>
      <c r="U14" s="121"/>
      <c r="V14" s="121"/>
      <c r="W14" s="121"/>
      <c r="X14" s="121"/>
      <c r="Y14" s="121"/>
      <c r="Z14" s="121"/>
      <c r="AJ14" s="258"/>
      <c r="AK14" s="258"/>
      <c r="AL14" s="258"/>
      <c r="AM14" s="258"/>
      <c r="AN14" s="258"/>
    </row>
    <row r="15" spans="1:40" ht="14.45" customHeight="1" x14ac:dyDescent="0.25">
      <c r="A15" s="259"/>
      <c r="B15" s="385" t="str">
        <f>B85&amp;" - hours"</f>
        <v>Nursing - administration hours - hours</v>
      </c>
      <c r="C15" s="390"/>
      <c r="D15" s="366">
        <f>D99</f>
        <v>0</v>
      </c>
      <c r="E15" s="366">
        <f t="shared" ref="E15:I15" si="8">E99</f>
        <v>0</v>
      </c>
      <c r="F15" s="366">
        <f t="shared" si="8"/>
        <v>0</v>
      </c>
      <c r="G15" s="366">
        <f t="shared" si="8"/>
        <v>0</v>
      </c>
      <c r="H15" s="366">
        <f t="shared" si="8"/>
        <v>0</v>
      </c>
      <c r="I15" s="366">
        <f t="shared" si="8"/>
        <v>0</v>
      </c>
      <c r="L15" s="187"/>
      <c r="M15" s="187"/>
      <c r="N15" s="187"/>
      <c r="O15" s="187"/>
      <c r="P15" s="363"/>
      <c r="Q15" s="363"/>
      <c r="R15" s="121"/>
      <c r="S15" s="121"/>
      <c r="T15" s="121"/>
      <c r="U15" s="121"/>
      <c r="V15" s="121"/>
      <c r="W15" s="121"/>
      <c r="X15" s="121"/>
      <c r="Y15" s="121"/>
      <c r="Z15" s="121"/>
      <c r="AJ15" s="258"/>
      <c r="AK15" s="258"/>
      <c r="AL15" s="258"/>
      <c r="AM15" s="258"/>
      <c r="AN15" s="258"/>
    </row>
    <row r="16" spans="1:40" ht="14.45" customHeight="1" x14ac:dyDescent="0.25">
      <c r="A16" s="259"/>
      <c r="B16" s="385" t="str">
        <f>B102&amp;" - hours"</f>
        <v>Nursing patient preparation time - hours</v>
      </c>
      <c r="C16" s="390"/>
      <c r="D16" s="366">
        <f>D116</f>
        <v>0</v>
      </c>
      <c r="E16" s="366">
        <f t="shared" ref="E16:I16" si="9">E116</f>
        <v>0</v>
      </c>
      <c r="F16" s="366">
        <f t="shared" si="9"/>
        <v>0</v>
      </c>
      <c r="G16" s="366">
        <f t="shared" si="9"/>
        <v>0</v>
      </c>
      <c r="H16" s="366">
        <f t="shared" si="9"/>
        <v>0</v>
      </c>
      <c r="I16" s="366">
        <f t="shared" si="9"/>
        <v>0</v>
      </c>
      <c r="L16" s="187"/>
      <c r="M16" s="187"/>
      <c r="N16" s="187"/>
      <c r="O16" s="187"/>
      <c r="P16" s="363"/>
      <c r="Q16" s="363"/>
      <c r="R16" s="121"/>
      <c r="S16" s="121"/>
      <c r="T16" s="121"/>
      <c r="U16" s="121"/>
      <c r="V16" s="121"/>
      <c r="W16" s="121"/>
      <c r="X16" s="121"/>
      <c r="Y16" s="121"/>
      <c r="Z16" s="121"/>
      <c r="AJ16" s="258"/>
      <c r="AK16" s="258"/>
      <c r="AL16" s="258"/>
      <c r="AM16" s="258"/>
      <c r="AN16" s="258"/>
    </row>
    <row r="17" spans="1:40" ht="14.45" customHeight="1" x14ac:dyDescent="0.25">
      <c r="A17" s="259"/>
      <c r="B17" s="385" t="str">
        <f>B119&amp;" - hours"</f>
        <v>Post administration nursing time - hours</v>
      </c>
      <c r="C17" s="390"/>
      <c r="D17" s="366">
        <f>D133</f>
        <v>0</v>
      </c>
      <c r="E17" s="366">
        <f t="shared" ref="E17:I17" si="10">E133</f>
        <v>0</v>
      </c>
      <c r="F17" s="366">
        <f t="shared" si="10"/>
        <v>0</v>
      </c>
      <c r="G17" s="366">
        <f t="shared" si="10"/>
        <v>0</v>
      </c>
      <c r="H17" s="366">
        <f t="shared" si="10"/>
        <v>0</v>
      </c>
      <c r="I17" s="366">
        <f t="shared" si="10"/>
        <v>0</v>
      </c>
      <c r="L17" s="187"/>
      <c r="M17" s="187"/>
      <c r="N17" s="187"/>
      <c r="O17" s="187"/>
      <c r="P17" s="363"/>
      <c r="Q17" s="363"/>
      <c r="R17" s="121"/>
      <c r="S17" s="121"/>
      <c r="T17" s="121"/>
      <c r="U17" s="121"/>
      <c r="V17" s="121"/>
      <c r="W17" s="121"/>
      <c r="X17" s="121"/>
      <c r="Y17" s="121"/>
      <c r="Z17" s="121"/>
      <c r="AJ17" s="258"/>
      <c r="AK17" s="258"/>
      <c r="AL17" s="258"/>
      <c r="AM17" s="258"/>
      <c r="AN17" s="258"/>
    </row>
    <row r="18" spans="1:40" ht="14.45" customHeight="1" x14ac:dyDescent="0.25">
      <c r="A18" s="261"/>
      <c r="B18" s="386" t="str">
        <f>B137&amp;" - hours"</f>
        <v>Pharmacy support - hours</v>
      </c>
      <c r="C18" s="391"/>
      <c r="D18" s="367">
        <f>D151</f>
        <v>0</v>
      </c>
      <c r="E18" s="367">
        <f t="shared" ref="E18:I18" si="11">E151</f>
        <v>0</v>
      </c>
      <c r="F18" s="367">
        <f t="shared" si="11"/>
        <v>0</v>
      </c>
      <c r="G18" s="367">
        <f t="shared" si="11"/>
        <v>0</v>
      </c>
      <c r="H18" s="367">
        <f t="shared" si="11"/>
        <v>0</v>
      </c>
      <c r="I18" s="367">
        <f t="shared" si="11"/>
        <v>0</v>
      </c>
      <c r="L18" s="187"/>
      <c r="M18" s="187"/>
      <c r="N18" s="187"/>
      <c r="O18" s="187"/>
      <c r="P18" s="363"/>
      <c r="Q18" s="363"/>
      <c r="R18" s="121"/>
      <c r="S18" s="121"/>
      <c r="T18" s="121"/>
      <c r="U18" s="121"/>
      <c r="V18" s="121"/>
      <c r="W18" s="121"/>
      <c r="X18" s="121"/>
      <c r="Y18" s="121"/>
      <c r="Z18" s="121"/>
      <c r="AJ18" s="258"/>
      <c r="AK18" s="258"/>
      <c r="AL18" s="258"/>
      <c r="AM18" s="258"/>
      <c r="AN18" s="258"/>
    </row>
    <row r="19" spans="1:40" ht="14.45" hidden="1" customHeight="1" x14ac:dyDescent="0.25">
      <c r="A19" s="295"/>
      <c r="B19" s="388" t="str">
        <f>B155</f>
        <v>Appointments with supporting specialty x</v>
      </c>
      <c r="C19" s="392"/>
      <c r="D19" s="370" t="e">
        <f>D164</f>
        <v>#REF!</v>
      </c>
      <c r="E19" s="370" t="e">
        <f t="shared" ref="E19:I19" si="12">E164</f>
        <v>#REF!</v>
      </c>
      <c r="F19" s="370" t="e">
        <f t="shared" si="12"/>
        <v>#REF!</v>
      </c>
      <c r="G19" s="370" t="e">
        <f t="shared" si="12"/>
        <v>#REF!</v>
      </c>
      <c r="H19" s="370" t="e">
        <f t="shared" si="12"/>
        <v>#REF!</v>
      </c>
      <c r="I19" s="370" t="e">
        <f t="shared" si="12"/>
        <v>#REF!</v>
      </c>
      <c r="L19" s="263" t="e">
        <f>L164</f>
        <v>#REF!</v>
      </c>
      <c r="M19" s="263" t="e">
        <f t="shared" ref="M19:Q19" si="13">M164</f>
        <v>#REF!</v>
      </c>
      <c r="N19" s="263" t="e">
        <f t="shared" si="13"/>
        <v>#REF!</v>
      </c>
      <c r="O19" s="263" t="e">
        <f t="shared" si="13"/>
        <v>#REF!</v>
      </c>
      <c r="P19" s="263" t="e">
        <f t="shared" si="13"/>
        <v>#REF!</v>
      </c>
      <c r="Q19" s="263" t="e">
        <f t="shared" si="13"/>
        <v>#REF!</v>
      </c>
      <c r="R19" s="121"/>
      <c r="S19" s="121"/>
      <c r="T19" s="121"/>
      <c r="U19" s="121"/>
      <c r="V19" s="121"/>
      <c r="W19" s="121"/>
      <c r="X19" s="121"/>
      <c r="Y19" s="121"/>
      <c r="Z19" s="121"/>
      <c r="AJ19" s="258"/>
      <c r="AK19" s="258"/>
      <c r="AL19" s="258"/>
      <c r="AM19" s="258"/>
      <c r="AN19" s="258"/>
    </row>
    <row r="20" spans="1:40" ht="14.45" hidden="1" customHeight="1" x14ac:dyDescent="0.25">
      <c r="A20" s="295"/>
      <c r="B20" s="388" t="str">
        <f>B155&amp;" - hours"</f>
        <v>Appointments with supporting specialty x - hours</v>
      </c>
      <c r="C20" s="370">
        <f>'Capacity inputs'!F19</f>
        <v>0</v>
      </c>
      <c r="D20" s="370" t="e">
        <f>$C20/60*D19</f>
        <v>#REF!</v>
      </c>
      <c r="E20" s="370" t="e">
        <f t="shared" ref="E20:I20" si="14">$C20/60*E19</f>
        <v>#REF!</v>
      </c>
      <c r="F20" s="370" t="e">
        <f t="shared" si="14"/>
        <v>#REF!</v>
      </c>
      <c r="G20" s="370" t="e">
        <f t="shared" si="14"/>
        <v>#REF!</v>
      </c>
      <c r="H20" s="370" t="e">
        <f t="shared" si="14"/>
        <v>#REF!</v>
      </c>
      <c r="I20" s="370" t="e">
        <f t="shared" si="14"/>
        <v>#REF!</v>
      </c>
      <c r="L20" s="187"/>
      <c r="M20" s="187"/>
      <c r="N20" s="187"/>
      <c r="O20" s="187"/>
      <c r="P20" s="363"/>
      <c r="Q20" s="363"/>
      <c r="R20" s="121"/>
      <c r="S20" s="121"/>
      <c r="T20" s="121"/>
      <c r="U20" s="121"/>
      <c r="V20" s="121"/>
      <c r="W20" s="121"/>
      <c r="X20" s="121"/>
      <c r="Y20" s="121"/>
      <c r="Z20" s="121"/>
      <c r="AJ20" s="258"/>
      <c r="AK20" s="258"/>
      <c r="AL20" s="258"/>
      <c r="AM20" s="258"/>
      <c r="AN20" s="258"/>
    </row>
    <row r="21" spans="1:40" ht="14.45" customHeight="1" x14ac:dyDescent="0.25">
      <c r="A21" s="262"/>
      <c r="B21" s="389" t="s">
        <v>2283</v>
      </c>
      <c r="C21" s="393"/>
      <c r="D21" s="371">
        <f>D176</f>
        <v>0</v>
      </c>
      <c r="E21" s="371">
        <f t="shared" ref="E21:I21" si="15">E176</f>
        <v>0</v>
      </c>
      <c r="F21" s="371">
        <f t="shared" si="15"/>
        <v>0</v>
      </c>
      <c r="G21" s="371">
        <f t="shared" si="15"/>
        <v>0</v>
      </c>
      <c r="H21" s="371">
        <f t="shared" si="15"/>
        <v>0</v>
      </c>
      <c r="I21" s="371">
        <f t="shared" si="15"/>
        <v>0</v>
      </c>
      <c r="L21" s="263">
        <f>L176</f>
        <v>0</v>
      </c>
      <c r="M21" s="263">
        <f t="shared" ref="M21:Q21" si="16">M176</f>
        <v>0</v>
      </c>
      <c r="N21" s="263">
        <f t="shared" si="16"/>
        <v>0</v>
      </c>
      <c r="O21" s="263">
        <f t="shared" si="16"/>
        <v>0</v>
      </c>
      <c r="P21" s="263">
        <f t="shared" si="16"/>
        <v>0</v>
      </c>
      <c r="Q21" s="263">
        <f t="shared" si="16"/>
        <v>0</v>
      </c>
      <c r="R21" s="121"/>
      <c r="S21" s="121"/>
      <c r="T21" s="121"/>
      <c r="U21" s="121"/>
      <c r="V21" s="121"/>
      <c r="W21" s="121"/>
      <c r="X21" s="121"/>
      <c r="Y21" s="121"/>
      <c r="Z21" s="121"/>
      <c r="AJ21" s="258"/>
      <c r="AK21" s="258"/>
      <c r="AL21" s="258"/>
      <c r="AM21" s="258"/>
      <c r="AN21" s="258"/>
    </row>
    <row r="22" spans="1:40" ht="14.45" hidden="1" customHeight="1" x14ac:dyDescent="0.25">
      <c r="A22" s="262"/>
      <c r="B22" s="389" t="str">
        <f>B168&amp;" - hours"</f>
        <v xml:space="preserve"> - hours</v>
      </c>
      <c r="C22" s="371" t="e">
        <f>'Capacity inputs'!#REF!</f>
        <v>#REF!</v>
      </c>
      <c r="D22" s="371" t="e">
        <f>$C$22/60*D21</f>
        <v>#REF!</v>
      </c>
      <c r="E22" s="371" t="e">
        <f t="shared" ref="E22:I22" si="17">$C$22/60*E21</f>
        <v>#REF!</v>
      </c>
      <c r="F22" s="371" t="e">
        <f t="shared" si="17"/>
        <v>#REF!</v>
      </c>
      <c r="G22" s="371" t="e">
        <f t="shared" si="17"/>
        <v>#REF!</v>
      </c>
      <c r="H22" s="371" t="e">
        <f t="shared" si="17"/>
        <v>#REF!</v>
      </c>
      <c r="I22" s="371" t="e">
        <f t="shared" si="17"/>
        <v>#REF!</v>
      </c>
      <c r="L22" s="684"/>
      <c r="M22" s="684"/>
      <c r="N22" s="684"/>
      <c r="O22" s="684"/>
      <c r="P22" s="684"/>
      <c r="Q22" s="684"/>
      <c r="R22" s="121"/>
      <c r="S22" s="121"/>
      <c r="T22" s="121"/>
      <c r="U22" s="121"/>
      <c r="V22" s="121"/>
      <c r="W22" s="121"/>
      <c r="X22" s="121"/>
      <c r="Y22" s="121"/>
      <c r="Z22" s="121"/>
      <c r="AJ22" s="258"/>
      <c r="AK22" s="258"/>
      <c r="AL22" s="258"/>
      <c r="AM22" s="258"/>
      <c r="AN22" s="258"/>
    </row>
    <row r="23" spans="1:40" ht="14.45" hidden="1" customHeight="1" x14ac:dyDescent="0.25">
      <c r="A23" s="262"/>
      <c r="B23" s="389" t="str">
        <f>B179</f>
        <v>Pathology tests</v>
      </c>
      <c r="C23" s="393"/>
      <c r="D23" s="371" t="e">
        <f>D188</f>
        <v>#REF!</v>
      </c>
      <c r="E23" s="371" t="e">
        <f t="shared" ref="E23:I23" si="18">E188</f>
        <v>#REF!</v>
      </c>
      <c r="F23" s="371" t="e">
        <f t="shared" si="18"/>
        <v>#REF!</v>
      </c>
      <c r="G23" s="371" t="e">
        <f t="shared" si="18"/>
        <v>#REF!</v>
      </c>
      <c r="H23" s="371" t="e">
        <f t="shared" si="18"/>
        <v>#REF!</v>
      </c>
      <c r="I23" s="371" t="e">
        <f t="shared" si="18"/>
        <v>#REF!</v>
      </c>
      <c r="L23" s="187"/>
      <c r="M23" s="187"/>
      <c r="N23" s="187"/>
      <c r="O23" s="187"/>
      <c r="P23" s="363"/>
      <c r="Q23" s="363"/>
      <c r="R23" s="121"/>
      <c r="S23" s="121"/>
      <c r="T23" s="121"/>
      <c r="U23" s="121"/>
      <c r="V23" s="121"/>
      <c r="W23" s="121"/>
      <c r="X23" s="121"/>
      <c r="Y23" s="121"/>
      <c r="Z23" s="121"/>
      <c r="AJ23" s="258"/>
      <c r="AK23" s="258"/>
      <c r="AL23" s="258"/>
      <c r="AM23" s="258"/>
      <c r="AN23" s="258"/>
    </row>
    <row r="24" spans="1:40" ht="14.45" hidden="1" customHeight="1" x14ac:dyDescent="0.25">
      <c r="A24" s="262"/>
      <c r="B24" s="389" t="str">
        <f>B179&amp;" - hours"</f>
        <v>Pathology tests - hours</v>
      </c>
      <c r="C24" s="371" t="e">
        <f>'Capacity inputs'!#REF!</f>
        <v>#REF!</v>
      </c>
      <c r="D24" s="371" t="e">
        <f>$C24/60*D23</f>
        <v>#REF!</v>
      </c>
      <c r="E24" s="371" t="e">
        <f t="shared" ref="E24:I24" si="19">$C24/60*E23</f>
        <v>#REF!</v>
      </c>
      <c r="F24" s="371" t="e">
        <f t="shared" si="19"/>
        <v>#REF!</v>
      </c>
      <c r="G24" s="371" t="e">
        <f t="shared" si="19"/>
        <v>#REF!</v>
      </c>
      <c r="H24" s="371" t="e">
        <f t="shared" si="19"/>
        <v>#REF!</v>
      </c>
      <c r="I24" s="371" t="e">
        <f t="shared" si="19"/>
        <v>#REF!</v>
      </c>
      <c r="L24" s="187"/>
      <c r="M24" s="187"/>
      <c r="N24" s="187"/>
      <c r="O24" s="187"/>
      <c r="P24" s="363"/>
      <c r="Q24" s="363"/>
      <c r="R24" s="121"/>
      <c r="S24" s="121"/>
      <c r="T24" s="121"/>
      <c r="U24" s="121"/>
      <c r="V24" s="121"/>
      <c r="W24" s="121"/>
      <c r="X24" s="121"/>
      <c r="Y24" s="121"/>
      <c r="Z24" s="121"/>
      <c r="AJ24" s="258"/>
      <c r="AK24" s="258"/>
      <c r="AL24" s="258"/>
      <c r="AM24" s="258"/>
      <c r="AN24" s="258"/>
    </row>
    <row r="25" spans="1:40" ht="14.45" hidden="1" customHeight="1" x14ac:dyDescent="0.25">
      <c r="A25" s="262"/>
      <c r="B25" s="389" t="str">
        <f>B191</f>
        <v>Genomic tests</v>
      </c>
      <c r="C25" s="393"/>
      <c r="D25" s="371" t="e">
        <f>D200</f>
        <v>#REF!</v>
      </c>
      <c r="E25" s="371" t="e">
        <f t="shared" ref="E25:I25" si="20">E200</f>
        <v>#REF!</v>
      </c>
      <c r="F25" s="371" t="e">
        <f t="shared" si="20"/>
        <v>#REF!</v>
      </c>
      <c r="G25" s="371" t="e">
        <f t="shared" si="20"/>
        <v>#REF!</v>
      </c>
      <c r="H25" s="371" t="e">
        <f t="shared" si="20"/>
        <v>#REF!</v>
      </c>
      <c r="I25" s="371" t="e">
        <f t="shared" si="20"/>
        <v>#REF!</v>
      </c>
      <c r="L25" s="187"/>
      <c r="M25" s="187"/>
      <c r="N25" s="187"/>
      <c r="O25" s="187"/>
      <c r="P25" s="363"/>
      <c r="Q25" s="363"/>
      <c r="R25" s="121"/>
      <c r="S25" s="121"/>
      <c r="T25" s="121"/>
      <c r="U25" s="121"/>
      <c r="V25" s="121"/>
      <c r="W25" s="121"/>
      <c r="X25" s="121"/>
      <c r="Y25" s="121"/>
      <c r="Z25" s="121"/>
      <c r="AJ25" s="258"/>
      <c r="AK25" s="258"/>
      <c r="AL25" s="258"/>
      <c r="AM25" s="258"/>
      <c r="AN25" s="258"/>
    </row>
    <row r="26" spans="1:40" ht="14.45" hidden="1" customHeight="1" x14ac:dyDescent="0.25">
      <c r="A26" s="262"/>
      <c r="B26" s="686" t="str">
        <f>B191&amp;" - hours"</f>
        <v>Genomic tests - hours</v>
      </c>
      <c r="C26" s="687" t="e">
        <f>'Capacity inputs'!#REF!</f>
        <v>#REF!</v>
      </c>
      <c r="D26" s="371" t="e">
        <f>$C26/60*D25</f>
        <v>#REF!</v>
      </c>
      <c r="E26" s="371" t="e">
        <f t="shared" ref="E26:I26" si="21">$C26/60*E25</f>
        <v>#REF!</v>
      </c>
      <c r="F26" s="371" t="e">
        <f t="shared" si="21"/>
        <v>#REF!</v>
      </c>
      <c r="G26" s="371" t="e">
        <f t="shared" si="21"/>
        <v>#REF!</v>
      </c>
      <c r="H26" s="371" t="e">
        <f t="shared" si="21"/>
        <v>#REF!</v>
      </c>
      <c r="I26" s="371" t="e">
        <f t="shared" si="21"/>
        <v>#REF!</v>
      </c>
      <c r="L26" s="187"/>
      <c r="M26" s="187"/>
      <c r="N26" s="187"/>
      <c r="O26" s="187"/>
      <c r="P26" s="363"/>
      <c r="Q26" s="363"/>
      <c r="R26" s="121"/>
      <c r="S26" s="121"/>
      <c r="T26" s="121"/>
      <c r="U26" s="121"/>
      <c r="V26" s="121"/>
      <c r="W26" s="121"/>
      <c r="X26" s="121"/>
      <c r="Y26" s="121"/>
      <c r="Z26" s="121"/>
      <c r="AJ26" s="258"/>
      <c r="AK26" s="258"/>
      <c r="AL26" s="258"/>
      <c r="AM26" s="258"/>
      <c r="AN26" s="258"/>
    </row>
    <row r="27" spans="1:40" ht="14.45" customHeight="1" x14ac:dyDescent="0.25">
      <c r="B27" s="220"/>
      <c r="D27" s="258"/>
      <c r="F27" s="121"/>
      <c r="G27" s="121"/>
      <c r="H27" s="121"/>
      <c r="I27" s="121"/>
      <c r="J27" s="121"/>
      <c r="K27" s="121"/>
      <c r="L27" s="264">
        <f t="shared" ref="L27:Q27" si="22">SUM(L10:L14)</f>
        <v>0</v>
      </c>
      <c r="M27" s="264">
        <f t="shared" si="22"/>
        <v>0</v>
      </c>
      <c r="N27" s="264">
        <f t="shared" si="22"/>
        <v>0</v>
      </c>
      <c r="O27" s="264">
        <f t="shared" si="22"/>
        <v>0</v>
      </c>
      <c r="P27" s="264">
        <f t="shared" si="22"/>
        <v>0</v>
      </c>
      <c r="Q27" s="264">
        <f t="shared" si="22"/>
        <v>0</v>
      </c>
      <c r="R27" s="121"/>
      <c r="S27" s="121"/>
      <c r="T27" s="121"/>
      <c r="U27" s="121"/>
      <c r="V27" s="121"/>
      <c r="W27" s="121"/>
      <c r="X27" s="121"/>
      <c r="Y27" s="121"/>
      <c r="Z27" s="121"/>
    </row>
    <row r="28" spans="1:40" x14ac:dyDescent="0.25">
      <c r="B28" s="286"/>
      <c r="C28" s="286"/>
      <c r="D28" s="286"/>
      <c r="E28" s="286"/>
      <c r="F28" s="286"/>
      <c r="G28" s="286"/>
      <c r="H28" s="286"/>
      <c r="I28" s="286"/>
      <c r="J28" s="286"/>
      <c r="K28" s="286"/>
      <c r="L28" s="286"/>
      <c r="P28" s="121"/>
      <c r="Q28" s="121"/>
      <c r="R28" s="121"/>
      <c r="S28" s="121"/>
      <c r="V28" s="121"/>
      <c r="W28" s="121"/>
      <c r="X28" s="121"/>
      <c r="Y28" s="121"/>
      <c r="Z28" s="121"/>
      <c r="AJ28" s="258"/>
      <c r="AK28" s="258"/>
      <c r="AL28" s="258"/>
      <c r="AM28" s="258"/>
      <c r="AN28" s="258"/>
    </row>
    <row r="29" spans="1:40" x14ac:dyDescent="0.25">
      <c r="B29" s="326" t="s">
        <v>748</v>
      </c>
      <c r="C29" s="327"/>
      <c r="D29" s="327"/>
      <c r="E29" s="328"/>
      <c r="F29" s="327"/>
      <c r="G29" s="329"/>
      <c r="H29" s="330"/>
      <c r="I29" s="330"/>
      <c r="J29" s="330"/>
      <c r="K29" s="330"/>
      <c r="L29" s="330"/>
      <c r="M29" s="330"/>
      <c r="N29" s="330"/>
      <c r="O29" s="330"/>
      <c r="P29" s="330"/>
      <c r="Q29" s="331"/>
      <c r="R29" s="121"/>
      <c r="S29" s="121"/>
      <c r="T29" s="121"/>
      <c r="U29" s="121"/>
      <c r="V29" s="121"/>
      <c r="W29" s="121"/>
      <c r="X29" s="121"/>
      <c r="Y29" s="121"/>
      <c r="Z29" s="121"/>
      <c r="AJ29" s="258"/>
      <c r="AK29" s="258"/>
      <c r="AL29" s="258"/>
      <c r="AM29" s="258"/>
      <c r="AN29" s="258"/>
    </row>
    <row r="30" spans="1:40" x14ac:dyDescent="0.25">
      <c r="A30" s="260"/>
      <c r="B30" s="457" t="s">
        <v>749</v>
      </c>
      <c r="C30" s="452"/>
      <c r="D30" s="453"/>
      <c r="E30" s="454"/>
      <c r="F30" s="260"/>
      <c r="G30" s="260"/>
      <c r="H30" s="197"/>
      <c r="I30" s="197"/>
      <c r="J30" s="197"/>
      <c r="K30" s="197"/>
      <c r="L30" s="197"/>
      <c r="M30" s="197"/>
      <c r="N30" s="197"/>
      <c r="O30" s="197"/>
      <c r="P30" s="197"/>
      <c r="Q30" s="197"/>
      <c r="R30" s="121"/>
      <c r="S30" s="121"/>
      <c r="T30" s="121"/>
      <c r="U30" s="121"/>
      <c r="V30" s="121"/>
      <c r="W30" s="121"/>
      <c r="X30" s="121"/>
      <c r="Y30" s="121"/>
      <c r="Z30" s="121"/>
      <c r="AJ30" s="258"/>
      <c r="AK30" s="258"/>
      <c r="AL30" s="258"/>
      <c r="AM30" s="258"/>
      <c r="AN30" s="258"/>
    </row>
    <row r="31" spans="1:40" x14ac:dyDescent="0.25">
      <c r="A31" s="450"/>
      <c r="B31" s="455" t="s">
        <v>750</v>
      </c>
      <c r="C31" s="349"/>
      <c r="D31" s="349"/>
      <c r="E31" s="349"/>
      <c r="F31" s="349"/>
      <c r="G31" s="349"/>
      <c r="H31" s="349"/>
      <c r="I31" s="196"/>
      <c r="J31" s="197"/>
      <c r="K31" s="197"/>
      <c r="L31" s="197"/>
      <c r="M31" s="197"/>
      <c r="N31" s="197"/>
      <c r="O31" s="197"/>
      <c r="P31" s="197"/>
      <c r="Q31" s="197"/>
      <c r="R31" s="121"/>
      <c r="S31" s="121"/>
      <c r="T31" s="121"/>
      <c r="U31" s="121"/>
      <c r="V31" s="121"/>
      <c r="W31" s="121"/>
      <c r="X31" s="121"/>
      <c r="Y31" s="121"/>
      <c r="Z31" s="121"/>
      <c r="AJ31" s="258"/>
      <c r="AK31" s="258"/>
      <c r="AL31" s="258"/>
      <c r="AM31" s="258"/>
      <c r="AN31" s="258"/>
    </row>
    <row r="32" spans="1:40" ht="45" x14ac:dyDescent="0.25">
      <c r="A32" s="450"/>
      <c r="B32" s="285" t="s">
        <v>703</v>
      </c>
      <c r="C32" s="153" t="s">
        <v>751</v>
      </c>
      <c r="D32" s="802" t="s">
        <v>737</v>
      </c>
      <c r="E32" s="229" t="s">
        <v>591</v>
      </c>
      <c r="F32" s="229" t="s">
        <v>592</v>
      </c>
      <c r="G32" s="152" t="s">
        <v>714</v>
      </c>
      <c r="H32" s="152" t="s">
        <v>715</v>
      </c>
      <c r="I32" s="229" t="s">
        <v>716</v>
      </c>
      <c r="J32" s="456"/>
      <c r="K32" s="449" t="s">
        <v>777</v>
      </c>
      <c r="L32" s="802" t="s">
        <v>737</v>
      </c>
      <c r="M32" s="803" t="s">
        <v>591</v>
      </c>
      <c r="N32" s="803" t="s">
        <v>592</v>
      </c>
      <c r="O32" s="368" t="s">
        <v>714</v>
      </c>
      <c r="P32" s="368" t="s">
        <v>715</v>
      </c>
      <c r="Q32" s="803" t="s">
        <v>716</v>
      </c>
      <c r="R32" s="121"/>
      <c r="S32" s="121"/>
      <c r="T32" s="121"/>
      <c r="U32" s="121"/>
      <c r="V32" s="121"/>
      <c r="W32" s="121"/>
      <c r="X32" s="121"/>
      <c r="Y32" s="121"/>
      <c r="Z32" s="121"/>
      <c r="AJ32" s="258"/>
      <c r="AK32" s="258"/>
      <c r="AL32" s="258"/>
      <c r="AM32" s="258"/>
      <c r="AN32" s="258"/>
    </row>
    <row r="33" spans="1:40" x14ac:dyDescent="0.25">
      <c r="A33" s="450"/>
      <c r="B33" s="309" t="str">
        <f>'Capacity (local prices)'!B26</f>
        <v>Enfortumab vedotin with pembrolizumab</v>
      </c>
      <c r="C33" s="137">
        <f>'Capacity (local prices)'!C26</f>
        <v>0</v>
      </c>
      <c r="D33" s="116">
        <f>'Capacity (local prices)'!D26</f>
        <v>0</v>
      </c>
      <c r="E33" s="116">
        <f>'Capacity (local prices)'!E26</f>
        <v>0</v>
      </c>
      <c r="F33" s="116">
        <f>'Capacity (local prices)'!F26</f>
        <v>0</v>
      </c>
      <c r="G33" s="995">
        <f>'Capacity (local prices)'!G26</f>
        <v>0</v>
      </c>
      <c r="H33" s="995">
        <f>'Capacity (local prices)'!H26</f>
        <v>0</v>
      </c>
      <c r="I33" s="995">
        <f>'Capacity (local prices)'!I26</f>
        <v>0</v>
      </c>
      <c r="J33" s="456"/>
      <c r="K33" s="461">
        <f>'Unit costs'!N122</f>
        <v>0</v>
      </c>
      <c r="L33" s="263">
        <f>(D33*$K33)/1000</f>
        <v>0</v>
      </c>
      <c r="M33" s="263">
        <f t="shared" ref="M33:Q36" si="23">(E33*$K33)/1000</f>
        <v>0</v>
      </c>
      <c r="N33" s="263">
        <f t="shared" si="23"/>
        <v>0</v>
      </c>
      <c r="O33" s="263">
        <f t="shared" si="23"/>
        <v>0</v>
      </c>
      <c r="P33" s="263">
        <f t="shared" si="23"/>
        <v>0</v>
      </c>
      <c r="Q33" s="263">
        <f t="shared" si="23"/>
        <v>0</v>
      </c>
      <c r="R33" s="121"/>
      <c r="S33" s="121"/>
      <c r="T33" s="121"/>
      <c r="U33" s="121"/>
      <c r="V33" s="121"/>
      <c r="W33" s="121"/>
      <c r="X33" s="121"/>
      <c r="Y33" s="121"/>
      <c r="Z33" s="121"/>
      <c r="AJ33" s="258"/>
      <c r="AK33" s="258"/>
      <c r="AL33" s="258"/>
      <c r="AM33" s="258"/>
      <c r="AN33" s="258"/>
    </row>
    <row r="34" spans="1:40" x14ac:dyDescent="0.25">
      <c r="A34" s="450"/>
      <c r="B34" s="137" t="str">
        <f>'Capacity (local prices)'!B27</f>
        <v>Gemcitabine &amp; cisplatin</v>
      </c>
      <c r="C34" s="137">
        <f>'Capacity (local prices)'!C27</f>
        <v>0</v>
      </c>
      <c r="D34" s="116">
        <f>'Capacity (local prices)'!D27</f>
        <v>0</v>
      </c>
      <c r="E34" s="116">
        <f>'Capacity (local prices)'!E27</f>
        <v>0</v>
      </c>
      <c r="F34" s="116">
        <f>'Capacity (local prices)'!F27</f>
        <v>0</v>
      </c>
      <c r="G34" s="116">
        <f>'Capacity (local prices)'!G27</f>
        <v>0</v>
      </c>
      <c r="H34" s="116">
        <f>'Capacity (local prices)'!H27</f>
        <v>0</v>
      </c>
      <c r="I34" s="116">
        <f>'Capacity (local prices)'!I27</f>
        <v>0</v>
      </c>
      <c r="J34" s="456"/>
      <c r="K34" s="461">
        <f>K33</f>
        <v>0</v>
      </c>
      <c r="L34" s="263">
        <f t="shared" ref="L34:L36" si="24">(D34*$K34)/1000</f>
        <v>0</v>
      </c>
      <c r="M34" s="263">
        <f t="shared" si="23"/>
        <v>0</v>
      </c>
      <c r="N34" s="263">
        <f t="shared" si="23"/>
        <v>0</v>
      </c>
      <c r="O34" s="263">
        <f t="shared" si="23"/>
        <v>0</v>
      </c>
      <c r="P34" s="263">
        <f t="shared" si="23"/>
        <v>0</v>
      </c>
      <c r="Q34" s="263">
        <f t="shared" si="23"/>
        <v>0</v>
      </c>
      <c r="R34" s="121"/>
      <c r="S34" s="121"/>
      <c r="T34" s="121"/>
      <c r="U34" s="121"/>
      <c r="V34" s="121"/>
      <c r="W34" s="121"/>
      <c r="X34" s="121"/>
      <c r="Y34" s="121"/>
      <c r="Z34" s="121"/>
      <c r="AJ34" s="258"/>
      <c r="AK34" s="258"/>
      <c r="AL34" s="258"/>
      <c r="AM34" s="258"/>
      <c r="AN34" s="258"/>
    </row>
    <row r="35" spans="1:40" x14ac:dyDescent="0.25">
      <c r="A35" s="450"/>
      <c r="B35" s="137" t="str">
        <f>'Capacity (local prices)'!B28</f>
        <v xml:space="preserve">Gemcitabine &amp; carboplatin </v>
      </c>
      <c r="C35" s="137">
        <f>'Capacity (local prices)'!C28</f>
        <v>0</v>
      </c>
      <c r="D35" s="116">
        <f>'Capacity (local prices)'!D28</f>
        <v>0</v>
      </c>
      <c r="E35" s="116">
        <f>'Capacity (local prices)'!E28</f>
        <v>0</v>
      </c>
      <c r="F35" s="116">
        <f>'Capacity (local prices)'!F28</f>
        <v>0</v>
      </c>
      <c r="G35" s="116">
        <f>'Capacity (local prices)'!G28</f>
        <v>0</v>
      </c>
      <c r="H35" s="116">
        <f>'Capacity (local prices)'!H28</f>
        <v>0</v>
      </c>
      <c r="I35" s="116">
        <f>'Capacity (local prices)'!I28</f>
        <v>0</v>
      </c>
      <c r="J35" s="456"/>
      <c r="K35" s="461">
        <f>K33</f>
        <v>0</v>
      </c>
      <c r="L35" s="263">
        <f t="shared" si="24"/>
        <v>0</v>
      </c>
      <c r="M35" s="263">
        <f t="shared" si="23"/>
        <v>0</v>
      </c>
      <c r="N35" s="263">
        <f t="shared" si="23"/>
        <v>0</v>
      </c>
      <c r="O35" s="263">
        <f t="shared" si="23"/>
        <v>0</v>
      </c>
      <c r="P35" s="263">
        <f t="shared" si="23"/>
        <v>0</v>
      </c>
      <c r="Q35" s="263">
        <f t="shared" si="23"/>
        <v>0</v>
      </c>
      <c r="R35" s="121"/>
      <c r="S35" s="121"/>
      <c r="T35" s="121"/>
      <c r="U35" s="121"/>
      <c r="V35" s="121"/>
      <c r="W35" s="121"/>
      <c r="X35" s="121"/>
      <c r="Y35" s="121"/>
      <c r="Z35" s="121"/>
      <c r="AJ35" s="258"/>
      <c r="AK35" s="258"/>
      <c r="AL35" s="258"/>
      <c r="AM35" s="258"/>
      <c r="AN35" s="258"/>
    </row>
    <row r="36" spans="1:40" x14ac:dyDescent="0.25">
      <c r="A36" s="450"/>
      <c r="B36" s="137" t="str">
        <f>'Capacity (local prices)'!B29</f>
        <v>Atezolizumab</v>
      </c>
      <c r="C36" s="137">
        <f>'Capacity (local prices)'!C29</f>
        <v>0</v>
      </c>
      <c r="D36" s="116">
        <f>'Capacity (local prices)'!D29</f>
        <v>0</v>
      </c>
      <c r="E36" s="116">
        <f>'Capacity (local prices)'!E29</f>
        <v>0</v>
      </c>
      <c r="F36" s="116">
        <f>'Capacity (local prices)'!F29</f>
        <v>0</v>
      </c>
      <c r="G36" s="116">
        <f>'Capacity (local prices)'!G29</f>
        <v>0</v>
      </c>
      <c r="H36" s="116">
        <f>'Capacity (local prices)'!H29</f>
        <v>0</v>
      </c>
      <c r="I36" s="116">
        <f>'Capacity (local prices)'!I29</f>
        <v>0</v>
      </c>
      <c r="J36" s="456"/>
      <c r="K36" s="461">
        <f>K$33</f>
        <v>0</v>
      </c>
      <c r="L36" s="263">
        <f t="shared" si="24"/>
        <v>0</v>
      </c>
      <c r="M36" s="263">
        <f t="shared" si="23"/>
        <v>0</v>
      </c>
      <c r="N36" s="263">
        <f t="shared" si="23"/>
        <v>0</v>
      </c>
      <c r="O36" s="263">
        <f t="shared" si="23"/>
        <v>0</v>
      </c>
      <c r="P36" s="263">
        <f t="shared" si="23"/>
        <v>0</v>
      </c>
      <c r="Q36" s="263">
        <f t="shared" si="23"/>
        <v>0</v>
      </c>
      <c r="R36" s="121"/>
      <c r="S36" s="121"/>
      <c r="T36" s="121"/>
      <c r="U36" s="121"/>
      <c r="V36" s="121"/>
      <c r="W36" s="121"/>
      <c r="X36" s="121"/>
      <c r="Y36" s="121"/>
      <c r="Z36" s="121"/>
      <c r="AJ36" s="258"/>
      <c r="AK36" s="258"/>
      <c r="AL36" s="258"/>
      <c r="AM36" s="258"/>
      <c r="AN36" s="258"/>
    </row>
    <row r="37" spans="1:40" x14ac:dyDescent="0.25">
      <c r="A37" s="450"/>
      <c r="B37" s="439"/>
      <c r="C37" s="289"/>
      <c r="D37" s="168">
        <f t="shared" ref="D37:I37" si="25">SUM(D33:D36)</f>
        <v>0</v>
      </c>
      <c r="E37" s="168">
        <f t="shared" si="25"/>
        <v>0</v>
      </c>
      <c r="F37" s="168">
        <f t="shared" si="25"/>
        <v>0</v>
      </c>
      <c r="G37" s="168">
        <f t="shared" si="25"/>
        <v>0</v>
      </c>
      <c r="H37" s="168">
        <f t="shared" si="25"/>
        <v>0</v>
      </c>
      <c r="I37" s="168">
        <f t="shared" si="25"/>
        <v>0</v>
      </c>
      <c r="J37" s="456"/>
      <c r="K37" s="197"/>
      <c r="L37" s="264">
        <f t="shared" ref="L37:Q37" si="26">SUM(L33:L36)</f>
        <v>0</v>
      </c>
      <c r="M37" s="264">
        <f t="shared" si="26"/>
        <v>0</v>
      </c>
      <c r="N37" s="264">
        <f t="shared" si="26"/>
        <v>0</v>
      </c>
      <c r="O37" s="264">
        <f t="shared" si="26"/>
        <v>0</v>
      </c>
      <c r="P37" s="264">
        <f t="shared" si="26"/>
        <v>0</v>
      </c>
      <c r="Q37" s="264">
        <f t="shared" si="26"/>
        <v>0</v>
      </c>
      <c r="R37" s="121"/>
      <c r="S37" s="121"/>
      <c r="T37" s="121"/>
      <c r="U37" s="121"/>
      <c r="V37" s="121"/>
      <c r="W37" s="121"/>
      <c r="X37" s="121"/>
      <c r="Y37" s="121"/>
      <c r="Z37" s="121"/>
      <c r="AJ37" s="258"/>
      <c r="AK37" s="258"/>
      <c r="AL37" s="258"/>
      <c r="AM37" s="258"/>
      <c r="AN37" s="258"/>
    </row>
    <row r="38" spans="1:40" x14ac:dyDescent="0.25">
      <c r="A38" s="450"/>
      <c r="B38" s="230"/>
      <c r="C38" s="230"/>
      <c r="D38" s="257" t="s">
        <v>752</v>
      </c>
      <c r="E38" s="168">
        <f>E37-$D$37</f>
        <v>0</v>
      </c>
      <c r="F38" s="168">
        <f>F37-$D$37</f>
        <v>0</v>
      </c>
      <c r="G38" s="168">
        <f>G37-$D$37</f>
        <v>0</v>
      </c>
      <c r="H38" s="168">
        <f>H37-$D$37</f>
        <v>0</v>
      </c>
      <c r="I38" s="168">
        <f>I37-$D$37</f>
        <v>0</v>
      </c>
      <c r="J38" s="456"/>
      <c r="K38" s="197"/>
      <c r="L38" s="197"/>
      <c r="M38" s="264">
        <f>M37-$L37</f>
        <v>0</v>
      </c>
      <c r="N38" s="264">
        <f t="shared" ref="N38:Q38" si="27">N37-$L37</f>
        <v>0</v>
      </c>
      <c r="O38" s="264">
        <f t="shared" si="27"/>
        <v>0</v>
      </c>
      <c r="P38" s="264">
        <f t="shared" si="27"/>
        <v>0</v>
      </c>
      <c r="Q38" s="264">
        <f t="shared" si="27"/>
        <v>0</v>
      </c>
      <c r="R38" s="121"/>
      <c r="S38" s="121"/>
      <c r="T38" s="121"/>
      <c r="U38" s="121"/>
      <c r="V38" s="121"/>
      <c r="W38" s="121"/>
      <c r="X38" s="121"/>
      <c r="Y38" s="121"/>
      <c r="Z38" s="121"/>
      <c r="AJ38" s="258"/>
      <c r="AK38" s="258"/>
      <c r="AL38" s="258"/>
      <c r="AM38" s="258"/>
      <c r="AN38" s="258"/>
    </row>
    <row r="39" spans="1:40" x14ac:dyDescent="0.25">
      <c r="A39" s="260"/>
      <c r="B39" s="451"/>
      <c r="C39" s="452"/>
      <c r="D39" s="453"/>
      <c r="E39" s="454"/>
      <c r="F39" s="260"/>
      <c r="G39" s="260"/>
      <c r="H39" s="260"/>
      <c r="I39" s="280"/>
      <c r="J39" s="197"/>
      <c r="K39" s="197"/>
      <c r="L39" s="197"/>
      <c r="M39" s="197"/>
      <c r="N39" s="197"/>
      <c r="O39" s="197"/>
      <c r="P39" s="197"/>
      <c r="Q39" s="197"/>
      <c r="R39" s="121"/>
      <c r="S39" s="121"/>
      <c r="T39" s="121"/>
      <c r="U39" s="121"/>
      <c r="V39" s="121"/>
      <c r="W39" s="121"/>
      <c r="X39" s="121"/>
      <c r="Y39" s="121"/>
      <c r="Z39" s="121"/>
      <c r="AJ39" s="258"/>
      <c r="AK39" s="258"/>
      <c r="AL39" s="258"/>
      <c r="AM39" s="258"/>
      <c r="AN39" s="258"/>
    </row>
    <row r="40" spans="1:40" x14ac:dyDescent="0.25">
      <c r="A40" s="260"/>
      <c r="B40" s="348" t="s">
        <v>753</v>
      </c>
      <c r="C40" s="349"/>
      <c r="D40" s="349"/>
      <c r="E40" s="349"/>
      <c r="F40" s="349"/>
      <c r="G40" s="349"/>
      <c r="H40" s="349"/>
      <c r="I40" s="196"/>
      <c r="J40" s="197"/>
      <c r="K40" s="197"/>
      <c r="L40" s="197"/>
      <c r="M40" s="197"/>
      <c r="N40" s="197"/>
      <c r="O40" s="197"/>
      <c r="P40" s="197"/>
      <c r="Q40" s="197"/>
      <c r="R40" s="121"/>
      <c r="S40" s="121"/>
      <c r="T40" s="121"/>
      <c r="U40" s="121"/>
      <c r="V40" s="121"/>
      <c r="W40" s="121"/>
      <c r="X40" s="121"/>
      <c r="Y40" s="121"/>
      <c r="Z40" s="121"/>
      <c r="AJ40" s="258"/>
      <c r="AK40" s="258"/>
      <c r="AL40" s="258"/>
      <c r="AM40" s="258"/>
      <c r="AN40" s="258"/>
    </row>
    <row r="41" spans="1:40" ht="45" x14ac:dyDescent="0.25">
      <c r="A41" s="260"/>
      <c r="B41" s="254" t="s">
        <v>703</v>
      </c>
      <c r="C41" s="153" t="s">
        <v>751</v>
      </c>
      <c r="D41" s="802" t="s">
        <v>737</v>
      </c>
      <c r="E41" s="229" t="s">
        <v>591</v>
      </c>
      <c r="F41" s="229" t="s">
        <v>592</v>
      </c>
      <c r="G41" s="152" t="s">
        <v>714</v>
      </c>
      <c r="H41" s="152" t="s">
        <v>715</v>
      </c>
      <c r="I41" s="229" t="s">
        <v>716</v>
      </c>
      <c r="J41" s="197"/>
      <c r="K41" s="449" t="s">
        <v>777</v>
      </c>
      <c r="L41" s="802" t="s">
        <v>737</v>
      </c>
      <c r="M41" s="803" t="s">
        <v>591</v>
      </c>
      <c r="N41" s="803" t="s">
        <v>592</v>
      </c>
      <c r="O41" s="368" t="s">
        <v>714</v>
      </c>
      <c r="P41" s="368" t="s">
        <v>715</v>
      </c>
      <c r="Q41" s="803" t="s">
        <v>716</v>
      </c>
      <c r="R41" s="121"/>
      <c r="S41" s="121"/>
      <c r="T41" s="121"/>
      <c r="U41" s="121"/>
      <c r="V41" s="121"/>
      <c r="W41" s="121"/>
      <c r="X41" s="121"/>
      <c r="Y41" s="121"/>
      <c r="Z41" s="121"/>
      <c r="AJ41" s="258"/>
      <c r="AK41" s="258"/>
      <c r="AL41" s="258"/>
      <c r="AM41" s="258"/>
      <c r="AN41" s="258"/>
    </row>
    <row r="42" spans="1:40" x14ac:dyDescent="0.25">
      <c r="A42" s="260"/>
      <c r="B42" s="310" t="str">
        <f>'Capacity (local prices)'!B35</f>
        <v>Enfortumab vedotin with pembrolizumab</v>
      </c>
      <c r="C42" s="137">
        <f>'Capacity (local prices)'!C35</f>
        <v>0</v>
      </c>
      <c r="D42" s="116">
        <f>'Capacity (local prices)'!D35</f>
        <v>0</v>
      </c>
      <c r="E42" s="116">
        <f>'Capacity (local prices)'!E35</f>
        <v>0</v>
      </c>
      <c r="F42" s="116">
        <f>'Capacity (local prices)'!F35</f>
        <v>0</v>
      </c>
      <c r="G42" s="995">
        <f>'Capacity (local prices)'!G35</f>
        <v>0</v>
      </c>
      <c r="H42" s="995">
        <f>'Capacity (local prices)'!H35</f>
        <v>0</v>
      </c>
      <c r="I42" s="995">
        <f>'Capacity (local prices)'!I35</f>
        <v>0</v>
      </c>
      <c r="J42" s="197"/>
      <c r="K42" s="461">
        <f>'Unit costs'!N123</f>
        <v>0</v>
      </c>
      <c r="L42" s="263">
        <f>(D42*$K42)/1000</f>
        <v>0</v>
      </c>
      <c r="M42" s="263">
        <f t="shared" ref="M42:Q45" si="28">(E42*$K42)/1000</f>
        <v>0</v>
      </c>
      <c r="N42" s="263">
        <f t="shared" si="28"/>
        <v>0</v>
      </c>
      <c r="O42" s="263">
        <f t="shared" si="28"/>
        <v>0</v>
      </c>
      <c r="P42" s="263">
        <f t="shared" si="28"/>
        <v>0</v>
      </c>
      <c r="Q42" s="263">
        <f t="shared" si="28"/>
        <v>0</v>
      </c>
      <c r="R42" s="121"/>
      <c r="S42" s="121"/>
      <c r="T42" s="121"/>
      <c r="U42" s="121"/>
      <c r="V42" s="121"/>
      <c r="W42" s="121"/>
      <c r="X42" s="121"/>
      <c r="Y42" s="121"/>
      <c r="Z42" s="121"/>
      <c r="AJ42" s="258"/>
      <c r="AK42" s="258"/>
      <c r="AL42" s="258"/>
      <c r="AM42" s="258"/>
      <c r="AN42" s="258"/>
    </row>
    <row r="43" spans="1:40" x14ac:dyDescent="0.25">
      <c r="A43" s="260"/>
      <c r="B43" s="310" t="str">
        <f>'Capacity (local prices)'!B36</f>
        <v>Gemcitabine &amp; cisplatin</v>
      </c>
      <c r="C43" s="137">
        <f>'Capacity (local prices)'!C36</f>
        <v>0</v>
      </c>
      <c r="D43" s="116">
        <f>'Capacity (local prices)'!D36</f>
        <v>0</v>
      </c>
      <c r="E43" s="116">
        <f>'Capacity (local prices)'!E36</f>
        <v>0</v>
      </c>
      <c r="F43" s="116">
        <f>'Capacity (local prices)'!F36</f>
        <v>0</v>
      </c>
      <c r="G43" s="116">
        <f>'Capacity (local prices)'!G36</f>
        <v>0</v>
      </c>
      <c r="H43" s="116">
        <f>'Capacity (local prices)'!H36</f>
        <v>0</v>
      </c>
      <c r="I43" s="116">
        <f>'Capacity (local prices)'!I36</f>
        <v>0</v>
      </c>
      <c r="J43" s="197"/>
      <c r="K43" s="461">
        <f>K42</f>
        <v>0</v>
      </c>
      <c r="L43" s="263">
        <f t="shared" ref="L43:L45" si="29">(D43*$K43)/1000</f>
        <v>0</v>
      </c>
      <c r="M43" s="263">
        <f t="shared" si="28"/>
        <v>0</v>
      </c>
      <c r="N43" s="263">
        <f t="shared" si="28"/>
        <v>0</v>
      </c>
      <c r="O43" s="263">
        <f t="shared" si="28"/>
        <v>0</v>
      </c>
      <c r="P43" s="263">
        <f t="shared" si="28"/>
        <v>0</v>
      </c>
      <c r="Q43" s="263">
        <f t="shared" si="28"/>
        <v>0</v>
      </c>
      <c r="R43" s="121"/>
      <c r="S43" s="121"/>
      <c r="T43" s="121"/>
      <c r="U43" s="121"/>
      <c r="V43" s="121"/>
      <c r="W43" s="121"/>
      <c r="X43" s="121"/>
      <c r="Y43" s="121"/>
      <c r="Z43" s="121"/>
      <c r="AJ43" s="258"/>
      <c r="AK43" s="258"/>
      <c r="AL43" s="258"/>
      <c r="AM43" s="258"/>
      <c r="AN43" s="258"/>
    </row>
    <row r="44" spans="1:40" x14ac:dyDescent="0.25">
      <c r="A44" s="260"/>
      <c r="B44" s="310" t="str">
        <f>'Capacity (local prices)'!B37</f>
        <v xml:space="preserve">Gemcitabine &amp; carboplatin </v>
      </c>
      <c r="C44" s="137">
        <f>'Capacity (local prices)'!C37</f>
        <v>0</v>
      </c>
      <c r="D44" s="116">
        <f>'Capacity (local prices)'!D37</f>
        <v>0</v>
      </c>
      <c r="E44" s="116">
        <f>'Capacity (local prices)'!E37</f>
        <v>0</v>
      </c>
      <c r="F44" s="116">
        <f>'Capacity (local prices)'!F37</f>
        <v>0</v>
      </c>
      <c r="G44" s="116">
        <f>'Capacity (local prices)'!G37</f>
        <v>0</v>
      </c>
      <c r="H44" s="116">
        <f>'Capacity (local prices)'!H37</f>
        <v>0</v>
      </c>
      <c r="I44" s="116">
        <f>'Capacity (local prices)'!I37</f>
        <v>0</v>
      </c>
      <c r="J44" s="197"/>
      <c r="K44" s="461">
        <f>K42</f>
        <v>0</v>
      </c>
      <c r="L44" s="263">
        <f t="shared" si="29"/>
        <v>0</v>
      </c>
      <c r="M44" s="263">
        <f t="shared" si="28"/>
        <v>0</v>
      </c>
      <c r="N44" s="263">
        <f t="shared" si="28"/>
        <v>0</v>
      </c>
      <c r="O44" s="263">
        <f t="shared" si="28"/>
        <v>0</v>
      </c>
      <c r="P44" s="263">
        <f t="shared" si="28"/>
        <v>0</v>
      </c>
      <c r="Q44" s="263">
        <f t="shared" si="28"/>
        <v>0</v>
      </c>
      <c r="R44" s="121"/>
      <c r="S44" s="121"/>
      <c r="T44" s="121"/>
      <c r="U44" s="121"/>
      <c r="V44" s="121"/>
      <c r="W44" s="121"/>
      <c r="X44" s="121"/>
      <c r="Y44" s="121"/>
      <c r="Z44" s="121"/>
      <c r="AJ44" s="258"/>
      <c r="AK44" s="258"/>
      <c r="AL44" s="258"/>
      <c r="AM44" s="258"/>
      <c r="AN44" s="258"/>
    </row>
    <row r="45" spans="1:40" x14ac:dyDescent="0.25">
      <c r="A45" s="260"/>
      <c r="B45" s="310" t="str">
        <f>'Capacity (local prices)'!B38</f>
        <v>Atezolizumab</v>
      </c>
      <c r="C45" s="137">
        <f>'Capacity (local prices)'!C38</f>
        <v>0</v>
      </c>
      <c r="D45" s="116">
        <f>'Capacity (local prices)'!D38</f>
        <v>0</v>
      </c>
      <c r="E45" s="116">
        <f>'Capacity (local prices)'!E38</f>
        <v>0</v>
      </c>
      <c r="F45" s="116">
        <f>'Capacity (local prices)'!F38</f>
        <v>0</v>
      </c>
      <c r="G45" s="116">
        <f>'Capacity (local prices)'!G38</f>
        <v>0</v>
      </c>
      <c r="H45" s="116">
        <f>'Capacity (local prices)'!H38</f>
        <v>0</v>
      </c>
      <c r="I45" s="116">
        <f>'Capacity (local prices)'!I38</f>
        <v>0</v>
      </c>
      <c r="J45" s="197"/>
      <c r="K45" s="461">
        <f>K42</f>
        <v>0</v>
      </c>
      <c r="L45" s="263">
        <f t="shared" si="29"/>
        <v>0</v>
      </c>
      <c r="M45" s="263">
        <f t="shared" si="28"/>
        <v>0</v>
      </c>
      <c r="N45" s="263">
        <f t="shared" si="28"/>
        <v>0</v>
      </c>
      <c r="O45" s="263">
        <f t="shared" si="28"/>
        <v>0</v>
      </c>
      <c r="P45" s="263">
        <f t="shared" si="28"/>
        <v>0</v>
      </c>
      <c r="Q45" s="263">
        <f t="shared" si="28"/>
        <v>0</v>
      </c>
      <c r="R45" s="121"/>
      <c r="S45" s="121"/>
      <c r="T45" s="121"/>
      <c r="U45" s="121"/>
      <c r="V45" s="121"/>
      <c r="W45" s="121"/>
      <c r="X45" s="121"/>
      <c r="Y45" s="121"/>
      <c r="Z45" s="121"/>
      <c r="AJ45" s="258"/>
      <c r="AK45" s="258"/>
      <c r="AL45" s="258"/>
      <c r="AM45" s="258"/>
      <c r="AN45" s="258"/>
    </row>
    <row r="46" spans="1:40" x14ac:dyDescent="0.25">
      <c r="A46" s="260"/>
      <c r="B46" s="439"/>
      <c r="C46" s="289"/>
      <c r="D46" s="168">
        <f t="shared" ref="D46:I46" si="30">SUM(D42:D45)</f>
        <v>0</v>
      </c>
      <c r="E46" s="168">
        <f t="shared" si="30"/>
        <v>0</v>
      </c>
      <c r="F46" s="168">
        <f>SUM(F42:F45)</f>
        <v>0</v>
      </c>
      <c r="G46" s="168">
        <f t="shared" si="30"/>
        <v>0</v>
      </c>
      <c r="H46" s="168">
        <f t="shared" si="30"/>
        <v>0</v>
      </c>
      <c r="I46" s="168">
        <f t="shared" si="30"/>
        <v>0</v>
      </c>
      <c r="J46" s="197"/>
      <c r="K46" s="197"/>
      <c r="L46" s="264">
        <f t="shared" ref="L46:Q46" si="31">SUM(L42:L45)</f>
        <v>0</v>
      </c>
      <c r="M46" s="264">
        <f t="shared" si="31"/>
        <v>0</v>
      </c>
      <c r="N46" s="264">
        <f t="shared" si="31"/>
        <v>0</v>
      </c>
      <c r="O46" s="264">
        <f t="shared" si="31"/>
        <v>0</v>
      </c>
      <c r="P46" s="264">
        <f t="shared" si="31"/>
        <v>0</v>
      </c>
      <c r="Q46" s="264">
        <f t="shared" si="31"/>
        <v>0</v>
      </c>
      <c r="R46" s="121"/>
      <c r="S46" s="121"/>
      <c r="T46" s="121"/>
      <c r="U46" s="121"/>
      <c r="V46" s="121"/>
      <c r="W46" s="121"/>
      <c r="X46" s="121"/>
      <c r="Y46" s="121"/>
      <c r="Z46" s="121"/>
      <c r="AJ46" s="258"/>
      <c r="AK46" s="258"/>
      <c r="AL46" s="258"/>
      <c r="AM46" s="258"/>
      <c r="AN46" s="258"/>
    </row>
    <row r="47" spans="1:40" x14ac:dyDescent="0.25">
      <c r="A47" s="260"/>
      <c r="B47" s="230"/>
      <c r="C47" s="230"/>
      <c r="D47" s="257" t="s">
        <v>754</v>
      </c>
      <c r="E47" s="168">
        <f>E46-$D$46</f>
        <v>0</v>
      </c>
      <c r="F47" s="168">
        <f t="shared" ref="F47:I47" si="32">F46-$D$46</f>
        <v>0</v>
      </c>
      <c r="G47" s="168">
        <f t="shared" si="32"/>
        <v>0</v>
      </c>
      <c r="H47" s="168">
        <f t="shared" si="32"/>
        <v>0</v>
      </c>
      <c r="I47" s="168">
        <f t="shared" si="32"/>
        <v>0</v>
      </c>
      <c r="J47" s="197"/>
      <c r="K47" s="197"/>
      <c r="L47" s="197"/>
      <c r="M47" s="264">
        <f>M46-$L46</f>
        <v>0</v>
      </c>
      <c r="N47" s="264">
        <f t="shared" ref="N47:Q47" si="33">N46-$L46</f>
        <v>0</v>
      </c>
      <c r="O47" s="264">
        <f t="shared" si="33"/>
        <v>0</v>
      </c>
      <c r="P47" s="264">
        <f t="shared" si="33"/>
        <v>0</v>
      </c>
      <c r="Q47" s="264">
        <f t="shared" si="33"/>
        <v>0</v>
      </c>
      <c r="R47" s="121"/>
      <c r="S47" s="121"/>
      <c r="T47" s="121"/>
      <c r="U47" s="121"/>
      <c r="V47" s="121"/>
      <c r="W47" s="121"/>
      <c r="X47" s="121"/>
      <c r="Y47" s="121"/>
      <c r="Z47" s="121"/>
      <c r="AJ47" s="258"/>
      <c r="AK47" s="258"/>
      <c r="AL47" s="258"/>
      <c r="AM47" s="258"/>
      <c r="AN47" s="258"/>
    </row>
    <row r="48" spans="1:40" x14ac:dyDescent="0.25">
      <c r="A48" s="260"/>
      <c r="B48" s="451"/>
      <c r="C48" s="452"/>
      <c r="D48" s="453"/>
      <c r="E48" s="454"/>
      <c r="F48" s="260"/>
      <c r="G48" s="260"/>
      <c r="H48" s="260"/>
      <c r="I48" s="260"/>
      <c r="J48" s="197"/>
      <c r="K48" s="197"/>
      <c r="L48" s="197"/>
      <c r="M48" s="197"/>
      <c r="N48" s="197"/>
      <c r="O48" s="197"/>
      <c r="P48" s="197"/>
      <c r="Q48" s="197"/>
      <c r="R48" s="121"/>
      <c r="S48" s="121"/>
      <c r="T48" s="121"/>
      <c r="U48" s="121"/>
      <c r="V48" s="121"/>
      <c r="W48" s="121"/>
      <c r="X48" s="121"/>
      <c r="Y48" s="121"/>
      <c r="Z48" s="121"/>
      <c r="AJ48" s="258"/>
      <c r="AK48" s="258"/>
      <c r="AL48" s="258"/>
      <c r="AM48" s="258"/>
      <c r="AN48" s="258"/>
    </row>
    <row r="49" spans="1:40" x14ac:dyDescent="0.25">
      <c r="A49" s="266"/>
      <c r="B49" s="287" t="s">
        <v>755</v>
      </c>
      <c r="C49" s="267"/>
      <c r="D49" s="267"/>
      <c r="E49" s="268"/>
      <c r="F49" s="269"/>
      <c r="G49" s="270"/>
      <c r="H49" s="270"/>
      <c r="I49" s="375"/>
      <c r="J49" s="376"/>
      <c r="K49" s="266"/>
      <c r="L49" s="266"/>
      <c r="M49" s="266"/>
      <c r="N49" s="266"/>
      <c r="O49" s="266"/>
      <c r="P49" s="266"/>
      <c r="Q49" s="193"/>
      <c r="R49" s="121"/>
      <c r="S49" s="121"/>
      <c r="V49" s="121"/>
    </row>
    <row r="50" spans="1:40" x14ac:dyDescent="0.25">
      <c r="A50" s="266"/>
      <c r="B50" s="341" t="s">
        <v>756</v>
      </c>
      <c r="C50" s="342"/>
      <c r="D50" s="342"/>
      <c r="E50" s="342"/>
      <c r="F50" s="342"/>
      <c r="G50" s="342"/>
      <c r="H50" s="342"/>
      <c r="I50" s="342"/>
      <c r="J50" s="372"/>
      <c r="K50" s="193"/>
      <c r="L50" s="193"/>
      <c r="M50" s="193"/>
      <c r="N50" s="193"/>
      <c r="O50" s="193"/>
      <c r="P50" s="193"/>
      <c r="Q50" s="193"/>
      <c r="R50" s="121"/>
      <c r="S50" s="121"/>
      <c r="T50" s="121"/>
      <c r="U50" s="121"/>
      <c r="V50" s="121"/>
      <c r="W50" s="121"/>
      <c r="X50" s="121"/>
      <c r="Y50" s="121"/>
      <c r="Z50" s="121"/>
      <c r="AJ50" s="258"/>
      <c r="AK50" s="258"/>
      <c r="AL50" s="258"/>
      <c r="AM50" s="258"/>
      <c r="AN50" s="258"/>
    </row>
    <row r="51" spans="1:40" ht="45" x14ac:dyDescent="0.25">
      <c r="A51" s="266"/>
      <c r="B51" s="285" t="s">
        <v>703</v>
      </c>
      <c r="C51" s="153" t="s">
        <v>693</v>
      </c>
      <c r="D51" s="802" t="s">
        <v>737</v>
      </c>
      <c r="E51" s="229" t="s">
        <v>591</v>
      </c>
      <c r="F51" s="229" t="s">
        <v>592</v>
      </c>
      <c r="G51" s="152" t="s">
        <v>714</v>
      </c>
      <c r="H51" s="152" t="s">
        <v>715</v>
      </c>
      <c r="I51" s="229" t="s">
        <v>716</v>
      </c>
      <c r="J51" s="372"/>
      <c r="K51" s="193"/>
      <c r="L51" s="193"/>
      <c r="M51" s="193"/>
      <c r="N51" s="193"/>
      <c r="O51" s="193"/>
      <c r="P51" s="193"/>
      <c r="Q51" s="193"/>
      <c r="R51" s="121"/>
      <c r="S51" s="121"/>
      <c r="T51" s="121"/>
      <c r="U51" s="121"/>
      <c r="V51" s="121"/>
      <c r="W51" s="121"/>
      <c r="X51" s="121"/>
      <c r="Y51" s="121"/>
      <c r="Z51" s="121"/>
      <c r="AJ51" s="258"/>
      <c r="AK51" s="258"/>
      <c r="AL51" s="258"/>
      <c r="AM51" s="258"/>
      <c r="AN51" s="258"/>
    </row>
    <row r="52" spans="1:40" x14ac:dyDescent="0.25">
      <c r="A52" s="266"/>
      <c r="B52" s="311" t="str">
        <f>'Capacity (local prices)'!B45</f>
        <v>Enfortumab vedotin with pembrolizumab</v>
      </c>
      <c r="C52" s="941">
        <f>'Capacity (local prices)'!C45</f>
        <v>0</v>
      </c>
      <c r="D52" s="116">
        <f>'Capacity (local prices)'!D45</f>
        <v>0</v>
      </c>
      <c r="E52" s="116">
        <f>'Capacity (local prices)'!E45</f>
        <v>0</v>
      </c>
      <c r="F52" s="116">
        <f>'Capacity (local prices)'!F45</f>
        <v>0</v>
      </c>
      <c r="G52" s="116">
        <f>'Capacity (local prices)'!G45</f>
        <v>0</v>
      </c>
      <c r="H52" s="116">
        <f>'Capacity (local prices)'!H45</f>
        <v>0</v>
      </c>
      <c r="I52" s="116">
        <f>'Capacity (local prices)'!I45</f>
        <v>0</v>
      </c>
      <c r="J52" s="372"/>
      <c r="K52" s="193"/>
      <c r="L52" s="193"/>
      <c r="M52" s="193"/>
      <c r="N52" s="193"/>
      <c r="O52" s="193"/>
      <c r="P52" s="193"/>
      <c r="Q52" s="193"/>
      <c r="R52" s="121"/>
      <c r="S52" s="121"/>
      <c r="T52" s="121"/>
      <c r="U52" s="121"/>
      <c r="V52" s="121"/>
      <c r="W52" s="121"/>
      <c r="X52" s="121"/>
      <c r="Y52" s="121"/>
      <c r="Z52" s="121"/>
      <c r="AJ52" s="258"/>
      <c r="AK52" s="258"/>
      <c r="AL52" s="258"/>
      <c r="AM52" s="258"/>
      <c r="AN52" s="258"/>
    </row>
    <row r="53" spans="1:40" x14ac:dyDescent="0.25">
      <c r="A53" s="266"/>
      <c r="B53" s="311" t="str">
        <f>'Capacity (local prices)'!B46</f>
        <v>Enfortumab vedotin with pembrolizumab - year 2</v>
      </c>
      <c r="C53" s="941">
        <f>'Capacity (local prices)'!C46</f>
        <v>0</v>
      </c>
      <c r="D53" s="116">
        <f>'Capacity (local prices)'!D46</f>
        <v>0</v>
      </c>
      <c r="E53" s="116">
        <f>'Capacity (local prices)'!E46</f>
        <v>0</v>
      </c>
      <c r="F53" s="116">
        <f>'Capacity (local prices)'!F46</f>
        <v>0</v>
      </c>
      <c r="G53" s="116">
        <f>'Capacity (local prices)'!G46</f>
        <v>0</v>
      </c>
      <c r="H53" s="116">
        <f>'Capacity (local prices)'!H46</f>
        <v>0</v>
      </c>
      <c r="I53" s="116">
        <f>'Capacity (local prices)'!I46</f>
        <v>0</v>
      </c>
      <c r="J53" s="372"/>
      <c r="K53" s="193"/>
      <c r="L53" s="193"/>
      <c r="M53" s="193"/>
      <c r="N53" s="193"/>
      <c r="O53" s="193"/>
      <c r="P53" s="193"/>
      <c r="Q53" s="193"/>
      <c r="R53" s="121"/>
      <c r="S53" s="121"/>
      <c r="T53" s="121"/>
      <c r="U53" s="121"/>
      <c r="V53" s="121"/>
      <c r="W53" s="121"/>
      <c r="X53" s="121"/>
      <c r="Y53" s="121"/>
      <c r="Z53" s="121"/>
      <c r="AJ53" s="258"/>
      <c r="AK53" s="258"/>
      <c r="AL53" s="258"/>
      <c r="AM53" s="258"/>
      <c r="AN53" s="258"/>
    </row>
    <row r="54" spans="1:40" x14ac:dyDescent="0.25">
      <c r="A54" s="266"/>
      <c r="B54" s="311" t="str">
        <f>'Capacity (local prices)'!B47</f>
        <v>Gemcitabine &amp; cisplatin</v>
      </c>
      <c r="C54" s="941">
        <f>'Capacity (local prices)'!C47</f>
        <v>0</v>
      </c>
      <c r="D54" s="116">
        <f>'Capacity (local prices)'!D47</f>
        <v>0</v>
      </c>
      <c r="E54" s="116">
        <f>'Capacity (local prices)'!E47</f>
        <v>0</v>
      </c>
      <c r="F54" s="116">
        <f>'Capacity (local prices)'!F47</f>
        <v>0</v>
      </c>
      <c r="G54" s="116">
        <f>'Capacity (local prices)'!G47</f>
        <v>0</v>
      </c>
      <c r="H54" s="116">
        <f>'Capacity (local prices)'!H47</f>
        <v>0</v>
      </c>
      <c r="I54" s="116">
        <f>'Capacity (local prices)'!I47</f>
        <v>0</v>
      </c>
      <c r="J54" s="372"/>
      <c r="K54" s="193"/>
      <c r="L54" s="193"/>
      <c r="M54" s="193"/>
      <c r="N54" s="193"/>
      <c r="O54" s="193"/>
      <c r="P54" s="193"/>
      <c r="Q54" s="193"/>
      <c r="R54" s="121"/>
      <c r="S54" s="121"/>
      <c r="T54" s="121"/>
      <c r="U54" s="121"/>
      <c r="V54" s="121"/>
      <c r="W54" s="121"/>
      <c r="X54" s="121"/>
      <c r="Y54" s="121"/>
      <c r="Z54" s="121"/>
      <c r="AJ54" s="258"/>
      <c r="AK54" s="258"/>
      <c r="AL54" s="258"/>
      <c r="AM54" s="258"/>
      <c r="AN54" s="258"/>
    </row>
    <row r="55" spans="1:40" x14ac:dyDescent="0.25">
      <c r="A55" s="266"/>
      <c r="B55" s="311" t="str">
        <f>'Capacity (local prices)'!B48</f>
        <v xml:space="preserve">Gemcitabine &amp; carboplatin </v>
      </c>
      <c r="C55" s="941">
        <f>'Capacity (local prices)'!C48</f>
        <v>0</v>
      </c>
      <c r="D55" s="116">
        <f>'Capacity (local prices)'!D48</f>
        <v>0</v>
      </c>
      <c r="E55" s="116">
        <f>'Capacity (local prices)'!E48</f>
        <v>0</v>
      </c>
      <c r="F55" s="116">
        <f>'Capacity (local prices)'!F48</f>
        <v>0</v>
      </c>
      <c r="G55" s="116">
        <f>'Capacity (local prices)'!G48</f>
        <v>0</v>
      </c>
      <c r="H55" s="116">
        <f>'Capacity (local prices)'!H48</f>
        <v>0</v>
      </c>
      <c r="I55" s="116">
        <f>'Capacity (local prices)'!I48</f>
        <v>0</v>
      </c>
      <c r="J55" s="372"/>
      <c r="K55" s="193"/>
      <c r="L55" s="193"/>
      <c r="M55" s="193"/>
      <c r="N55" s="193"/>
      <c r="O55" s="193"/>
      <c r="P55" s="193"/>
      <c r="Q55" s="193"/>
      <c r="R55" s="121"/>
      <c r="S55" s="121"/>
      <c r="T55" s="121"/>
      <c r="U55" s="121"/>
      <c r="V55" s="121"/>
      <c r="W55" s="121"/>
      <c r="X55" s="121"/>
      <c r="Y55" s="121"/>
      <c r="Z55" s="121"/>
      <c r="AJ55" s="258"/>
      <c r="AK55" s="258"/>
      <c r="AL55" s="258"/>
      <c r="AM55" s="258"/>
      <c r="AN55" s="258"/>
    </row>
    <row r="56" spans="1:40" x14ac:dyDescent="0.25">
      <c r="A56" s="266"/>
      <c r="B56" s="311" t="str">
        <f>'Capacity (local prices)'!B49</f>
        <v>Atezolizumab</v>
      </c>
      <c r="C56" s="941">
        <f>'Capacity (local prices)'!C49</f>
        <v>0</v>
      </c>
      <c r="D56" s="116">
        <f>'Capacity (local prices)'!D49</f>
        <v>0</v>
      </c>
      <c r="E56" s="116">
        <f>'Capacity (local prices)'!E49</f>
        <v>0</v>
      </c>
      <c r="F56" s="116">
        <f>'Capacity (local prices)'!F49</f>
        <v>0</v>
      </c>
      <c r="G56" s="116">
        <f>'Capacity (local prices)'!G49</f>
        <v>0</v>
      </c>
      <c r="H56" s="116">
        <f>'Capacity (local prices)'!H49</f>
        <v>0</v>
      </c>
      <c r="I56" s="116">
        <f>'Capacity (local prices)'!I49</f>
        <v>0</v>
      </c>
      <c r="J56" s="372"/>
      <c r="K56" s="193"/>
      <c r="L56" s="193"/>
      <c r="M56" s="193"/>
      <c r="N56" s="193"/>
      <c r="O56" s="193"/>
      <c r="P56" s="193"/>
      <c r="Q56" s="193"/>
      <c r="R56" s="121"/>
      <c r="S56" s="121"/>
      <c r="T56" s="121"/>
      <c r="U56" s="121"/>
      <c r="V56" s="121"/>
      <c r="W56" s="121"/>
      <c r="X56" s="121"/>
      <c r="Y56" s="121"/>
      <c r="Z56" s="121"/>
      <c r="AJ56" s="258"/>
      <c r="AK56" s="258"/>
      <c r="AL56" s="258"/>
      <c r="AM56" s="258"/>
      <c r="AN56" s="258"/>
    </row>
    <row r="57" spans="1:40" x14ac:dyDescent="0.25">
      <c r="A57" s="266"/>
      <c r="B57" s="251" t="str">
        <f>'Capacity (local prices)'!B50</f>
        <v>Subsequent treatments</v>
      </c>
      <c r="C57" s="942"/>
      <c r="D57" s="168">
        <f>'Capacity (local prices)'!D50</f>
        <v>0</v>
      </c>
      <c r="E57" s="168">
        <f>'Capacity (local prices)'!E50</f>
        <v>0</v>
      </c>
      <c r="F57" s="168">
        <f>'Capacity (local prices)'!F50</f>
        <v>0</v>
      </c>
      <c r="G57" s="168">
        <f>'Capacity (local prices)'!G50</f>
        <v>0</v>
      </c>
      <c r="H57" s="168">
        <f>'Capacity (local prices)'!H50</f>
        <v>0</v>
      </c>
      <c r="I57" s="168">
        <f>'Capacity (local prices)'!I50</f>
        <v>0</v>
      </c>
      <c r="J57" s="372"/>
      <c r="K57" s="193"/>
      <c r="L57" s="193"/>
      <c r="M57" s="193"/>
      <c r="N57" s="193"/>
      <c r="O57" s="193"/>
      <c r="P57" s="193"/>
      <c r="Q57" s="193"/>
      <c r="R57" s="121"/>
      <c r="S57" s="121"/>
      <c r="T57" s="121"/>
      <c r="U57" s="121"/>
      <c r="V57" s="121"/>
      <c r="W57" s="121"/>
      <c r="X57" s="121"/>
      <c r="Y57" s="121"/>
      <c r="Z57" s="121"/>
      <c r="AJ57" s="258"/>
      <c r="AK57" s="258"/>
      <c r="AL57" s="258"/>
      <c r="AM57" s="258"/>
      <c r="AN57" s="258"/>
    </row>
    <row r="58" spans="1:40" x14ac:dyDescent="0.25">
      <c r="A58" s="266"/>
      <c r="B58" s="311" t="str">
        <f>'Capacity (local prices)'!B51</f>
        <v>Gemcitabine + cisplatin</v>
      </c>
      <c r="C58" s="941">
        <f>'Capacity (local prices)'!C51</f>
        <v>0</v>
      </c>
      <c r="D58" s="116">
        <f>'Capacity (local prices)'!D51</f>
        <v>0</v>
      </c>
      <c r="E58" s="116">
        <f>'Capacity (local prices)'!E51</f>
        <v>0</v>
      </c>
      <c r="F58" s="116">
        <f>'Capacity (local prices)'!F51</f>
        <v>0</v>
      </c>
      <c r="G58" s="116">
        <f>'Capacity (local prices)'!G51</f>
        <v>0</v>
      </c>
      <c r="H58" s="116">
        <f>'Capacity (local prices)'!H51</f>
        <v>0</v>
      </c>
      <c r="I58" s="116">
        <f>'Capacity (local prices)'!I51</f>
        <v>0</v>
      </c>
      <c r="J58" s="372"/>
      <c r="K58" s="193"/>
      <c r="L58" s="193"/>
      <c r="M58" s="193"/>
      <c r="N58" s="193"/>
      <c r="O58" s="193"/>
      <c r="P58" s="193"/>
      <c r="Q58" s="193"/>
      <c r="R58" s="121"/>
      <c r="S58" s="121"/>
      <c r="T58" s="121"/>
      <c r="U58" s="121"/>
      <c r="V58" s="121"/>
      <c r="W58" s="121"/>
      <c r="X58" s="121"/>
      <c r="Y58" s="121"/>
      <c r="Z58" s="121"/>
      <c r="AJ58" s="258"/>
      <c r="AK58" s="258"/>
      <c r="AL58" s="258"/>
      <c r="AM58" s="258"/>
      <c r="AN58" s="258"/>
    </row>
    <row r="59" spans="1:40" x14ac:dyDescent="0.25">
      <c r="A59" s="266"/>
      <c r="B59" s="311" t="str">
        <f>'Capacity (local prices)'!B52</f>
        <v>Gemcitabine + carboplatin</v>
      </c>
      <c r="C59" s="941">
        <f>'Capacity (local prices)'!C52</f>
        <v>0</v>
      </c>
      <c r="D59" s="116">
        <f>'Capacity (local prices)'!D52</f>
        <v>0</v>
      </c>
      <c r="E59" s="116">
        <f>'Capacity (local prices)'!E52</f>
        <v>0</v>
      </c>
      <c r="F59" s="116">
        <f>'Capacity (local prices)'!F52</f>
        <v>0</v>
      </c>
      <c r="G59" s="116">
        <f>'Capacity (local prices)'!G52</f>
        <v>0</v>
      </c>
      <c r="H59" s="116">
        <f>'Capacity (local prices)'!H52</f>
        <v>0</v>
      </c>
      <c r="I59" s="116">
        <f>'Capacity (local prices)'!I52</f>
        <v>0</v>
      </c>
      <c r="J59" s="372"/>
      <c r="K59" s="193"/>
      <c r="L59" s="193"/>
      <c r="M59" s="193"/>
      <c r="N59" s="193"/>
      <c r="O59" s="193"/>
      <c r="P59" s="193"/>
      <c r="Q59" s="193"/>
      <c r="R59" s="121"/>
      <c r="S59" s="121"/>
      <c r="T59" s="121"/>
      <c r="U59" s="121"/>
      <c r="V59" s="121"/>
      <c r="W59" s="121"/>
      <c r="X59" s="121"/>
      <c r="Y59" s="121"/>
      <c r="Z59" s="121"/>
      <c r="AJ59" s="258"/>
      <c r="AK59" s="258"/>
      <c r="AL59" s="258"/>
      <c r="AM59" s="258"/>
      <c r="AN59" s="258"/>
    </row>
    <row r="60" spans="1:40" x14ac:dyDescent="0.25">
      <c r="A60" s="266"/>
      <c r="B60" s="311" t="str">
        <f>'Capacity (local prices)'!B53</f>
        <v>Atezolizumab</v>
      </c>
      <c r="C60" s="941">
        <f>'Capacity (local prices)'!C53</f>
        <v>0</v>
      </c>
      <c r="D60" s="116">
        <f>'Capacity (local prices)'!D53</f>
        <v>0</v>
      </c>
      <c r="E60" s="116">
        <f>'Capacity (local prices)'!E53</f>
        <v>0</v>
      </c>
      <c r="F60" s="116">
        <f>'Capacity (local prices)'!F53</f>
        <v>0</v>
      </c>
      <c r="G60" s="116">
        <f>'Capacity (local prices)'!G53</f>
        <v>0</v>
      </c>
      <c r="H60" s="116">
        <f>'Capacity (local prices)'!H53</f>
        <v>0</v>
      </c>
      <c r="I60" s="116">
        <f>'Capacity (local prices)'!I53</f>
        <v>0</v>
      </c>
      <c r="J60" s="372"/>
      <c r="K60" s="193"/>
      <c r="L60" s="193"/>
      <c r="M60" s="193"/>
      <c r="N60" s="193"/>
      <c r="O60" s="193"/>
      <c r="P60" s="193"/>
      <c r="Q60" s="193"/>
      <c r="R60" s="121"/>
      <c r="S60" s="121"/>
      <c r="T60" s="121"/>
      <c r="U60" s="121"/>
      <c r="V60" s="121"/>
      <c r="W60" s="121"/>
      <c r="X60" s="121"/>
      <c r="Y60" s="121"/>
      <c r="Z60" s="121"/>
      <c r="AJ60" s="258"/>
      <c r="AK60" s="258"/>
      <c r="AL60" s="258"/>
      <c r="AM60" s="258"/>
      <c r="AN60" s="258"/>
    </row>
    <row r="61" spans="1:40" x14ac:dyDescent="0.25">
      <c r="A61" s="266"/>
      <c r="B61" s="311" t="str">
        <f>'Capacity (local prices)'!B54</f>
        <v>Paclitaxel</v>
      </c>
      <c r="C61" s="941">
        <f>'Capacity (local prices)'!C54</f>
        <v>0</v>
      </c>
      <c r="D61" s="116">
        <f>'Capacity (local prices)'!D54</f>
        <v>0</v>
      </c>
      <c r="E61" s="116">
        <f>'Capacity (local prices)'!E54</f>
        <v>0</v>
      </c>
      <c r="F61" s="116">
        <f>'Capacity (local prices)'!F54</f>
        <v>0</v>
      </c>
      <c r="G61" s="116">
        <f>'Capacity (local prices)'!G54</f>
        <v>0</v>
      </c>
      <c r="H61" s="116">
        <f>'Capacity (local prices)'!H54</f>
        <v>0</v>
      </c>
      <c r="I61" s="116">
        <f>'Capacity (local prices)'!I54</f>
        <v>0</v>
      </c>
      <c r="J61" s="372"/>
      <c r="K61" s="193"/>
      <c r="L61" s="193"/>
      <c r="M61" s="193"/>
      <c r="N61" s="193"/>
      <c r="O61" s="193"/>
      <c r="P61" s="193"/>
      <c r="Q61" s="193"/>
      <c r="R61" s="121"/>
      <c r="S61" s="121"/>
      <c r="T61" s="121"/>
      <c r="U61" s="121"/>
      <c r="V61" s="121"/>
      <c r="W61" s="121"/>
      <c r="X61" s="121"/>
      <c r="Y61" s="121"/>
      <c r="Z61" s="121"/>
      <c r="AJ61" s="258"/>
      <c r="AK61" s="258"/>
      <c r="AL61" s="258"/>
      <c r="AM61" s="258"/>
      <c r="AN61" s="258"/>
    </row>
    <row r="62" spans="1:40" x14ac:dyDescent="0.25">
      <c r="A62" s="266"/>
      <c r="B62" s="251" t="str">
        <f>'Capacity (local prices)'!B55</f>
        <v>Maintenance treatment</v>
      </c>
      <c r="C62" s="942"/>
      <c r="D62" s="168">
        <f>'Capacity (local prices)'!D55</f>
        <v>0</v>
      </c>
      <c r="E62" s="168">
        <f>'Capacity (local prices)'!E55</f>
        <v>0</v>
      </c>
      <c r="F62" s="168">
        <f>'Capacity (local prices)'!F55</f>
        <v>0</v>
      </c>
      <c r="G62" s="168">
        <f>'Capacity (local prices)'!G55</f>
        <v>0</v>
      </c>
      <c r="H62" s="168">
        <f>'Capacity (local prices)'!H55</f>
        <v>0</v>
      </c>
      <c r="I62" s="168">
        <f>'Capacity (local prices)'!I55</f>
        <v>0</v>
      </c>
      <c r="J62" s="372"/>
      <c r="K62" s="193"/>
      <c r="L62" s="193"/>
      <c r="M62" s="193"/>
      <c r="N62" s="193"/>
      <c r="O62" s="193"/>
      <c r="P62" s="193"/>
      <c r="Q62" s="193"/>
      <c r="R62" s="121"/>
      <c r="S62" s="121"/>
      <c r="T62" s="121"/>
      <c r="U62" s="121"/>
      <c r="V62" s="121"/>
      <c r="W62" s="121"/>
      <c r="X62" s="121"/>
      <c r="Y62" s="121"/>
      <c r="Z62" s="121"/>
      <c r="AJ62" s="258"/>
      <c r="AK62" s="258"/>
      <c r="AL62" s="258"/>
      <c r="AM62" s="258"/>
      <c r="AN62" s="258"/>
    </row>
    <row r="63" spans="1:40" x14ac:dyDescent="0.25">
      <c r="A63" s="266"/>
      <c r="B63" s="311" t="str">
        <f>'Capacity (local prices)'!B56</f>
        <v>Avelumab</v>
      </c>
      <c r="C63" s="941">
        <f>'Capacity (local prices)'!C56</f>
        <v>0</v>
      </c>
      <c r="D63" s="116">
        <f>'Capacity (local prices)'!D56</f>
        <v>0</v>
      </c>
      <c r="E63" s="116">
        <f>'Capacity (local prices)'!E56</f>
        <v>0</v>
      </c>
      <c r="F63" s="116">
        <f>'Capacity (local prices)'!F56</f>
        <v>0</v>
      </c>
      <c r="G63" s="116">
        <f>'Capacity (local prices)'!G56</f>
        <v>0</v>
      </c>
      <c r="H63" s="116">
        <f>'Capacity (local prices)'!H56</f>
        <v>0</v>
      </c>
      <c r="I63" s="116">
        <f>'Capacity (local prices)'!I56</f>
        <v>0</v>
      </c>
      <c r="J63" s="372"/>
      <c r="K63" s="193"/>
      <c r="L63" s="193"/>
      <c r="M63" s="193"/>
      <c r="N63" s="193"/>
      <c r="O63" s="193"/>
      <c r="P63" s="193"/>
      <c r="Q63" s="193"/>
      <c r="R63" s="121"/>
      <c r="S63" s="121"/>
      <c r="T63" s="121"/>
      <c r="U63" s="121"/>
      <c r="V63" s="121"/>
      <c r="W63" s="121"/>
      <c r="X63" s="121"/>
      <c r="Y63" s="121"/>
      <c r="Z63" s="121"/>
      <c r="AJ63" s="258"/>
      <c r="AK63" s="258"/>
      <c r="AL63" s="258"/>
      <c r="AM63" s="258"/>
      <c r="AN63" s="258"/>
    </row>
    <row r="64" spans="1:40" x14ac:dyDescent="0.25">
      <c r="A64" s="266"/>
      <c r="B64" s="439"/>
      <c r="C64" s="289"/>
      <c r="D64" s="168">
        <f>D57+D62+D63</f>
        <v>0</v>
      </c>
      <c r="E64" s="168">
        <f t="shared" ref="E64:I64" si="34">E57+E62+E63</f>
        <v>0</v>
      </c>
      <c r="F64" s="168">
        <f t="shared" si="34"/>
        <v>0</v>
      </c>
      <c r="G64" s="168">
        <f t="shared" si="34"/>
        <v>0</v>
      </c>
      <c r="H64" s="168">
        <f t="shared" si="34"/>
        <v>0</v>
      </c>
      <c r="I64" s="168">
        <f t="shared" si="34"/>
        <v>0</v>
      </c>
      <c r="J64" s="372"/>
      <c r="K64" s="193"/>
      <c r="L64" s="193"/>
      <c r="M64" s="193"/>
      <c r="N64" s="193"/>
      <c r="O64" s="193"/>
      <c r="P64" s="193"/>
      <c r="Q64" s="193"/>
      <c r="R64" s="121"/>
      <c r="S64" s="121"/>
      <c r="T64" s="121"/>
      <c r="U64" s="121"/>
      <c r="V64" s="121"/>
      <c r="W64" s="121"/>
      <c r="X64" s="121"/>
      <c r="Y64" s="121"/>
      <c r="Z64" s="121"/>
      <c r="AJ64" s="258"/>
      <c r="AK64" s="258"/>
      <c r="AL64" s="258"/>
      <c r="AM64" s="258"/>
      <c r="AN64" s="258"/>
    </row>
    <row r="65" spans="1:40" x14ac:dyDescent="0.25">
      <c r="A65" s="266"/>
      <c r="B65" s="230"/>
      <c r="C65" s="230"/>
      <c r="D65" s="685" t="s">
        <v>757</v>
      </c>
      <c r="E65" s="168">
        <f>E64-$D$64</f>
        <v>0</v>
      </c>
      <c r="F65" s="168">
        <f>F64-$D$64</f>
        <v>0</v>
      </c>
      <c r="G65" s="168">
        <f>G64-$D$64</f>
        <v>0</v>
      </c>
      <c r="H65" s="168">
        <f>H64-$D$64</f>
        <v>0</v>
      </c>
      <c r="I65" s="168">
        <f>I64-$D$64</f>
        <v>0</v>
      </c>
      <c r="J65" s="372"/>
      <c r="K65" s="193"/>
      <c r="L65" s="193"/>
      <c r="M65" s="193"/>
      <c r="N65" s="193"/>
      <c r="O65" s="193"/>
      <c r="P65" s="193"/>
      <c r="Q65" s="193"/>
      <c r="R65" s="121"/>
      <c r="S65" s="121"/>
      <c r="T65" s="121"/>
      <c r="U65" s="121"/>
      <c r="V65" s="121"/>
      <c r="W65" s="121"/>
      <c r="X65" s="121"/>
      <c r="Y65" s="121"/>
      <c r="Z65" s="121"/>
      <c r="AJ65" s="258"/>
      <c r="AK65" s="258"/>
      <c r="AL65" s="258"/>
      <c r="AM65" s="258"/>
      <c r="AN65" s="258"/>
    </row>
    <row r="66" spans="1:40" x14ac:dyDescent="0.25">
      <c r="A66" s="266"/>
      <c r="B66" s="193"/>
      <c r="C66" s="193"/>
      <c r="D66" s="193"/>
      <c r="E66" s="193"/>
      <c r="F66" s="193"/>
      <c r="G66" s="193"/>
      <c r="H66" s="193"/>
      <c r="I66" s="193"/>
      <c r="J66" s="193"/>
      <c r="K66" s="193"/>
      <c r="L66" s="193"/>
      <c r="M66" s="193"/>
      <c r="N66" s="193"/>
      <c r="O66" s="193"/>
      <c r="P66" s="193"/>
      <c r="Q66" s="193"/>
      <c r="R66" s="121"/>
      <c r="S66" s="121"/>
      <c r="T66" s="121"/>
      <c r="U66" s="121"/>
      <c r="V66" s="121"/>
      <c r="W66" s="121"/>
      <c r="X66" s="121"/>
      <c r="Y66" s="121"/>
      <c r="Z66" s="121"/>
      <c r="AJ66" s="258"/>
      <c r="AK66" s="258"/>
      <c r="AL66" s="258"/>
      <c r="AM66" s="258"/>
      <c r="AN66" s="258"/>
    </row>
    <row r="67" spans="1:40" x14ac:dyDescent="0.25">
      <c r="A67" s="266"/>
      <c r="B67" s="940" t="s">
        <v>758</v>
      </c>
      <c r="C67" s="342"/>
      <c r="D67" s="342"/>
      <c r="E67" s="342"/>
      <c r="F67" s="342"/>
      <c r="G67" s="342"/>
      <c r="H67" s="342"/>
      <c r="I67" s="342"/>
      <c r="J67" s="193"/>
      <c r="K67" s="193"/>
      <c r="L67" s="193"/>
      <c r="M67" s="193"/>
      <c r="N67" s="193"/>
      <c r="O67" s="193"/>
      <c r="P67" s="193"/>
      <c r="Q67" s="193"/>
      <c r="R67" s="121"/>
      <c r="S67" s="121"/>
      <c r="T67" s="121"/>
      <c r="U67" s="121"/>
      <c r="V67" s="121"/>
      <c r="W67" s="121"/>
      <c r="X67" s="121"/>
      <c r="Y67" s="121"/>
      <c r="Z67" s="121"/>
      <c r="AJ67" s="258"/>
      <c r="AK67" s="258"/>
      <c r="AL67" s="258"/>
      <c r="AM67" s="258"/>
      <c r="AN67" s="258"/>
    </row>
    <row r="68" spans="1:40" ht="45" x14ac:dyDescent="0.25">
      <c r="A68" s="266"/>
      <c r="B68" s="254" t="s">
        <v>703</v>
      </c>
      <c r="C68" s="535" t="s">
        <v>706</v>
      </c>
      <c r="D68" s="802" t="s">
        <v>737</v>
      </c>
      <c r="E68" s="229" t="s">
        <v>591</v>
      </c>
      <c r="F68" s="229" t="s">
        <v>592</v>
      </c>
      <c r="G68" s="152" t="s">
        <v>714</v>
      </c>
      <c r="H68" s="152" t="s">
        <v>715</v>
      </c>
      <c r="I68" s="229" t="s">
        <v>716</v>
      </c>
      <c r="J68" s="372"/>
      <c r="K68" s="449" t="s">
        <v>777</v>
      </c>
      <c r="L68" s="802" t="s">
        <v>737</v>
      </c>
      <c r="M68" s="803" t="s">
        <v>591</v>
      </c>
      <c r="N68" s="803" t="s">
        <v>592</v>
      </c>
      <c r="O68" s="368" t="s">
        <v>714</v>
      </c>
      <c r="P68" s="368" t="s">
        <v>715</v>
      </c>
      <c r="Q68" s="803" t="s">
        <v>716</v>
      </c>
      <c r="R68" s="121"/>
      <c r="S68" s="121"/>
      <c r="T68" s="121"/>
      <c r="U68" s="121"/>
      <c r="V68" s="121"/>
      <c r="W68" s="121"/>
      <c r="X68" s="121"/>
      <c r="Y68" s="121"/>
      <c r="Z68" s="121"/>
      <c r="AJ68" s="258"/>
      <c r="AK68" s="258"/>
      <c r="AL68" s="258"/>
      <c r="AM68" s="258"/>
      <c r="AN68" s="258"/>
    </row>
    <row r="69" spans="1:40" x14ac:dyDescent="0.25">
      <c r="A69" s="266"/>
      <c r="B69" s="311" t="str">
        <f>'Capacity (local prices)'!B62</f>
        <v>Enfortumab vedotin with pembrolizumab</v>
      </c>
      <c r="C69" s="941">
        <f>'Capacity (local prices)'!C62</f>
        <v>1</v>
      </c>
      <c r="D69" s="116">
        <f>'Capacity (local prices)'!D62</f>
        <v>0</v>
      </c>
      <c r="E69" s="116">
        <f>'Capacity (local prices)'!E62</f>
        <v>0</v>
      </c>
      <c r="F69" s="116">
        <f>'Capacity (local prices)'!F62</f>
        <v>0</v>
      </c>
      <c r="G69" s="116">
        <f>'Capacity (local prices)'!G62</f>
        <v>0</v>
      </c>
      <c r="H69" s="116">
        <f>'Capacity (local prices)'!H62</f>
        <v>0</v>
      </c>
      <c r="I69" s="116">
        <f>'Capacity (local prices)'!I62</f>
        <v>0</v>
      </c>
      <c r="J69" s="372"/>
      <c r="K69" s="461">
        <f>'Unit costs'!Q35+'Unit costs'!Q36</f>
        <v>690</v>
      </c>
      <c r="L69" s="263">
        <f>D69*$K69/1000</f>
        <v>0</v>
      </c>
      <c r="M69" s="263">
        <f t="shared" ref="M69:Q73" si="35">E69*$K69/1000</f>
        <v>0</v>
      </c>
      <c r="N69" s="263">
        <f t="shared" si="35"/>
        <v>0</v>
      </c>
      <c r="O69" s="263">
        <f t="shared" si="35"/>
        <v>0</v>
      </c>
      <c r="P69" s="263">
        <f t="shared" si="35"/>
        <v>0</v>
      </c>
      <c r="Q69" s="263">
        <f t="shared" si="35"/>
        <v>0</v>
      </c>
      <c r="R69" s="121"/>
      <c r="S69" s="121"/>
      <c r="T69" s="121"/>
      <c r="U69" s="121"/>
      <c r="V69" s="121"/>
      <c r="W69" s="121"/>
      <c r="X69" s="121"/>
      <c r="Y69" s="121"/>
      <c r="Z69" s="121"/>
      <c r="AJ69" s="258"/>
      <c r="AK69" s="258"/>
      <c r="AL69" s="258"/>
      <c r="AM69" s="258"/>
      <c r="AN69" s="258"/>
    </row>
    <row r="70" spans="1:40" x14ac:dyDescent="0.25">
      <c r="A70" s="266"/>
      <c r="B70" s="311" t="str">
        <f>'Capacity (local prices)'!B63</f>
        <v>Enfortumab vedotin with pembrolizumab - year 2</v>
      </c>
      <c r="C70" s="941">
        <f>'Capacity (local prices)'!C63</f>
        <v>1</v>
      </c>
      <c r="D70" s="116">
        <f>'Capacity (local prices)'!D63</f>
        <v>0</v>
      </c>
      <c r="E70" s="116">
        <f>'Capacity (local prices)'!E63</f>
        <v>0</v>
      </c>
      <c r="F70" s="116">
        <f>'Capacity (local prices)'!F63</f>
        <v>0</v>
      </c>
      <c r="G70" s="116">
        <f>'Capacity (local prices)'!G63</f>
        <v>0</v>
      </c>
      <c r="H70" s="116">
        <f>'Capacity (local prices)'!H63</f>
        <v>0</v>
      </c>
      <c r="I70" s="116">
        <f>'Capacity (local prices)'!I63</f>
        <v>0</v>
      </c>
      <c r="J70" s="372"/>
      <c r="K70" s="461">
        <f>'Unit costs'!Q37+'Unit costs'!Q38</f>
        <v>690</v>
      </c>
      <c r="L70" s="263">
        <f t="shared" ref="L70:L73" si="36">D70*$K70/1000</f>
        <v>0</v>
      </c>
      <c r="M70" s="263">
        <f t="shared" si="35"/>
        <v>0</v>
      </c>
      <c r="N70" s="263">
        <f t="shared" si="35"/>
        <v>0</v>
      </c>
      <c r="O70" s="263">
        <f t="shared" si="35"/>
        <v>0</v>
      </c>
      <c r="P70" s="263">
        <f t="shared" si="35"/>
        <v>0</v>
      </c>
      <c r="Q70" s="263">
        <f t="shared" si="35"/>
        <v>0</v>
      </c>
      <c r="R70" s="121"/>
      <c r="S70" s="121"/>
      <c r="T70" s="121"/>
      <c r="U70" s="121"/>
      <c r="V70" s="121"/>
      <c r="W70" s="121"/>
      <c r="X70" s="121"/>
      <c r="Y70" s="121"/>
      <c r="Z70" s="121"/>
      <c r="AJ70" s="258"/>
      <c r="AK70" s="258"/>
      <c r="AL70" s="258"/>
      <c r="AM70" s="258"/>
      <c r="AN70" s="258"/>
    </row>
    <row r="71" spans="1:40" x14ac:dyDescent="0.25">
      <c r="A71" s="266"/>
      <c r="B71" s="311" t="str">
        <f>'Capacity (local prices)'!B64</f>
        <v>Gemcitabine &amp; cisplatin</v>
      </c>
      <c r="C71" s="941">
        <f>'Capacity (local prices)'!C64</f>
        <v>1</v>
      </c>
      <c r="D71" s="116">
        <f>'Capacity (local prices)'!D64</f>
        <v>0</v>
      </c>
      <c r="E71" s="116">
        <f>'Capacity (local prices)'!E64</f>
        <v>0</v>
      </c>
      <c r="F71" s="116">
        <f>'Capacity (local prices)'!F64</f>
        <v>0</v>
      </c>
      <c r="G71" s="116">
        <f>'Capacity (local prices)'!G64</f>
        <v>0</v>
      </c>
      <c r="H71" s="116">
        <f>'Capacity (local prices)'!H64</f>
        <v>0</v>
      </c>
      <c r="I71" s="116">
        <f>'Capacity (local prices)'!I64</f>
        <v>0</v>
      </c>
      <c r="J71" s="372"/>
      <c r="K71" s="461">
        <f>'Unit costs'!Q53+'Unit costs'!Q54</f>
        <v>690</v>
      </c>
      <c r="L71" s="263">
        <f t="shared" si="36"/>
        <v>0</v>
      </c>
      <c r="M71" s="263">
        <f t="shared" si="35"/>
        <v>0</v>
      </c>
      <c r="N71" s="263">
        <f t="shared" si="35"/>
        <v>0</v>
      </c>
      <c r="O71" s="263">
        <f t="shared" si="35"/>
        <v>0</v>
      </c>
      <c r="P71" s="263">
        <f t="shared" si="35"/>
        <v>0</v>
      </c>
      <c r="Q71" s="263">
        <f t="shared" si="35"/>
        <v>0</v>
      </c>
      <c r="R71" s="121"/>
      <c r="S71" s="121"/>
      <c r="T71" s="121"/>
      <c r="U71" s="121"/>
      <c r="V71" s="121"/>
      <c r="W71" s="121"/>
      <c r="X71" s="121"/>
      <c r="Y71" s="121"/>
      <c r="Z71" s="121"/>
      <c r="AJ71" s="258"/>
      <c r="AK71" s="258"/>
      <c r="AL71" s="258"/>
      <c r="AM71" s="258"/>
      <c r="AN71" s="258"/>
    </row>
    <row r="72" spans="1:40" x14ac:dyDescent="0.25">
      <c r="A72" s="266"/>
      <c r="B72" s="311" t="str">
        <f>'Capacity (local prices)'!B65</f>
        <v xml:space="preserve">Gemcitabine &amp; carboplatin </v>
      </c>
      <c r="C72" s="941">
        <f>'Capacity (local prices)'!C65</f>
        <v>2</v>
      </c>
      <c r="D72" s="116">
        <f>'Capacity (local prices)'!D65</f>
        <v>0</v>
      </c>
      <c r="E72" s="116">
        <f>'Capacity (local prices)'!E65</f>
        <v>0</v>
      </c>
      <c r="F72" s="116">
        <f>'Capacity (local prices)'!F65</f>
        <v>0</v>
      </c>
      <c r="G72" s="116">
        <f>'Capacity (local prices)'!G65</f>
        <v>0</v>
      </c>
      <c r="H72" s="116">
        <f>'Capacity (local prices)'!H65</f>
        <v>0</v>
      </c>
      <c r="I72" s="116">
        <f>'Capacity (local prices)'!I65</f>
        <v>0</v>
      </c>
      <c r="J72" s="372"/>
      <c r="K72" s="461">
        <f>'Unit costs'!Q69+'Unit costs'!Q70</f>
        <v>690</v>
      </c>
      <c r="L72" s="263">
        <f t="shared" si="36"/>
        <v>0</v>
      </c>
      <c r="M72" s="263">
        <f t="shared" si="35"/>
        <v>0</v>
      </c>
      <c r="N72" s="263">
        <f t="shared" si="35"/>
        <v>0</v>
      </c>
      <c r="O72" s="263">
        <f t="shared" si="35"/>
        <v>0</v>
      </c>
      <c r="P72" s="263">
        <f t="shared" si="35"/>
        <v>0</v>
      </c>
      <c r="Q72" s="263">
        <f t="shared" si="35"/>
        <v>0</v>
      </c>
      <c r="R72" s="121"/>
      <c r="S72" s="121"/>
      <c r="T72" s="121"/>
      <c r="U72" s="121"/>
      <c r="V72" s="121"/>
      <c r="W72" s="121"/>
      <c r="X72" s="121"/>
      <c r="Y72" s="121"/>
      <c r="Z72" s="121"/>
      <c r="AJ72" s="258"/>
      <c r="AK72" s="258"/>
      <c r="AL72" s="258"/>
      <c r="AM72" s="258"/>
      <c r="AN72" s="258"/>
    </row>
    <row r="73" spans="1:40" x14ac:dyDescent="0.25">
      <c r="A73" s="266"/>
      <c r="B73" s="311" t="str">
        <f>'Capacity (local prices)'!B66</f>
        <v>Atezolizumab</v>
      </c>
      <c r="C73" s="941">
        <f>'Capacity (local prices)'!C66</f>
        <v>1</v>
      </c>
      <c r="D73" s="116">
        <f>'Capacity (local prices)'!D66</f>
        <v>0</v>
      </c>
      <c r="E73" s="116">
        <f>'Capacity (local prices)'!E66</f>
        <v>0</v>
      </c>
      <c r="F73" s="116">
        <f>'Capacity (local prices)'!F66</f>
        <v>0</v>
      </c>
      <c r="G73" s="116">
        <f>'Capacity (local prices)'!G66</f>
        <v>0</v>
      </c>
      <c r="H73" s="116">
        <f>'Capacity (local prices)'!H66</f>
        <v>0</v>
      </c>
      <c r="I73" s="116">
        <f>'Capacity (local prices)'!I66</f>
        <v>0</v>
      </c>
      <c r="J73" s="372"/>
      <c r="K73" s="461">
        <f>'Unit costs'!Q86</f>
        <v>172</v>
      </c>
      <c r="L73" s="263">
        <f t="shared" si="36"/>
        <v>0</v>
      </c>
      <c r="M73" s="263">
        <f t="shared" si="35"/>
        <v>0</v>
      </c>
      <c r="N73" s="263">
        <f t="shared" si="35"/>
        <v>0</v>
      </c>
      <c r="O73" s="263">
        <f t="shared" si="35"/>
        <v>0</v>
      </c>
      <c r="P73" s="263">
        <f t="shared" si="35"/>
        <v>0</v>
      </c>
      <c r="Q73" s="263">
        <f t="shared" si="35"/>
        <v>0</v>
      </c>
      <c r="R73" s="121"/>
      <c r="S73" s="121"/>
      <c r="T73" s="121"/>
      <c r="U73" s="121"/>
      <c r="V73" s="121"/>
      <c r="W73" s="121"/>
      <c r="X73" s="121"/>
      <c r="Y73" s="121"/>
      <c r="Z73" s="121"/>
      <c r="AJ73" s="258"/>
      <c r="AK73" s="258"/>
      <c r="AL73" s="258"/>
      <c r="AM73" s="258"/>
      <c r="AN73" s="258"/>
    </row>
    <row r="74" spans="1:40" x14ac:dyDescent="0.25">
      <c r="A74" s="266"/>
      <c r="B74" s="251" t="str">
        <f>'Capacity (local prices)'!B67</f>
        <v>Subsequent treatments</v>
      </c>
      <c r="C74" s="942"/>
      <c r="D74" s="168">
        <f>'Capacity (local prices)'!D67</f>
        <v>0</v>
      </c>
      <c r="E74" s="168">
        <f>'Capacity (local prices)'!E67</f>
        <v>0</v>
      </c>
      <c r="F74" s="168">
        <f>'Capacity (local prices)'!F67</f>
        <v>0</v>
      </c>
      <c r="G74" s="168">
        <f>'Capacity (local prices)'!G67</f>
        <v>0</v>
      </c>
      <c r="H74" s="168">
        <f>'Capacity (local prices)'!H67</f>
        <v>0</v>
      </c>
      <c r="I74" s="168">
        <f>'Capacity (local prices)'!I67</f>
        <v>0</v>
      </c>
      <c r="J74" s="372"/>
      <c r="K74" s="955"/>
      <c r="L74" s="169">
        <f>SUM(L69:L73)</f>
        <v>0</v>
      </c>
      <c r="M74" s="169">
        <f t="shared" ref="M74:Q74" si="37">SUM(M69:M73)</f>
        <v>0</v>
      </c>
      <c r="N74" s="169">
        <f t="shared" si="37"/>
        <v>0</v>
      </c>
      <c r="O74" s="169">
        <f t="shared" si="37"/>
        <v>0</v>
      </c>
      <c r="P74" s="169">
        <f t="shared" si="37"/>
        <v>0</v>
      </c>
      <c r="Q74" s="169">
        <f t="shared" si="37"/>
        <v>0</v>
      </c>
      <c r="R74" s="121"/>
      <c r="S74" s="121"/>
      <c r="T74" s="121"/>
      <c r="U74" s="121"/>
      <c r="V74" s="121"/>
      <c r="W74" s="121"/>
      <c r="X74" s="121"/>
      <c r="Y74" s="121"/>
      <c r="Z74" s="121"/>
      <c r="AJ74" s="258"/>
      <c r="AK74" s="258"/>
      <c r="AL74" s="258"/>
      <c r="AM74" s="258"/>
      <c r="AN74" s="258"/>
    </row>
    <row r="75" spans="1:40" x14ac:dyDescent="0.25">
      <c r="A75" s="266"/>
      <c r="B75" s="311" t="str">
        <f>'Capacity (local prices)'!B68</f>
        <v>Gemcitabine + cisplatin</v>
      </c>
      <c r="C75" s="941">
        <f>'Capacity (local prices)'!C68</f>
        <v>2</v>
      </c>
      <c r="D75" s="116">
        <f>'Capacity (local prices)'!D68</f>
        <v>0</v>
      </c>
      <c r="E75" s="116">
        <f>'Capacity (local prices)'!E68</f>
        <v>0</v>
      </c>
      <c r="F75" s="116">
        <f>'Capacity (local prices)'!F68</f>
        <v>0</v>
      </c>
      <c r="G75" s="116">
        <f>'Capacity (local prices)'!G68</f>
        <v>0</v>
      </c>
      <c r="H75" s="116">
        <f>'Capacity (local prices)'!H68</f>
        <v>0</v>
      </c>
      <c r="I75" s="116">
        <f>'Capacity (local prices)'!I68</f>
        <v>0</v>
      </c>
      <c r="J75" s="372"/>
      <c r="K75" s="461">
        <f>'Unit costs'!Q53+'Unit costs'!Q54</f>
        <v>690</v>
      </c>
      <c r="L75" s="263">
        <f t="shared" ref="L75:L80" si="38">D75*$K75/1000</f>
        <v>0</v>
      </c>
      <c r="M75" s="263">
        <f t="shared" ref="M75:M80" si="39">E75*$K75/1000</f>
        <v>0</v>
      </c>
      <c r="N75" s="263">
        <f t="shared" ref="N75:N80" si="40">F75*$K75/1000</f>
        <v>0</v>
      </c>
      <c r="O75" s="263">
        <f t="shared" ref="O75:O80" si="41">G75*$K75/1000</f>
        <v>0</v>
      </c>
      <c r="P75" s="263">
        <f t="shared" ref="P75:P80" si="42">H75*$K75/1000</f>
        <v>0</v>
      </c>
      <c r="Q75" s="263">
        <f t="shared" ref="Q75:Q80" si="43">I75*$K75/1000</f>
        <v>0</v>
      </c>
      <c r="R75" s="121"/>
      <c r="S75" s="121"/>
      <c r="T75" s="121"/>
      <c r="U75" s="121"/>
      <c r="V75" s="121"/>
      <c r="W75" s="121"/>
      <c r="X75" s="121"/>
      <c r="Y75" s="121"/>
      <c r="Z75" s="121"/>
      <c r="AJ75" s="258"/>
      <c r="AK75" s="258"/>
      <c r="AL75" s="258"/>
      <c r="AM75" s="258"/>
      <c r="AN75" s="258"/>
    </row>
    <row r="76" spans="1:40" x14ac:dyDescent="0.25">
      <c r="A76" s="266"/>
      <c r="B76" s="311" t="str">
        <f>'Capacity (local prices)'!B69</f>
        <v>Gemcitabine + carboplatin</v>
      </c>
      <c r="C76" s="941">
        <f>'Capacity (local prices)'!C69</f>
        <v>2</v>
      </c>
      <c r="D76" s="116">
        <f>'Capacity (local prices)'!D69</f>
        <v>0</v>
      </c>
      <c r="E76" s="116">
        <f>'Capacity (local prices)'!E69</f>
        <v>0</v>
      </c>
      <c r="F76" s="116">
        <f>'Capacity (local prices)'!F69</f>
        <v>0</v>
      </c>
      <c r="G76" s="116">
        <f>'Capacity (local prices)'!G69</f>
        <v>0</v>
      </c>
      <c r="H76" s="116">
        <f>'Capacity (local prices)'!H69</f>
        <v>0</v>
      </c>
      <c r="I76" s="116">
        <f>'Capacity (local prices)'!I69</f>
        <v>0</v>
      </c>
      <c r="J76" s="372"/>
      <c r="K76" s="461">
        <f>'Unit costs'!Q69+'Unit costs'!Q70</f>
        <v>690</v>
      </c>
      <c r="L76" s="263">
        <f t="shared" si="38"/>
        <v>0</v>
      </c>
      <c r="M76" s="263">
        <f t="shared" si="39"/>
        <v>0</v>
      </c>
      <c r="N76" s="263">
        <f t="shared" si="40"/>
        <v>0</v>
      </c>
      <c r="O76" s="263">
        <f t="shared" si="41"/>
        <v>0</v>
      </c>
      <c r="P76" s="263">
        <f t="shared" si="42"/>
        <v>0</v>
      </c>
      <c r="Q76" s="263">
        <f t="shared" si="43"/>
        <v>0</v>
      </c>
      <c r="R76" s="121"/>
      <c r="S76" s="121"/>
      <c r="T76" s="121"/>
      <c r="U76" s="121"/>
      <c r="V76" s="121"/>
      <c r="W76" s="121"/>
      <c r="X76" s="121"/>
      <c r="Y76" s="121"/>
      <c r="Z76" s="121"/>
      <c r="AJ76" s="258"/>
      <c r="AK76" s="258"/>
      <c r="AL76" s="258"/>
      <c r="AM76" s="258"/>
      <c r="AN76" s="258"/>
    </row>
    <row r="77" spans="1:40" x14ac:dyDescent="0.25">
      <c r="A77" s="266"/>
      <c r="B77" s="311" t="str">
        <f>'Capacity (local prices)'!B70</f>
        <v>Atezolizumab</v>
      </c>
      <c r="C77" s="941">
        <f>'Capacity (local prices)'!C70</f>
        <v>1</v>
      </c>
      <c r="D77" s="116">
        <f>'Capacity (local prices)'!D70</f>
        <v>0</v>
      </c>
      <c r="E77" s="116">
        <f>'Capacity (local prices)'!E70</f>
        <v>0</v>
      </c>
      <c r="F77" s="116">
        <f>'Capacity (local prices)'!F70</f>
        <v>0</v>
      </c>
      <c r="G77" s="116">
        <f>'Capacity (local prices)'!G70</f>
        <v>0</v>
      </c>
      <c r="H77" s="116">
        <f>'Capacity (local prices)'!H70</f>
        <v>0</v>
      </c>
      <c r="I77" s="116">
        <f>'Capacity (local prices)'!I70</f>
        <v>0</v>
      </c>
      <c r="J77" s="372"/>
      <c r="K77" s="461">
        <f>'Unit costs'!Q86</f>
        <v>172</v>
      </c>
      <c r="L77" s="263">
        <f t="shared" si="38"/>
        <v>0</v>
      </c>
      <c r="M77" s="263">
        <f t="shared" si="39"/>
        <v>0</v>
      </c>
      <c r="N77" s="263">
        <f t="shared" si="40"/>
        <v>0</v>
      </c>
      <c r="O77" s="263">
        <f t="shared" si="41"/>
        <v>0</v>
      </c>
      <c r="P77" s="263">
        <f t="shared" si="42"/>
        <v>0</v>
      </c>
      <c r="Q77" s="263">
        <f t="shared" si="43"/>
        <v>0</v>
      </c>
      <c r="R77" s="121"/>
      <c r="S77" s="121"/>
      <c r="T77" s="121"/>
      <c r="U77" s="121"/>
      <c r="V77" s="121"/>
      <c r="W77" s="121"/>
      <c r="X77" s="121"/>
      <c r="Y77" s="121"/>
      <c r="Z77" s="121"/>
      <c r="AJ77" s="258"/>
      <c r="AK77" s="258"/>
      <c r="AL77" s="258"/>
      <c r="AM77" s="258"/>
      <c r="AN77" s="258"/>
    </row>
    <row r="78" spans="1:40" x14ac:dyDescent="0.25">
      <c r="A78" s="266"/>
      <c r="B78" s="311" t="str">
        <f>'Capacity (local prices)'!B71</f>
        <v>Paclitaxel</v>
      </c>
      <c r="C78" s="941">
        <f>'Capacity (local prices)'!C71</f>
        <v>3</v>
      </c>
      <c r="D78" s="116">
        <f>'Capacity (local prices)'!D71</f>
        <v>0</v>
      </c>
      <c r="E78" s="116">
        <f>'Capacity (local prices)'!E71</f>
        <v>0</v>
      </c>
      <c r="F78" s="116">
        <f>'Capacity (local prices)'!F71</f>
        <v>0</v>
      </c>
      <c r="G78" s="116">
        <f>'Capacity (local prices)'!G71</f>
        <v>0</v>
      </c>
      <c r="H78" s="116">
        <f>'Capacity (local prices)'!H71</f>
        <v>0</v>
      </c>
      <c r="I78" s="116">
        <f>'Capacity (local prices)'!I71</f>
        <v>0</v>
      </c>
      <c r="J78" s="372"/>
      <c r="K78" s="461">
        <f>'Unit costs'!Q101</f>
        <v>172</v>
      </c>
      <c r="L78" s="263">
        <f t="shared" si="38"/>
        <v>0</v>
      </c>
      <c r="M78" s="263">
        <f t="shared" si="39"/>
        <v>0</v>
      </c>
      <c r="N78" s="263">
        <f t="shared" si="40"/>
        <v>0</v>
      </c>
      <c r="O78" s="263">
        <f t="shared" si="41"/>
        <v>0</v>
      </c>
      <c r="P78" s="263">
        <f t="shared" si="42"/>
        <v>0</v>
      </c>
      <c r="Q78" s="263">
        <f t="shared" si="43"/>
        <v>0</v>
      </c>
      <c r="R78" s="121"/>
      <c r="S78" s="121"/>
      <c r="T78" s="121"/>
      <c r="U78" s="121"/>
      <c r="V78" s="121"/>
      <c r="W78" s="121"/>
      <c r="X78" s="121"/>
      <c r="Y78" s="121"/>
      <c r="Z78" s="121"/>
      <c r="AJ78" s="258"/>
      <c r="AK78" s="258"/>
      <c r="AL78" s="258"/>
      <c r="AM78" s="258"/>
      <c r="AN78" s="258"/>
    </row>
    <row r="79" spans="1:40" x14ac:dyDescent="0.25">
      <c r="A79" s="266"/>
      <c r="B79" s="251" t="str">
        <f>'Capacity (local prices)'!B72</f>
        <v>Maintenance treatment</v>
      </c>
      <c r="C79" s="942"/>
      <c r="D79" s="168">
        <f>'Capacity (local prices)'!D72</f>
        <v>0</v>
      </c>
      <c r="E79" s="168">
        <f>'Capacity (local prices)'!E72</f>
        <v>0</v>
      </c>
      <c r="F79" s="168">
        <f>'Capacity (local prices)'!F72</f>
        <v>0</v>
      </c>
      <c r="G79" s="168">
        <f>'Capacity (local prices)'!G72</f>
        <v>0</v>
      </c>
      <c r="H79" s="168">
        <f>'Capacity (local prices)'!H72</f>
        <v>0</v>
      </c>
      <c r="I79" s="168">
        <f>'Capacity (local prices)'!I72</f>
        <v>0</v>
      </c>
      <c r="J79" s="372"/>
      <c r="K79" s="955"/>
      <c r="L79" s="169">
        <f>SUM(L75:L78)</f>
        <v>0</v>
      </c>
      <c r="M79" s="169">
        <f t="shared" ref="M79:Q79" si="44">SUM(M75:M78)</f>
        <v>0</v>
      </c>
      <c r="N79" s="169">
        <f t="shared" si="44"/>
        <v>0</v>
      </c>
      <c r="O79" s="169">
        <f t="shared" si="44"/>
        <v>0</v>
      </c>
      <c r="P79" s="169">
        <f t="shared" si="44"/>
        <v>0</v>
      </c>
      <c r="Q79" s="169">
        <f t="shared" si="44"/>
        <v>0</v>
      </c>
      <c r="R79" s="121"/>
      <c r="S79" s="121"/>
      <c r="T79" s="121"/>
      <c r="U79" s="121"/>
      <c r="V79" s="121"/>
      <c r="W79" s="121"/>
      <c r="X79" s="121"/>
      <c r="Y79" s="121"/>
      <c r="Z79" s="121"/>
      <c r="AJ79" s="258"/>
      <c r="AK79" s="258"/>
      <c r="AL79" s="258"/>
      <c r="AM79" s="258"/>
      <c r="AN79" s="258"/>
    </row>
    <row r="80" spans="1:40" x14ac:dyDescent="0.25">
      <c r="A80" s="266"/>
      <c r="B80" s="311" t="str">
        <f>'Capacity (local prices)'!B73</f>
        <v>Avelumab</v>
      </c>
      <c r="C80" s="941">
        <f>'Capacity (local prices)'!C73</f>
        <v>1</v>
      </c>
      <c r="D80" s="116">
        <f>'Capacity (local prices)'!D73</f>
        <v>0</v>
      </c>
      <c r="E80" s="116">
        <f>'Capacity (local prices)'!E73</f>
        <v>0</v>
      </c>
      <c r="F80" s="116">
        <f>'Capacity (local prices)'!F73</f>
        <v>0</v>
      </c>
      <c r="G80" s="116">
        <f>'Capacity (local prices)'!G73</f>
        <v>0</v>
      </c>
      <c r="H80" s="116">
        <f>'Capacity (local prices)'!H73</f>
        <v>0</v>
      </c>
      <c r="I80" s="116">
        <f>'Capacity (local prices)'!I73</f>
        <v>0</v>
      </c>
      <c r="J80" s="372"/>
      <c r="K80" s="461">
        <f>'Unit costs'!Q116</f>
        <v>172</v>
      </c>
      <c r="L80" s="263">
        <f t="shared" si="38"/>
        <v>0</v>
      </c>
      <c r="M80" s="263">
        <f t="shared" si="39"/>
        <v>0</v>
      </c>
      <c r="N80" s="263">
        <f t="shared" si="40"/>
        <v>0</v>
      </c>
      <c r="O80" s="263">
        <f t="shared" si="41"/>
        <v>0</v>
      </c>
      <c r="P80" s="263">
        <f t="shared" si="42"/>
        <v>0</v>
      </c>
      <c r="Q80" s="263">
        <f t="shared" si="43"/>
        <v>0</v>
      </c>
      <c r="R80" s="121"/>
      <c r="S80" s="121"/>
      <c r="T80" s="121"/>
      <c r="U80" s="121"/>
      <c r="V80" s="121"/>
      <c r="W80" s="121"/>
      <c r="X80" s="121"/>
      <c r="Y80" s="121"/>
      <c r="Z80" s="121"/>
      <c r="AJ80" s="258"/>
      <c r="AK80" s="258"/>
      <c r="AL80" s="258"/>
      <c r="AM80" s="258"/>
      <c r="AN80" s="258"/>
    </row>
    <row r="81" spans="1:40" x14ac:dyDescent="0.25">
      <c r="A81" s="266"/>
      <c r="B81" s="439"/>
      <c r="C81" s="289"/>
      <c r="D81" s="168">
        <f>D74+D79+D80</f>
        <v>0</v>
      </c>
      <c r="E81" s="168">
        <f t="shared" ref="E81" si="45">E74+E79+E80</f>
        <v>0</v>
      </c>
      <c r="F81" s="168">
        <f t="shared" ref="F81" si="46">F74+F79+F80</f>
        <v>0</v>
      </c>
      <c r="G81" s="168">
        <f t="shared" ref="G81" si="47">G74+G79+G80</f>
        <v>0</v>
      </c>
      <c r="H81" s="168">
        <f t="shared" ref="H81" si="48">H74+H79+H80</f>
        <v>0</v>
      </c>
      <c r="I81" s="168">
        <f t="shared" ref="I81" si="49">I74+I79+I80</f>
        <v>0</v>
      </c>
      <c r="J81" s="372"/>
      <c r="K81" s="193"/>
      <c r="L81" s="264">
        <f>L74+L79+L80</f>
        <v>0</v>
      </c>
      <c r="M81" s="264">
        <f t="shared" ref="M81:Q81" si="50">M74+M79+M80</f>
        <v>0</v>
      </c>
      <c r="N81" s="264">
        <f t="shared" si="50"/>
        <v>0</v>
      </c>
      <c r="O81" s="264">
        <f t="shared" si="50"/>
        <v>0</v>
      </c>
      <c r="P81" s="264">
        <f t="shared" si="50"/>
        <v>0</v>
      </c>
      <c r="Q81" s="264">
        <f t="shared" si="50"/>
        <v>0</v>
      </c>
      <c r="R81" s="121"/>
      <c r="S81" s="121"/>
      <c r="T81" s="121"/>
      <c r="U81" s="121"/>
      <c r="V81" s="121"/>
      <c r="W81" s="121"/>
      <c r="X81" s="121"/>
      <c r="Y81" s="121"/>
      <c r="Z81" s="121"/>
      <c r="AJ81" s="258"/>
      <c r="AK81" s="258"/>
      <c r="AL81" s="258"/>
      <c r="AM81" s="258"/>
      <c r="AN81" s="258"/>
    </row>
    <row r="82" spans="1:40" x14ac:dyDescent="0.25">
      <c r="A82" s="266"/>
      <c r="B82" s="230"/>
      <c r="C82" s="230"/>
      <c r="D82" s="257" t="s">
        <v>759</v>
      </c>
      <c r="E82" s="168">
        <f>E81-D81</f>
        <v>0</v>
      </c>
      <c r="F82" s="168">
        <f>F81-$D$81</f>
        <v>0</v>
      </c>
      <c r="G82" s="168">
        <f t="shared" ref="G82:I82" si="51">G81-$D$81</f>
        <v>0</v>
      </c>
      <c r="H82" s="168">
        <f t="shared" si="51"/>
        <v>0</v>
      </c>
      <c r="I82" s="168">
        <f t="shared" si="51"/>
        <v>0</v>
      </c>
      <c r="J82" s="372"/>
      <c r="K82" s="193"/>
      <c r="L82" s="804"/>
      <c r="M82" s="264">
        <f>M81-$L81</f>
        <v>0</v>
      </c>
      <c r="N82" s="264">
        <f t="shared" ref="N82:Q82" si="52">N81-$L81</f>
        <v>0</v>
      </c>
      <c r="O82" s="264">
        <f t="shared" si="52"/>
        <v>0</v>
      </c>
      <c r="P82" s="264">
        <f t="shared" si="52"/>
        <v>0</v>
      </c>
      <c r="Q82" s="264">
        <f t="shared" si="52"/>
        <v>0</v>
      </c>
      <c r="R82" s="121"/>
      <c r="S82" s="121"/>
      <c r="T82" s="121"/>
      <c r="U82" s="121"/>
      <c r="V82" s="121"/>
      <c r="W82" s="121"/>
      <c r="X82" s="121"/>
      <c r="Y82" s="121"/>
      <c r="Z82" s="121"/>
      <c r="AJ82" s="258"/>
      <c r="AK82" s="258"/>
      <c r="AL82" s="258"/>
      <c r="AM82" s="258"/>
      <c r="AN82" s="258"/>
    </row>
    <row r="83" spans="1:40" x14ac:dyDescent="0.25">
      <c r="A83" s="266"/>
      <c r="B83" s="288"/>
      <c r="C83" s="272"/>
      <c r="D83" s="271"/>
      <c r="E83" s="272"/>
      <c r="F83" s="273"/>
      <c r="G83" s="266"/>
      <c r="H83" s="266"/>
      <c r="I83" s="270"/>
      <c r="J83" s="193"/>
      <c r="K83" s="193"/>
      <c r="L83" s="193"/>
      <c r="M83" s="193"/>
      <c r="N83" s="193"/>
      <c r="O83" s="193"/>
      <c r="P83" s="193"/>
      <c r="Q83" s="193"/>
      <c r="R83" s="121"/>
      <c r="S83" s="121"/>
      <c r="T83" s="121"/>
      <c r="U83" s="121"/>
      <c r="V83" s="121"/>
      <c r="W83" s="121"/>
      <c r="X83" s="121"/>
      <c r="Y83" s="121"/>
      <c r="Z83" s="121"/>
      <c r="AJ83" s="258"/>
      <c r="AK83" s="258"/>
      <c r="AL83" s="258"/>
      <c r="AM83" s="258"/>
      <c r="AN83" s="258"/>
    </row>
    <row r="84" spans="1:40" x14ac:dyDescent="0.25">
      <c r="A84" s="259"/>
      <c r="B84" s="290" t="s">
        <v>760</v>
      </c>
      <c r="C84" s="275"/>
      <c r="D84" s="275"/>
      <c r="E84" s="276"/>
      <c r="F84" s="277"/>
      <c r="G84" s="278"/>
      <c r="H84" s="278"/>
      <c r="I84" s="278"/>
      <c r="J84" s="377"/>
      <c r="K84" s="259"/>
      <c r="L84" s="259"/>
      <c r="M84" s="259"/>
      <c r="N84" s="259"/>
      <c r="O84" s="259"/>
      <c r="P84" s="259"/>
      <c r="Q84" s="195"/>
      <c r="R84" s="121"/>
      <c r="S84" s="121"/>
      <c r="V84" s="121"/>
    </row>
    <row r="85" spans="1:40" x14ac:dyDescent="0.25">
      <c r="A85" s="259"/>
      <c r="B85" s="343" t="s">
        <v>2267</v>
      </c>
      <c r="C85" s="344"/>
      <c r="D85" s="344"/>
      <c r="E85" s="344"/>
      <c r="F85" s="344"/>
      <c r="G85" s="344"/>
      <c r="H85" s="344"/>
      <c r="I85" s="194"/>
      <c r="J85" s="373"/>
      <c r="K85" s="195"/>
      <c r="L85" s="259"/>
      <c r="M85" s="259"/>
      <c r="N85" s="259"/>
      <c r="O85" s="259"/>
      <c r="P85" s="259"/>
      <c r="Q85" s="195"/>
      <c r="R85" s="121"/>
      <c r="S85" s="121"/>
      <c r="V85" s="121"/>
    </row>
    <row r="86" spans="1:40" ht="45" x14ac:dyDescent="0.25">
      <c r="A86" s="259"/>
      <c r="B86" s="254" t="s">
        <v>703</v>
      </c>
      <c r="C86" s="361" t="s">
        <v>746</v>
      </c>
      <c r="D86" s="802" t="s">
        <v>737</v>
      </c>
      <c r="E86" s="229" t="s">
        <v>591</v>
      </c>
      <c r="F86" s="229" t="s">
        <v>592</v>
      </c>
      <c r="G86" s="152" t="s">
        <v>714</v>
      </c>
      <c r="H86" s="152" t="s">
        <v>715</v>
      </c>
      <c r="I86" s="229" t="s">
        <v>716</v>
      </c>
      <c r="J86" s="259"/>
      <c r="K86" s="259"/>
      <c r="L86" s="259"/>
      <c r="M86" s="259"/>
      <c r="N86" s="259"/>
      <c r="O86" s="259"/>
      <c r="P86" s="259"/>
      <c r="Q86" s="195"/>
      <c r="R86" s="121"/>
      <c r="S86" s="121"/>
      <c r="V86" s="121"/>
    </row>
    <row r="87" spans="1:40" x14ac:dyDescent="0.25">
      <c r="A87" s="259"/>
      <c r="B87" s="311" t="str">
        <f>'Capacity (local prices)'!B80</f>
        <v>Enfortumab vedotin with pembrolizumab</v>
      </c>
      <c r="C87" s="941">
        <f>'Capacity (local prices)'!C80</f>
        <v>0</v>
      </c>
      <c r="D87" s="116">
        <f>'Capacity (local prices)'!D80</f>
        <v>0</v>
      </c>
      <c r="E87" s="116">
        <f>'Capacity (local prices)'!E80</f>
        <v>0</v>
      </c>
      <c r="F87" s="116">
        <f>'Capacity (local prices)'!F80</f>
        <v>0</v>
      </c>
      <c r="G87" s="116">
        <f>'Capacity (local prices)'!G80</f>
        <v>0</v>
      </c>
      <c r="H87" s="116">
        <f>'Capacity (local prices)'!H80</f>
        <v>0</v>
      </c>
      <c r="I87" s="116">
        <f>'Capacity (local prices)'!I80</f>
        <v>0</v>
      </c>
      <c r="J87" s="259"/>
      <c r="K87" s="259"/>
      <c r="L87" s="259"/>
      <c r="M87" s="259"/>
      <c r="N87" s="259"/>
      <c r="O87" s="259"/>
      <c r="P87" s="259"/>
      <c r="Q87" s="195"/>
      <c r="R87" s="121"/>
      <c r="S87" s="121"/>
      <c r="T87" s="121"/>
      <c r="U87" s="121"/>
      <c r="V87" s="121"/>
      <c r="W87" s="121"/>
      <c r="X87" s="121"/>
      <c r="Y87" s="121"/>
      <c r="Z87" s="121"/>
      <c r="AJ87" s="258"/>
      <c r="AK87" s="258"/>
      <c r="AL87" s="258"/>
      <c r="AM87" s="258"/>
      <c r="AN87" s="258"/>
    </row>
    <row r="88" spans="1:40" x14ac:dyDescent="0.25">
      <c r="A88" s="259"/>
      <c r="B88" s="311" t="str">
        <f>'Capacity (local prices)'!B81</f>
        <v>Enfortumab vedotin with pembrolizumab - year 2</v>
      </c>
      <c r="C88" s="941">
        <f>'Capacity (local prices)'!C81</f>
        <v>0</v>
      </c>
      <c r="D88" s="116">
        <f>'Capacity (local prices)'!D81</f>
        <v>0</v>
      </c>
      <c r="E88" s="116">
        <f>'Capacity (local prices)'!E81</f>
        <v>0</v>
      </c>
      <c r="F88" s="116">
        <f>'Capacity (local prices)'!F81</f>
        <v>0</v>
      </c>
      <c r="G88" s="116">
        <f>'Capacity (local prices)'!G81</f>
        <v>0</v>
      </c>
      <c r="H88" s="116">
        <f>'Capacity (local prices)'!H81</f>
        <v>0</v>
      </c>
      <c r="I88" s="116">
        <f>'Capacity (local prices)'!I81</f>
        <v>0</v>
      </c>
      <c r="J88" s="259"/>
      <c r="K88" s="259"/>
      <c r="L88" s="259"/>
      <c r="M88" s="259"/>
      <c r="N88" s="259"/>
      <c r="O88" s="259"/>
      <c r="P88" s="259"/>
      <c r="Q88" s="195"/>
      <c r="R88" s="121"/>
      <c r="S88" s="121"/>
      <c r="T88" s="121"/>
      <c r="U88" s="121"/>
      <c r="V88" s="121"/>
      <c r="W88" s="121"/>
      <c r="X88" s="121"/>
      <c r="Y88" s="121"/>
      <c r="Z88" s="121"/>
      <c r="AJ88" s="258"/>
      <c r="AK88" s="258"/>
      <c r="AL88" s="258"/>
      <c r="AM88" s="258"/>
      <c r="AN88" s="258"/>
    </row>
    <row r="89" spans="1:40" x14ac:dyDescent="0.25">
      <c r="A89" s="259"/>
      <c r="B89" s="311" t="str">
        <f>'Capacity (local prices)'!B82</f>
        <v>Gemcitabine &amp; cisplatin</v>
      </c>
      <c r="C89" s="941">
        <f>'Capacity (local prices)'!C82</f>
        <v>0</v>
      </c>
      <c r="D89" s="116">
        <f>'Capacity (local prices)'!D82</f>
        <v>0</v>
      </c>
      <c r="E89" s="116">
        <f>'Capacity (local prices)'!E82</f>
        <v>0</v>
      </c>
      <c r="F89" s="116">
        <f>'Capacity (local prices)'!F82</f>
        <v>0</v>
      </c>
      <c r="G89" s="116">
        <f>'Capacity (local prices)'!G82</f>
        <v>0</v>
      </c>
      <c r="H89" s="116">
        <f>'Capacity (local prices)'!H82</f>
        <v>0</v>
      </c>
      <c r="I89" s="116">
        <f>'Capacity (local prices)'!I82</f>
        <v>0</v>
      </c>
      <c r="J89" s="259"/>
      <c r="K89" s="259"/>
      <c r="L89" s="259"/>
      <c r="M89" s="259"/>
      <c r="N89" s="259"/>
      <c r="O89" s="259"/>
      <c r="P89" s="259"/>
      <c r="Q89" s="195"/>
      <c r="R89" s="121"/>
      <c r="S89" s="121"/>
      <c r="T89" s="121"/>
      <c r="U89" s="121"/>
      <c r="V89" s="121"/>
      <c r="W89" s="121"/>
      <c r="X89" s="121"/>
      <c r="Y89" s="121"/>
      <c r="Z89" s="121"/>
      <c r="AJ89" s="258"/>
      <c r="AK89" s="258"/>
      <c r="AL89" s="258"/>
      <c r="AM89" s="258"/>
      <c r="AN89" s="258"/>
    </row>
    <row r="90" spans="1:40" x14ac:dyDescent="0.25">
      <c r="A90" s="259"/>
      <c r="B90" s="311" t="str">
        <f>'Capacity (local prices)'!B83</f>
        <v xml:space="preserve">Gemcitabine &amp; carboplatin </v>
      </c>
      <c r="C90" s="941">
        <f>'Capacity (local prices)'!C83</f>
        <v>0</v>
      </c>
      <c r="D90" s="116">
        <f>'Capacity (local prices)'!D83</f>
        <v>0</v>
      </c>
      <c r="E90" s="116">
        <f>'Capacity (local prices)'!E83</f>
        <v>0</v>
      </c>
      <c r="F90" s="116">
        <f>'Capacity (local prices)'!F83</f>
        <v>0</v>
      </c>
      <c r="G90" s="116">
        <f>'Capacity (local prices)'!G83</f>
        <v>0</v>
      </c>
      <c r="H90" s="116">
        <f>'Capacity (local prices)'!H83</f>
        <v>0</v>
      </c>
      <c r="I90" s="116">
        <f>'Capacity (local prices)'!I83</f>
        <v>0</v>
      </c>
      <c r="J90" s="259"/>
      <c r="K90" s="259"/>
      <c r="L90" s="259"/>
      <c r="M90" s="259"/>
      <c r="N90" s="259"/>
      <c r="O90" s="259"/>
      <c r="P90" s="259"/>
      <c r="Q90" s="195"/>
      <c r="R90" s="121"/>
      <c r="S90" s="121"/>
      <c r="T90" s="121"/>
      <c r="U90" s="121"/>
      <c r="V90" s="121"/>
      <c r="W90" s="121"/>
      <c r="X90" s="121"/>
      <c r="Y90" s="121"/>
      <c r="Z90" s="121"/>
      <c r="AJ90" s="258"/>
      <c r="AK90" s="258"/>
      <c r="AL90" s="258"/>
      <c r="AM90" s="258"/>
      <c r="AN90" s="258"/>
    </row>
    <row r="91" spans="1:40" x14ac:dyDescent="0.25">
      <c r="A91" s="259"/>
      <c r="B91" s="311" t="str">
        <f>'Capacity (local prices)'!B84</f>
        <v>Atezolizumab</v>
      </c>
      <c r="C91" s="941">
        <f>'Capacity (local prices)'!C84</f>
        <v>0</v>
      </c>
      <c r="D91" s="116">
        <f>'Capacity (local prices)'!D84</f>
        <v>0</v>
      </c>
      <c r="E91" s="116">
        <f>'Capacity (local prices)'!E84</f>
        <v>0</v>
      </c>
      <c r="F91" s="116">
        <f>'Capacity (local prices)'!F84</f>
        <v>0</v>
      </c>
      <c r="G91" s="116">
        <f>'Capacity (local prices)'!G84</f>
        <v>0</v>
      </c>
      <c r="H91" s="116">
        <f>'Capacity (local prices)'!H84</f>
        <v>0</v>
      </c>
      <c r="I91" s="116">
        <f>'Capacity (local prices)'!I84</f>
        <v>0</v>
      </c>
      <c r="J91" s="259"/>
      <c r="K91" s="259"/>
      <c r="L91" s="259"/>
      <c r="M91" s="259"/>
      <c r="N91" s="259"/>
      <c r="O91" s="259"/>
      <c r="P91" s="259"/>
      <c r="Q91" s="195"/>
      <c r="R91" s="121"/>
      <c r="S91" s="121"/>
      <c r="T91" s="121"/>
      <c r="U91" s="121"/>
      <c r="V91" s="121"/>
      <c r="W91" s="121"/>
      <c r="X91" s="121"/>
      <c r="Y91" s="121"/>
      <c r="Z91" s="121"/>
      <c r="AJ91" s="258"/>
      <c r="AK91" s="258"/>
      <c r="AL91" s="258"/>
      <c r="AM91" s="258"/>
      <c r="AN91" s="258"/>
    </row>
    <row r="92" spans="1:40" x14ac:dyDescent="0.25">
      <c r="A92" s="259"/>
      <c r="B92" s="251" t="str">
        <f>'Capacity (local prices)'!B85</f>
        <v>Subsequent treatments</v>
      </c>
      <c r="C92" s="942"/>
      <c r="D92" s="168">
        <f>'Capacity (local prices)'!D85</f>
        <v>0</v>
      </c>
      <c r="E92" s="168">
        <f>'Capacity (local prices)'!E85</f>
        <v>0</v>
      </c>
      <c r="F92" s="168">
        <f>'Capacity (local prices)'!F85</f>
        <v>0</v>
      </c>
      <c r="G92" s="168">
        <f>'Capacity (local prices)'!G85</f>
        <v>0</v>
      </c>
      <c r="H92" s="168">
        <f>'Capacity (local prices)'!H85</f>
        <v>0</v>
      </c>
      <c r="I92" s="168">
        <f>'Capacity (local prices)'!I85</f>
        <v>0</v>
      </c>
      <c r="J92" s="259"/>
      <c r="K92" s="259"/>
      <c r="L92" s="259"/>
      <c r="M92" s="259"/>
      <c r="N92" s="259"/>
      <c r="O92" s="259"/>
      <c r="P92" s="259"/>
      <c r="Q92" s="195"/>
      <c r="R92" s="121"/>
      <c r="S92" s="121"/>
      <c r="T92" s="121"/>
      <c r="U92" s="121"/>
      <c r="V92" s="121"/>
      <c r="W92" s="121"/>
      <c r="X92" s="121"/>
      <c r="Y92" s="121"/>
      <c r="Z92" s="121"/>
      <c r="AJ92" s="258"/>
      <c r="AK92" s="258"/>
      <c r="AL92" s="258"/>
      <c r="AM92" s="258"/>
      <c r="AN92" s="258"/>
    </row>
    <row r="93" spans="1:40" x14ac:dyDescent="0.25">
      <c r="A93" s="259"/>
      <c r="B93" s="311" t="str">
        <f>'Capacity (local prices)'!B86</f>
        <v>Gemcitabine + cisplatin</v>
      </c>
      <c r="C93" s="941">
        <f>'Capacity (local prices)'!C86</f>
        <v>0</v>
      </c>
      <c r="D93" s="116">
        <f>'Capacity (local prices)'!D86</f>
        <v>0</v>
      </c>
      <c r="E93" s="116">
        <f>'Capacity (local prices)'!E86</f>
        <v>0</v>
      </c>
      <c r="F93" s="116">
        <f>'Capacity (local prices)'!F86</f>
        <v>0</v>
      </c>
      <c r="G93" s="116">
        <f>'Capacity (local prices)'!G86</f>
        <v>0</v>
      </c>
      <c r="H93" s="116">
        <f>'Capacity (local prices)'!H86</f>
        <v>0</v>
      </c>
      <c r="I93" s="116">
        <f>'Capacity (local prices)'!I86</f>
        <v>0</v>
      </c>
      <c r="J93" s="259"/>
      <c r="K93" s="259"/>
      <c r="L93" s="259"/>
      <c r="M93" s="259"/>
      <c r="N93" s="259"/>
      <c r="O93" s="259"/>
      <c r="P93" s="259"/>
      <c r="Q93" s="195"/>
      <c r="R93" s="121"/>
      <c r="S93" s="121"/>
      <c r="T93" s="121"/>
      <c r="U93" s="121"/>
      <c r="V93" s="121"/>
      <c r="W93" s="121"/>
      <c r="X93" s="121"/>
      <c r="Y93" s="121"/>
      <c r="Z93" s="121"/>
      <c r="AJ93" s="258"/>
      <c r="AK93" s="258"/>
      <c r="AL93" s="258"/>
      <c r="AM93" s="258"/>
      <c r="AN93" s="258"/>
    </row>
    <row r="94" spans="1:40" x14ac:dyDescent="0.25">
      <c r="A94" s="259"/>
      <c r="B94" s="311" t="str">
        <f>'Capacity (local prices)'!B87</f>
        <v>Gemcitabine + carboplatin</v>
      </c>
      <c r="C94" s="941">
        <f>'Capacity (local prices)'!C87</f>
        <v>0</v>
      </c>
      <c r="D94" s="116">
        <f>'Capacity (local prices)'!D87</f>
        <v>0</v>
      </c>
      <c r="E94" s="116">
        <f>'Capacity (local prices)'!E87</f>
        <v>0</v>
      </c>
      <c r="F94" s="116">
        <f>'Capacity (local prices)'!F87</f>
        <v>0</v>
      </c>
      <c r="G94" s="116">
        <f>'Capacity (local prices)'!G87</f>
        <v>0</v>
      </c>
      <c r="H94" s="116">
        <f>'Capacity (local prices)'!H87</f>
        <v>0</v>
      </c>
      <c r="I94" s="116">
        <f>'Capacity (local prices)'!I87</f>
        <v>0</v>
      </c>
      <c r="J94" s="259"/>
      <c r="K94" s="259"/>
      <c r="L94" s="259"/>
      <c r="M94" s="259"/>
      <c r="N94" s="259"/>
      <c r="O94" s="259"/>
      <c r="P94" s="259"/>
      <c r="Q94" s="195"/>
      <c r="R94" s="121"/>
      <c r="S94" s="121"/>
      <c r="T94" s="121"/>
      <c r="U94" s="121"/>
      <c r="V94" s="121"/>
      <c r="W94" s="121"/>
      <c r="X94" s="121"/>
      <c r="Y94" s="121"/>
      <c r="Z94" s="121"/>
      <c r="AJ94" s="258"/>
      <c r="AK94" s="258"/>
      <c r="AL94" s="258"/>
      <c r="AM94" s="258"/>
      <c r="AN94" s="258"/>
    </row>
    <row r="95" spans="1:40" x14ac:dyDescent="0.25">
      <c r="A95" s="259"/>
      <c r="B95" s="311" t="str">
        <f>'Capacity (local prices)'!B88</f>
        <v>Atezolizumab</v>
      </c>
      <c r="C95" s="941">
        <f>'Capacity (local prices)'!C88</f>
        <v>0</v>
      </c>
      <c r="D95" s="116">
        <f>'Capacity (local prices)'!D88</f>
        <v>0</v>
      </c>
      <c r="E95" s="116">
        <f>'Capacity (local prices)'!E88</f>
        <v>0</v>
      </c>
      <c r="F95" s="116">
        <f>'Capacity (local prices)'!F88</f>
        <v>0</v>
      </c>
      <c r="G95" s="116">
        <f>'Capacity (local prices)'!G88</f>
        <v>0</v>
      </c>
      <c r="H95" s="116">
        <f>'Capacity (local prices)'!H88</f>
        <v>0</v>
      </c>
      <c r="I95" s="116">
        <f>'Capacity (local prices)'!I88</f>
        <v>0</v>
      </c>
      <c r="J95" s="259"/>
      <c r="K95" s="259"/>
      <c r="L95" s="259"/>
      <c r="M95" s="259"/>
      <c r="N95" s="259"/>
      <c r="O95" s="259"/>
      <c r="P95" s="259"/>
      <c r="Q95" s="195"/>
      <c r="R95" s="121"/>
      <c r="S95" s="121"/>
      <c r="T95" s="121"/>
      <c r="U95" s="121"/>
      <c r="V95" s="121"/>
      <c r="W95" s="121"/>
      <c r="X95" s="121"/>
      <c r="Y95" s="121"/>
      <c r="Z95" s="121"/>
      <c r="AJ95" s="258"/>
      <c r="AK95" s="258"/>
      <c r="AL95" s="258"/>
      <c r="AM95" s="258"/>
      <c r="AN95" s="258"/>
    </row>
    <row r="96" spans="1:40" x14ac:dyDescent="0.25">
      <c r="A96" s="259"/>
      <c r="B96" s="311" t="str">
        <f>'Capacity (local prices)'!B89</f>
        <v>Paclitaxel</v>
      </c>
      <c r="C96" s="941">
        <f>'Capacity (local prices)'!C89</f>
        <v>0</v>
      </c>
      <c r="D96" s="116">
        <f>'Capacity (local prices)'!D89</f>
        <v>0</v>
      </c>
      <c r="E96" s="116">
        <f>'Capacity (local prices)'!E89</f>
        <v>0</v>
      </c>
      <c r="F96" s="116">
        <f>'Capacity (local prices)'!F89</f>
        <v>0</v>
      </c>
      <c r="G96" s="116">
        <f>'Capacity (local prices)'!G89</f>
        <v>0</v>
      </c>
      <c r="H96" s="116">
        <f>'Capacity (local prices)'!H89</f>
        <v>0</v>
      </c>
      <c r="I96" s="116">
        <f>'Capacity (local prices)'!I89</f>
        <v>0</v>
      </c>
      <c r="J96" s="259"/>
      <c r="K96" s="259"/>
      <c r="L96" s="259"/>
      <c r="M96" s="259"/>
      <c r="N96" s="259"/>
      <c r="O96" s="259"/>
      <c r="P96" s="259"/>
      <c r="Q96" s="195"/>
      <c r="R96" s="121"/>
      <c r="S96" s="121"/>
      <c r="T96" s="121"/>
      <c r="U96" s="121"/>
      <c r="V96" s="121"/>
      <c r="W96" s="121"/>
      <c r="X96" s="121"/>
      <c r="Y96" s="121"/>
      <c r="Z96" s="121"/>
      <c r="AJ96" s="258"/>
      <c r="AK96" s="258"/>
      <c r="AL96" s="258"/>
      <c r="AM96" s="258"/>
      <c r="AN96" s="258"/>
    </row>
    <row r="97" spans="1:40" x14ac:dyDescent="0.25">
      <c r="A97" s="259"/>
      <c r="B97" s="251" t="str">
        <f>'Capacity (local prices)'!B90</f>
        <v>Maintenance treatment</v>
      </c>
      <c r="C97" s="942"/>
      <c r="D97" s="168">
        <f>'Capacity (local prices)'!D90</f>
        <v>0</v>
      </c>
      <c r="E97" s="168">
        <f>'Capacity (local prices)'!E90</f>
        <v>0</v>
      </c>
      <c r="F97" s="168">
        <f>'Capacity (local prices)'!F90</f>
        <v>0</v>
      </c>
      <c r="G97" s="168">
        <f>'Capacity (local prices)'!G90</f>
        <v>0</v>
      </c>
      <c r="H97" s="168">
        <f>'Capacity (local prices)'!H90</f>
        <v>0</v>
      </c>
      <c r="I97" s="168">
        <f>'Capacity (local prices)'!I90</f>
        <v>0</v>
      </c>
      <c r="J97" s="259"/>
      <c r="K97" s="259"/>
      <c r="L97" s="259"/>
      <c r="M97" s="259"/>
      <c r="N97" s="259"/>
      <c r="O97" s="259"/>
      <c r="P97" s="259"/>
      <c r="Q97" s="195"/>
      <c r="R97" s="121"/>
      <c r="S97" s="121"/>
      <c r="T97" s="121"/>
      <c r="U97" s="121"/>
      <c r="V97" s="121"/>
      <c r="W97" s="121"/>
      <c r="X97" s="121"/>
      <c r="Y97" s="121"/>
      <c r="Z97" s="121"/>
      <c r="AJ97" s="258"/>
      <c r="AK97" s="258"/>
      <c r="AL97" s="258"/>
      <c r="AM97" s="258"/>
      <c r="AN97" s="258"/>
    </row>
    <row r="98" spans="1:40" x14ac:dyDescent="0.25">
      <c r="A98" s="259"/>
      <c r="B98" s="311" t="str">
        <f>'Capacity (local prices)'!B91</f>
        <v>Avelumab</v>
      </c>
      <c r="C98" s="941">
        <f>'Capacity (local prices)'!C91</f>
        <v>0</v>
      </c>
      <c r="D98" s="116">
        <f>'Capacity (local prices)'!D91</f>
        <v>0</v>
      </c>
      <c r="E98" s="116">
        <f>'Capacity (local prices)'!E91</f>
        <v>0</v>
      </c>
      <c r="F98" s="116">
        <f>'Capacity (local prices)'!F91</f>
        <v>0</v>
      </c>
      <c r="G98" s="116">
        <f>'Capacity (local prices)'!G91</f>
        <v>0</v>
      </c>
      <c r="H98" s="116">
        <f>'Capacity (local prices)'!H91</f>
        <v>0</v>
      </c>
      <c r="I98" s="116">
        <f>'Capacity (local prices)'!I91</f>
        <v>0</v>
      </c>
      <c r="J98" s="259"/>
      <c r="K98" s="259"/>
      <c r="L98" s="259"/>
      <c r="M98" s="259"/>
      <c r="N98" s="259"/>
      <c r="O98" s="259"/>
      <c r="P98" s="259"/>
      <c r="Q98" s="195"/>
      <c r="R98" s="121"/>
      <c r="S98" s="121"/>
      <c r="T98" s="121"/>
      <c r="U98" s="121"/>
      <c r="V98" s="121"/>
      <c r="W98" s="121"/>
      <c r="X98" s="121"/>
      <c r="Y98" s="121"/>
      <c r="Z98" s="121"/>
      <c r="AJ98" s="258"/>
      <c r="AK98" s="258"/>
      <c r="AL98" s="258"/>
      <c r="AM98" s="258"/>
      <c r="AN98" s="258"/>
    </row>
    <row r="99" spans="1:40" x14ac:dyDescent="0.25">
      <c r="A99" s="259"/>
      <c r="B99" s="252" t="s">
        <v>778</v>
      </c>
      <c r="C99" s="289"/>
      <c r="D99" s="168">
        <f>D92+D97+D98</f>
        <v>0</v>
      </c>
      <c r="E99" s="168">
        <f t="shared" ref="E99" si="53">E92+E97+E98</f>
        <v>0</v>
      </c>
      <c r="F99" s="168">
        <f t="shared" ref="F99" si="54">F92+F97+F98</f>
        <v>0</v>
      </c>
      <c r="G99" s="168">
        <f t="shared" ref="G99" si="55">G92+G97+G98</f>
        <v>0</v>
      </c>
      <c r="H99" s="168">
        <f t="shared" ref="H99" si="56">H92+H97+H98</f>
        <v>0</v>
      </c>
      <c r="I99" s="168">
        <f t="shared" ref="I99" si="57">I92+I97+I98</f>
        <v>0</v>
      </c>
      <c r="J99" s="259"/>
      <c r="K99" s="259"/>
      <c r="L99" s="259"/>
      <c r="M99" s="259"/>
      <c r="N99" s="259"/>
      <c r="O99" s="259"/>
      <c r="P99" s="259"/>
      <c r="Q99" s="195"/>
      <c r="R99" s="121"/>
      <c r="S99" s="121"/>
      <c r="T99" s="121"/>
      <c r="U99" s="121"/>
      <c r="V99" s="121"/>
      <c r="W99" s="121"/>
      <c r="X99" s="121"/>
      <c r="Y99" s="121"/>
      <c r="Z99" s="121"/>
      <c r="AJ99" s="258"/>
      <c r="AK99" s="258"/>
      <c r="AL99" s="258"/>
      <c r="AM99" s="258"/>
      <c r="AN99" s="258"/>
    </row>
    <row r="100" spans="1:40" x14ac:dyDescent="0.25">
      <c r="A100" s="259"/>
      <c r="B100" s="279"/>
      <c r="C100" s="230"/>
      <c r="D100" s="257" t="s">
        <v>761</v>
      </c>
      <c r="E100" s="168">
        <f>E99-$D$99</f>
        <v>0</v>
      </c>
      <c r="F100" s="168">
        <f>F99-$D$99</f>
        <v>0</v>
      </c>
      <c r="G100" s="168">
        <f>G99-$D$99</f>
        <v>0</v>
      </c>
      <c r="H100" s="168">
        <f>H99-$D$99</f>
        <v>0</v>
      </c>
      <c r="I100" s="168">
        <f>I99-$D$99</f>
        <v>0</v>
      </c>
      <c r="J100" s="259"/>
      <c r="K100" s="259"/>
      <c r="L100" s="259"/>
      <c r="M100" s="259"/>
      <c r="N100" s="259"/>
      <c r="O100" s="259"/>
      <c r="P100" s="259"/>
      <c r="Q100" s="195"/>
      <c r="R100" s="121"/>
      <c r="S100" s="121"/>
      <c r="T100" s="121"/>
      <c r="U100" s="121"/>
      <c r="V100" s="121"/>
      <c r="W100" s="121"/>
      <c r="X100" s="121"/>
      <c r="Y100" s="121"/>
      <c r="Z100" s="121"/>
      <c r="AJ100" s="258"/>
      <c r="AK100" s="258"/>
      <c r="AL100" s="258"/>
      <c r="AM100" s="258"/>
      <c r="AN100" s="258"/>
    </row>
    <row r="101" spans="1:40" x14ac:dyDescent="0.25">
      <c r="A101" s="259"/>
      <c r="B101" s="291"/>
      <c r="C101" s="195"/>
      <c r="D101" s="195"/>
      <c r="E101" s="195"/>
      <c r="F101" s="195"/>
      <c r="G101" s="195"/>
      <c r="H101" s="195"/>
      <c r="I101" s="195"/>
      <c r="J101" s="195"/>
      <c r="K101" s="195"/>
      <c r="L101" s="259"/>
      <c r="M101" s="259"/>
      <c r="N101" s="259"/>
      <c r="O101" s="259"/>
      <c r="P101" s="259"/>
      <c r="Q101" s="195"/>
      <c r="R101" s="121"/>
      <c r="S101" s="121"/>
      <c r="T101" s="121"/>
      <c r="U101" s="121"/>
      <c r="V101" s="121"/>
      <c r="W101" s="121"/>
      <c r="X101" s="121"/>
      <c r="Y101" s="121"/>
      <c r="Z101" s="121"/>
      <c r="AJ101" s="258"/>
      <c r="AK101" s="258"/>
      <c r="AL101" s="258"/>
      <c r="AM101" s="258"/>
      <c r="AN101" s="258"/>
    </row>
    <row r="102" spans="1:40" x14ac:dyDescent="0.25">
      <c r="A102" s="259"/>
      <c r="B102" s="345" t="s">
        <v>762</v>
      </c>
      <c r="C102" s="344"/>
      <c r="D102" s="344"/>
      <c r="E102" s="344"/>
      <c r="F102" s="344"/>
      <c r="G102" s="344"/>
      <c r="H102" s="344"/>
      <c r="I102" s="194"/>
      <c r="J102" s="373"/>
      <c r="K102" s="195"/>
      <c r="L102" s="259"/>
      <c r="M102" s="259"/>
      <c r="N102" s="259"/>
      <c r="O102" s="259"/>
      <c r="P102" s="259"/>
      <c r="Q102" s="195"/>
      <c r="R102" s="121"/>
      <c r="S102" s="121"/>
      <c r="T102" s="121"/>
      <c r="U102" s="121"/>
      <c r="V102" s="121"/>
      <c r="W102" s="121"/>
      <c r="X102" s="121"/>
      <c r="Y102" s="121"/>
      <c r="Z102" s="121"/>
      <c r="AJ102" s="258"/>
      <c r="AK102" s="258"/>
      <c r="AL102" s="258"/>
      <c r="AM102" s="258"/>
      <c r="AN102" s="258"/>
    </row>
    <row r="103" spans="1:40" ht="45" x14ac:dyDescent="0.25">
      <c r="A103" s="259"/>
      <c r="B103" s="254" t="s">
        <v>703</v>
      </c>
      <c r="C103" s="361" t="s">
        <v>746</v>
      </c>
      <c r="D103" s="802" t="s">
        <v>737</v>
      </c>
      <c r="E103" s="229" t="s">
        <v>591</v>
      </c>
      <c r="F103" s="229" t="s">
        <v>592</v>
      </c>
      <c r="G103" s="152" t="s">
        <v>714</v>
      </c>
      <c r="H103" s="152" t="s">
        <v>715</v>
      </c>
      <c r="I103" s="229" t="s">
        <v>716</v>
      </c>
      <c r="J103" s="259"/>
      <c r="K103" s="259"/>
      <c r="L103" s="259"/>
      <c r="M103" s="259"/>
      <c r="N103" s="259"/>
      <c r="O103" s="259"/>
      <c r="P103" s="259"/>
      <c r="Q103" s="195"/>
      <c r="R103" s="121"/>
      <c r="S103" s="121"/>
      <c r="T103" s="121"/>
      <c r="U103" s="121"/>
      <c r="V103" s="121"/>
      <c r="W103" s="121"/>
      <c r="X103" s="121"/>
      <c r="Y103" s="121"/>
      <c r="Z103" s="121"/>
      <c r="AJ103" s="258"/>
      <c r="AK103" s="258"/>
      <c r="AL103" s="258"/>
      <c r="AM103" s="258"/>
      <c r="AN103" s="258"/>
    </row>
    <row r="104" spans="1:40" x14ac:dyDescent="0.25">
      <c r="A104" s="259"/>
      <c r="B104" s="311" t="str">
        <f>'Capacity (local prices)'!B97</f>
        <v>Enfortumab vedotin with pembrolizumab</v>
      </c>
      <c r="C104" s="941">
        <f>'Capacity (local prices)'!C97</f>
        <v>0</v>
      </c>
      <c r="D104" s="116">
        <f>'Capacity (local prices)'!D97</f>
        <v>0</v>
      </c>
      <c r="E104" s="116">
        <f>'Capacity (local prices)'!E97</f>
        <v>0</v>
      </c>
      <c r="F104" s="116">
        <f>'Capacity (local prices)'!F97</f>
        <v>0</v>
      </c>
      <c r="G104" s="116">
        <f>'Capacity (local prices)'!G97</f>
        <v>0</v>
      </c>
      <c r="H104" s="116">
        <f>'Capacity (local prices)'!H97</f>
        <v>0</v>
      </c>
      <c r="I104" s="116">
        <f>'Capacity (local prices)'!I97</f>
        <v>0</v>
      </c>
      <c r="J104" s="259"/>
      <c r="K104" s="259"/>
      <c r="L104" s="259"/>
      <c r="M104" s="259"/>
      <c r="N104" s="259"/>
      <c r="O104" s="259"/>
      <c r="P104" s="259"/>
      <c r="Q104" s="195"/>
      <c r="R104" s="121"/>
      <c r="S104" s="121"/>
      <c r="T104" s="121"/>
      <c r="U104" s="121"/>
      <c r="V104" s="121"/>
      <c r="W104" s="121"/>
      <c r="X104" s="121"/>
      <c r="Y104" s="121"/>
      <c r="Z104" s="121"/>
      <c r="AJ104" s="258"/>
      <c r="AK104" s="258"/>
      <c r="AL104" s="258"/>
      <c r="AM104" s="258"/>
      <c r="AN104" s="258"/>
    </row>
    <row r="105" spans="1:40" x14ac:dyDescent="0.25">
      <c r="A105" s="259"/>
      <c r="B105" s="311" t="str">
        <f>'Capacity (local prices)'!B98</f>
        <v>Enfortumab vedotin with pembrolizumab - year 2</v>
      </c>
      <c r="C105" s="941">
        <f>'Capacity (local prices)'!C98</f>
        <v>0</v>
      </c>
      <c r="D105" s="116">
        <f>'Capacity (local prices)'!D98</f>
        <v>0</v>
      </c>
      <c r="E105" s="116">
        <f>'Capacity (local prices)'!E98</f>
        <v>0</v>
      </c>
      <c r="F105" s="116">
        <f>'Capacity (local prices)'!F98</f>
        <v>0</v>
      </c>
      <c r="G105" s="116">
        <f>'Capacity (local prices)'!G98</f>
        <v>0</v>
      </c>
      <c r="H105" s="116">
        <f>'Capacity (local prices)'!H98</f>
        <v>0</v>
      </c>
      <c r="I105" s="116">
        <f>'Capacity (local prices)'!I98</f>
        <v>0</v>
      </c>
      <c r="J105" s="259"/>
      <c r="K105" s="259"/>
      <c r="L105" s="259"/>
      <c r="M105" s="259"/>
      <c r="N105" s="259"/>
      <c r="O105" s="259"/>
      <c r="P105" s="259"/>
      <c r="Q105" s="195"/>
      <c r="R105" s="121"/>
      <c r="S105" s="121"/>
      <c r="T105" s="121"/>
      <c r="U105" s="121"/>
      <c r="V105" s="121"/>
      <c r="W105" s="121"/>
      <c r="X105" s="121"/>
      <c r="Y105" s="121"/>
      <c r="Z105" s="121"/>
      <c r="AJ105" s="258"/>
      <c r="AK105" s="258"/>
      <c r="AL105" s="258"/>
      <c r="AM105" s="258"/>
      <c r="AN105" s="258"/>
    </row>
    <row r="106" spans="1:40" x14ac:dyDescent="0.25">
      <c r="A106" s="259"/>
      <c r="B106" s="311" t="str">
        <f>'Capacity (local prices)'!B99</f>
        <v>Gemcitabine &amp; cisplatin</v>
      </c>
      <c r="C106" s="941">
        <f>'Capacity (local prices)'!C99</f>
        <v>0</v>
      </c>
      <c r="D106" s="116">
        <f>'Capacity (local prices)'!D99</f>
        <v>0</v>
      </c>
      <c r="E106" s="116">
        <f>'Capacity (local prices)'!E99</f>
        <v>0</v>
      </c>
      <c r="F106" s="116">
        <f>'Capacity (local prices)'!F99</f>
        <v>0</v>
      </c>
      <c r="G106" s="116">
        <f>'Capacity (local prices)'!G99</f>
        <v>0</v>
      </c>
      <c r="H106" s="116">
        <f>'Capacity (local prices)'!H99</f>
        <v>0</v>
      </c>
      <c r="I106" s="116">
        <f>'Capacity (local prices)'!I99</f>
        <v>0</v>
      </c>
      <c r="J106" s="259"/>
      <c r="K106" s="259"/>
      <c r="L106" s="259"/>
      <c r="M106" s="259"/>
      <c r="N106" s="259"/>
      <c r="O106" s="259"/>
      <c r="P106" s="259"/>
      <c r="Q106" s="195"/>
      <c r="R106" s="121"/>
      <c r="S106" s="121"/>
      <c r="T106" s="121"/>
      <c r="U106" s="121"/>
      <c r="V106" s="121"/>
      <c r="W106" s="121"/>
      <c r="X106" s="121"/>
      <c r="Y106" s="121"/>
      <c r="Z106" s="121"/>
      <c r="AJ106" s="258"/>
      <c r="AK106" s="258"/>
      <c r="AL106" s="258"/>
      <c r="AM106" s="258"/>
      <c r="AN106" s="258"/>
    </row>
    <row r="107" spans="1:40" x14ac:dyDescent="0.25">
      <c r="A107" s="259"/>
      <c r="B107" s="311" t="str">
        <f>'Capacity (local prices)'!B100</f>
        <v xml:space="preserve">Gemcitabine &amp; carboplatin </v>
      </c>
      <c r="C107" s="941">
        <f>'Capacity (local prices)'!C100</f>
        <v>0</v>
      </c>
      <c r="D107" s="116">
        <f>'Capacity (local prices)'!D100</f>
        <v>0</v>
      </c>
      <c r="E107" s="116">
        <f>'Capacity (local prices)'!E100</f>
        <v>0</v>
      </c>
      <c r="F107" s="116">
        <f>'Capacity (local prices)'!F100</f>
        <v>0</v>
      </c>
      <c r="G107" s="116">
        <f>'Capacity (local prices)'!G100</f>
        <v>0</v>
      </c>
      <c r="H107" s="116">
        <f>'Capacity (local prices)'!H100</f>
        <v>0</v>
      </c>
      <c r="I107" s="116">
        <f>'Capacity (local prices)'!I100</f>
        <v>0</v>
      </c>
      <c r="J107" s="259"/>
      <c r="K107" s="259"/>
      <c r="L107" s="259"/>
      <c r="M107" s="259"/>
      <c r="N107" s="259"/>
      <c r="O107" s="259"/>
      <c r="P107" s="259"/>
      <c r="Q107" s="195"/>
      <c r="R107" s="121"/>
      <c r="S107" s="121"/>
      <c r="T107" s="121"/>
      <c r="U107" s="121"/>
      <c r="V107" s="121"/>
      <c r="W107" s="121"/>
      <c r="X107" s="121"/>
      <c r="Y107" s="121"/>
      <c r="Z107" s="121"/>
      <c r="AJ107" s="258"/>
      <c r="AK107" s="258"/>
      <c r="AL107" s="258"/>
      <c r="AM107" s="258"/>
      <c r="AN107" s="258"/>
    </row>
    <row r="108" spans="1:40" x14ac:dyDescent="0.25">
      <c r="A108" s="259"/>
      <c r="B108" s="311" t="str">
        <f>'Capacity (local prices)'!B101</f>
        <v>Atezolizumab</v>
      </c>
      <c r="C108" s="941">
        <f>'Capacity (local prices)'!C101</f>
        <v>0</v>
      </c>
      <c r="D108" s="116">
        <f>'Capacity (local prices)'!D101</f>
        <v>0</v>
      </c>
      <c r="E108" s="116">
        <f>'Capacity (local prices)'!E101</f>
        <v>0</v>
      </c>
      <c r="F108" s="116">
        <f>'Capacity (local prices)'!F101</f>
        <v>0</v>
      </c>
      <c r="G108" s="116">
        <f>'Capacity (local prices)'!G101</f>
        <v>0</v>
      </c>
      <c r="H108" s="116">
        <f>'Capacity (local prices)'!H101</f>
        <v>0</v>
      </c>
      <c r="I108" s="116">
        <f>'Capacity (local prices)'!I101</f>
        <v>0</v>
      </c>
      <c r="J108" s="259"/>
      <c r="K108" s="259"/>
      <c r="L108" s="259"/>
      <c r="M108" s="259"/>
      <c r="N108" s="259"/>
      <c r="O108" s="259"/>
      <c r="P108" s="259"/>
      <c r="Q108" s="195"/>
      <c r="R108" s="121"/>
      <c r="S108" s="121"/>
      <c r="T108" s="121"/>
      <c r="U108" s="121"/>
      <c r="V108" s="121"/>
      <c r="W108" s="121"/>
      <c r="X108" s="121"/>
      <c r="Y108" s="121"/>
      <c r="Z108" s="121"/>
      <c r="AJ108" s="258"/>
      <c r="AK108" s="258"/>
      <c r="AL108" s="258"/>
      <c r="AM108" s="258"/>
      <c r="AN108" s="258"/>
    </row>
    <row r="109" spans="1:40" x14ac:dyDescent="0.25">
      <c r="A109" s="259"/>
      <c r="B109" s="251" t="str">
        <f>'Capacity (local prices)'!B102</f>
        <v>Subsequent treatments</v>
      </c>
      <c r="C109" s="942"/>
      <c r="D109" s="168">
        <f>'Capacity (local prices)'!D102</f>
        <v>0</v>
      </c>
      <c r="E109" s="168">
        <f>'Capacity (local prices)'!E102</f>
        <v>0</v>
      </c>
      <c r="F109" s="168">
        <f>'Capacity (local prices)'!F102</f>
        <v>0</v>
      </c>
      <c r="G109" s="168">
        <f>'Capacity (local prices)'!G102</f>
        <v>0</v>
      </c>
      <c r="H109" s="168">
        <f>'Capacity (local prices)'!H102</f>
        <v>0</v>
      </c>
      <c r="I109" s="168">
        <f>'Capacity (local prices)'!I102</f>
        <v>0</v>
      </c>
      <c r="J109" s="259"/>
      <c r="K109" s="259"/>
      <c r="L109" s="259"/>
      <c r="M109" s="259"/>
      <c r="N109" s="259"/>
      <c r="O109" s="259"/>
      <c r="P109" s="259"/>
      <c r="Q109" s="195"/>
      <c r="R109" s="121"/>
      <c r="S109" s="121"/>
      <c r="T109" s="121"/>
      <c r="U109" s="121"/>
      <c r="V109" s="121"/>
      <c r="W109" s="121"/>
      <c r="X109" s="121"/>
      <c r="Y109" s="121"/>
      <c r="Z109" s="121"/>
      <c r="AJ109" s="258"/>
      <c r="AK109" s="258"/>
      <c r="AL109" s="258"/>
      <c r="AM109" s="258"/>
      <c r="AN109" s="258"/>
    </row>
    <row r="110" spans="1:40" x14ac:dyDescent="0.25">
      <c r="A110" s="259"/>
      <c r="B110" s="311" t="str">
        <f>'Capacity (local prices)'!B103</f>
        <v>Gemcitabine + cisplatin</v>
      </c>
      <c r="C110" s="941">
        <f>'Capacity (local prices)'!C103</f>
        <v>0</v>
      </c>
      <c r="D110" s="116">
        <f>'Capacity (local prices)'!D103</f>
        <v>0</v>
      </c>
      <c r="E110" s="116">
        <f>'Capacity (local prices)'!E103</f>
        <v>0</v>
      </c>
      <c r="F110" s="116">
        <f>'Capacity (local prices)'!F103</f>
        <v>0</v>
      </c>
      <c r="G110" s="116">
        <f>'Capacity (local prices)'!G103</f>
        <v>0</v>
      </c>
      <c r="H110" s="116">
        <f>'Capacity (local prices)'!H103</f>
        <v>0</v>
      </c>
      <c r="I110" s="116">
        <f>'Capacity (local prices)'!I103</f>
        <v>0</v>
      </c>
      <c r="J110" s="259"/>
      <c r="K110" s="259"/>
      <c r="L110" s="259"/>
      <c r="M110" s="259"/>
      <c r="N110" s="259"/>
      <c r="O110" s="259"/>
      <c r="P110" s="259"/>
      <c r="Q110" s="195"/>
      <c r="R110" s="121"/>
      <c r="S110" s="121"/>
      <c r="T110" s="121"/>
      <c r="U110" s="121"/>
      <c r="V110" s="121"/>
      <c r="W110" s="121"/>
      <c r="X110" s="121"/>
      <c r="Y110" s="121"/>
      <c r="Z110" s="121"/>
      <c r="AJ110" s="258"/>
      <c r="AK110" s="258"/>
      <c r="AL110" s="258"/>
      <c r="AM110" s="258"/>
      <c r="AN110" s="258"/>
    </row>
    <row r="111" spans="1:40" x14ac:dyDescent="0.25">
      <c r="A111" s="259"/>
      <c r="B111" s="311" t="str">
        <f>'Capacity (local prices)'!B104</f>
        <v>Gemcitabine + carboplatin</v>
      </c>
      <c r="C111" s="941">
        <f>'Capacity (local prices)'!C104</f>
        <v>0</v>
      </c>
      <c r="D111" s="116">
        <f>'Capacity (local prices)'!D104</f>
        <v>0</v>
      </c>
      <c r="E111" s="116">
        <f>'Capacity (local prices)'!E104</f>
        <v>0</v>
      </c>
      <c r="F111" s="116">
        <f>'Capacity (local prices)'!F104</f>
        <v>0</v>
      </c>
      <c r="G111" s="116">
        <f>'Capacity (local prices)'!G104</f>
        <v>0</v>
      </c>
      <c r="H111" s="116">
        <f>'Capacity (local prices)'!H104</f>
        <v>0</v>
      </c>
      <c r="I111" s="116">
        <f>'Capacity (local prices)'!I104</f>
        <v>0</v>
      </c>
      <c r="J111" s="259"/>
      <c r="K111" s="259"/>
      <c r="L111" s="259"/>
      <c r="M111" s="259"/>
      <c r="N111" s="259"/>
      <c r="O111" s="259"/>
      <c r="P111" s="259"/>
      <c r="Q111" s="195"/>
      <c r="R111" s="121"/>
      <c r="S111" s="121"/>
      <c r="T111" s="121"/>
      <c r="U111" s="121"/>
      <c r="V111" s="121"/>
      <c r="W111" s="121"/>
      <c r="X111" s="121"/>
      <c r="Y111" s="121"/>
      <c r="Z111" s="121"/>
      <c r="AJ111" s="258"/>
      <c r="AK111" s="258"/>
      <c r="AL111" s="258"/>
      <c r="AM111" s="258"/>
      <c r="AN111" s="258"/>
    </row>
    <row r="112" spans="1:40" x14ac:dyDescent="0.25">
      <c r="A112" s="259"/>
      <c r="B112" s="311" t="str">
        <f>'Capacity (local prices)'!B105</f>
        <v>Atezolizumab</v>
      </c>
      <c r="C112" s="941">
        <f>'Capacity (local prices)'!C105</f>
        <v>0</v>
      </c>
      <c r="D112" s="116">
        <f>'Capacity (local prices)'!D105</f>
        <v>0</v>
      </c>
      <c r="E112" s="116">
        <f>'Capacity (local prices)'!E105</f>
        <v>0</v>
      </c>
      <c r="F112" s="116">
        <f>'Capacity (local prices)'!F105</f>
        <v>0</v>
      </c>
      <c r="G112" s="116">
        <f>'Capacity (local prices)'!G105</f>
        <v>0</v>
      </c>
      <c r="H112" s="116">
        <f>'Capacity (local prices)'!H105</f>
        <v>0</v>
      </c>
      <c r="I112" s="116">
        <f>'Capacity (local prices)'!I105</f>
        <v>0</v>
      </c>
      <c r="J112" s="259"/>
      <c r="K112" s="259"/>
      <c r="L112" s="259"/>
      <c r="M112" s="259"/>
      <c r="N112" s="259"/>
      <c r="O112" s="259"/>
      <c r="P112" s="259"/>
      <c r="Q112" s="195"/>
      <c r="R112" s="121"/>
      <c r="S112" s="121"/>
      <c r="T112" s="121"/>
      <c r="U112" s="121"/>
      <c r="V112" s="121"/>
      <c r="W112" s="121"/>
      <c r="X112" s="121"/>
      <c r="Y112" s="121"/>
      <c r="Z112" s="121"/>
      <c r="AJ112" s="258"/>
      <c r="AK112" s="258"/>
      <c r="AL112" s="258"/>
      <c r="AM112" s="258"/>
      <c r="AN112" s="258"/>
    </row>
    <row r="113" spans="1:40" x14ac:dyDescent="0.25">
      <c r="A113" s="259"/>
      <c r="B113" s="311" t="str">
        <f>'Capacity (local prices)'!B106</f>
        <v>Paclitaxel</v>
      </c>
      <c r="C113" s="941">
        <f>'Capacity (local prices)'!C106</f>
        <v>0</v>
      </c>
      <c r="D113" s="116">
        <f>'Capacity (local prices)'!D106</f>
        <v>0</v>
      </c>
      <c r="E113" s="116">
        <f>'Capacity (local prices)'!E106</f>
        <v>0</v>
      </c>
      <c r="F113" s="116">
        <f>'Capacity (local prices)'!F106</f>
        <v>0</v>
      </c>
      <c r="G113" s="116">
        <f>'Capacity (local prices)'!G106</f>
        <v>0</v>
      </c>
      <c r="H113" s="116">
        <f>'Capacity (local prices)'!H106</f>
        <v>0</v>
      </c>
      <c r="I113" s="116">
        <f>'Capacity (local prices)'!I106</f>
        <v>0</v>
      </c>
      <c r="J113" s="259"/>
      <c r="K113" s="259"/>
      <c r="L113" s="259"/>
      <c r="M113" s="259"/>
      <c r="N113" s="259"/>
      <c r="O113" s="259"/>
      <c r="P113" s="259"/>
      <c r="Q113" s="195"/>
      <c r="R113" s="121"/>
      <c r="S113" s="121"/>
      <c r="T113" s="121"/>
      <c r="U113" s="121"/>
      <c r="V113" s="121"/>
      <c r="W113" s="121"/>
      <c r="X113" s="121"/>
      <c r="Y113" s="121"/>
      <c r="Z113" s="121"/>
      <c r="AJ113" s="258"/>
      <c r="AK113" s="258"/>
      <c r="AL113" s="258"/>
      <c r="AM113" s="258"/>
      <c r="AN113" s="258"/>
    </row>
    <row r="114" spans="1:40" x14ac:dyDescent="0.25">
      <c r="A114" s="259"/>
      <c r="B114" s="251" t="str">
        <f>'Capacity (local prices)'!B107</f>
        <v>Maintenance treatment</v>
      </c>
      <c r="C114" s="942"/>
      <c r="D114" s="168">
        <f>'Capacity (local prices)'!D107</f>
        <v>0</v>
      </c>
      <c r="E114" s="168">
        <f>'Capacity (local prices)'!E107</f>
        <v>0</v>
      </c>
      <c r="F114" s="168">
        <f>'Capacity (local prices)'!F107</f>
        <v>0</v>
      </c>
      <c r="G114" s="168">
        <f>'Capacity (local prices)'!G107</f>
        <v>0</v>
      </c>
      <c r="H114" s="168">
        <f>'Capacity (local prices)'!H107</f>
        <v>0</v>
      </c>
      <c r="I114" s="168">
        <f>'Capacity (local prices)'!I107</f>
        <v>0</v>
      </c>
      <c r="J114" s="259"/>
      <c r="K114" s="259"/>
      <c r="L114" s="259"/>
      <c r="M114" s="259"/>
      <c r="N114" s="259"/>
      <c r="O114" s="259"/>
      <c r="P114" s="259"/>
      <c r="Q114" s="195"/>
      <c r="R114" s="121"/>
      <c r="S114" s="121"/>
      <c r="T114" s="121"/>
      <c r="U114" s="121"/>
      <c r="V114" s="121"/>
      <c r="W114" s="121"/>
      <c r="X114" s="121"/>
      <c r="Y114" s="121"/>
      <c r="Z114" s="121"/>
      <c r="AJ114" s="258"/>
      <c r="AK114" s="258"/>
      <c r="AL114" s="258"/>
      <c r="AM114" s="258"/>
      <c r="AN114" s="258"/>
    </row>
    <row r="115" spans="1:40" x14ac:dyDescent="0.25">
      <c r="A115" s="259"/>
      <c r="B115" s="311" t="str">
        <f>'Capacity (local prices)'!B108</f>
        <v>Avelumab</v>
      </c>
      <c r="C115" s="941">
        <f>'Capacity (local prices)'!C108</f>
        <v>0</v>
      </c>
      <c r="D115" s="116">
        <f>'Capacity (local prices)'!D108</f>
        <v>0</v>
      </c>
      <c r="E115" s="116">
        <f>'Capacity (local prices)'!E108</f>
        <v>0</v>
      </c>
      <c r="F115" s="116">
        <f>'Capacity (local prices)'!F108</f>
        <v>0</v>
      </c>
      <c r="G115" s="116">
        <f>'Capacity (local prices)'!G108</f>
        <v>0</v>
      </c>
      <c r="H115" s="116">
        <f>'Capacity (local prices)'!H108</f>
        <v>0</v>
      </c>
      <c r="I115" s="116">
        <f>'Capacity (local prices)'!I108</f>
        <v>0</v>
      </c>
      <c r="J115" s="259"/>
      <c r="K115" s="259"/>
      <c r="L115" s="259"/>
      <c r="M115" s="259"/>
      <c r="N115" s="259"/>
      <c r="O115" s="259"/>
      <c r="P115" s="259"/>
      <c r="Q115" s="195"/>
      <c r="R115" s="121"/>
      <c r="S115" s="121"/>
      <c r="T115" s="121"/>
      <c r="U115" s="121"/>
      <c r="V115" s="121"/>
      <c r="W115" s="121"/>
      <c r="X115" s="121"/>
      <c r="Y115" s="121"/>
      <c r="Z115" s="121"/>
      <c r="AJ115" s="258"/>
      <c r="AK115" s="258"/>
      <c r="AL115" s="258"/>
      <c r="AM115" s="258"/>
      <c r="AN115" s="258"/>
    </row>
    <row r="116" spans="1:40" x14ac:dyDescent="0.25">
      <c r="A116" s="259"/>
      <c r="B116" s="252"/>
      <c r="C116" s="289"/>
      <c r="D116" s="168">
        <f>D109+D114+D115</f>
        <v>0</v>
      </c>
      <c r="E116" s="168">
        <f t="shared" ref="E116" si="58">E109+E114+E115</f>
        <v>0</v>
      </c>
      <c r="F116" s="168">
        <f t="shared" ref="F116" si="59">F109+F114+F115</f>
        <v>0</v>
      </c>
      <c r="G116" s="168">
        <f t="shared" ref="G116" si="60">G109+G114+G115</f>
        <v>0</v>
      </c>
      <c r="H116" s="168">
        <f t="shared" ref="H116" si="61">H109+H114+H115</f>
        <v>0</v>
      </c>
      <c r="I116" s="168">
        <f t="shared" ref="I116" si="62">I109+I114+I115</f>
        <v>0</v>
      </c>
      <c r="J116" s="259"/>
      <c r="K116" s="259"/>
      <c r="L116" s="259"/>
      <c r="M116" s="259"/>
      <c r="N116" s="259"/>
      <c r="O116" s="259"/>
      <c r="P116" s="259"/>
      <c r="Q116" s="195"/>
      <c r="R116" s="121"/>
      <c r="S116" s="121"/>
      <c r="T116" s="121"/>
      <c r="U116" s="121"/>
      <c r="V116" s="121"/>
      <c r="W116" s="121"/>
      <c r="X116" s="121"/>
      <c r="Y116" s="121"/>
      <c r="Z116" s="121"/>
      <c r="AJ116" s="258"/>
      <c r="AK116" s="258"/>
      <c r="AL116" s="258"/>
      <c r="AM116" s="258"/>
      <c r="AN116" s="258"/>
    </row>
    <row r="117" spans="1:40" x14ac:dyDescent="0.25">
      <c r="A117" s="259"/>
      <c r="B117" s="255"/>
      <c r="C117" s="255"/>
      <c r="D117" s="257" t="s">
        <v>763</v>
      </c>
      <c r="E117" s="168">
        <f>E116-$D$116</f>
        <v>0</v>
      </c>
      <c r="F117" s="168">
        <f>F116-$D$116</f>
        <v>0</v>
      </c>
      <c r="G117" s="168">
        <f>G116-$D$116</f>
        <v>0</v>
      </c>
      <c r="H117" s="168">
        <f>H116-$D$116</f>
        <v>0</v>
      </c>
      <c r="I117" s="168">
        <f>I116-$D$116</f>
        <v>0</v>
      </c>
      <c r="J117" s="259"/>
      <c r="K117" s="259"/>
      <c r="L117" s="259"/>
      <c r="M117" s="259"/>
      <c r="N117" s="259"/>
      <c r="O117" s="259"/>
      <c r="P117" s="259"/>
      <c r="Q117" s="195"/>
      <c r="R117" s="121"/>
      <c r="S117" s="121"/>
      <c r="T117" s="121"/>
      <c r="U117" s="121"/>
      <c r="V117" s="121"/>
      <c r="W117" s="121"/>
      <c r="X117" s="121"/>
      <c r="Y117" s="121"/>
      <c r="Z117" s="121"/>
      <c r="AJ117" s="258"/>
      <c r="AK117" s="258"/>
      <c r="AL117" s="258"/>
      <c r="AM117" s="258"/>
      <c r="AN117" s="258"/>
    </row>
    <row r="118" spans="1:40" x14ac:dyDescent="0.25">
      <c r="A118" s="259"/>
      <c r="B118" s="291"/>
      <c r="C118" s="195"/>
      <c r="D118" s="195"/>
      <c r="E118" s="195"/>
      <c r="F118" s="195"/>
      <c r="G118" s="195"/>
      <c r="H118" s="195"/>
      <c r="I118" s="195"/>
      <c r="J118" s="195"/>
      <c r="K118" s="195"/>
      <c r="L118" s="259"/>
      <c r="M118" s="259"/>
      <c r="N118" s="259"/>
      <c r="O118" s="259"/>
      <c r="P118" s="259"/>
      <c r="Q118" s="195"/>
      <c r="R118" s="121"/>
      <c r="S118" s="121"/>
      <c r="T118" s="121"/>
      <c r="U118" s="121"/>
      <c r="V118" s="121"/>
      <c r="W118" s="121"/>
      <c r="X118" s="121"/>
      <c r="Y118" s="121"/>
      <c r="Z118" s="121"/>
      <c r="AJ118" s="258"/>
      <c r="AK118" s="258"/>
      <c r="AL118" s="258"/>
      <c r="AM118" s="258"/>
      <c r="AN118" s="258"/>
    </row>
    <row r="119" spans="1:40" x14ac:dyDescent="0.25">
      <c r="A119" s="259"/>
      <c r="B119" s="345" t="s">
        <v>764</v>
      </c>
      <c r="C119" s="344"/>
      <c r="D119" s="344"/>
      <c r="E119" s="344"/>
      <c r="F119" s="344"/>
      <c r="G119" s="344"/>
      <c r="H119" s="344"/>
      <c r="I119" s="194"/>
      <c r="J119" s="373"/>
      <c r="K119" s="195"/>
      <c r="L119" s="259"/>
      <c r="M119" s="259"/>
      <c r="N119" s="259"/>
      <c r="O119" s="259"/>
      <c r="P119" s="259"/>
      <c r="Q119" s="195"/>
      <c r="R119" s="121"/>
      <c r="S119" s="121"/>
      <c r="V119" s="121"/>
      <c r="AJ119" s="258"/>
      <c r="AK119" s="258"/>
      <c r="AL119" s="258"/>
      <c r="AM119" s="258"/>
      <c r="AN119" s="258"/>
    </row>
    <row r="120" spans="1:40" ht="45" x14ac:dyDescent="0.25">
      <c r="A120" s="259"/>
      <c r="B120" s="254" t="s">
        <v>703</v>
      </c>
      <c r="C120" s="361" t="s">
        <v>746</v>
      </c>
      <c r="D120" s="802" t="s">
        <v>737</v>
      </c>
      <c r="E120" s="229" t="s">
        <v>591</v>
      </c>
      <c r="F120" s="229" t="s">
        <v>592</v>
      </c>
      <c r="G120" s="152" t="s">
        <v>714</v>
      </c>
      <c r="H120" s="152" t="s">
        <v>715</v>
      </c>
      <c r="I120" s="229" t="s">
        <v>716</v>
      </c>
      <c r="J120" s="259"/>
      <c r="K120" s="259"/>
      <c r="L120" s="259"/>
      <c r="M120" s="259"/>
      <c r="N120" s="259"/>
      <c r="O120" s="259"/>
      <c r="P120" s="259"/>
      <c r="Q120" s="195"/>
      <c r="R120" s="121"/>
      <c r="S120" s="121"/>
      <c r="V120" s="121"/>
      <c r="AJ120" s="258"/>
      <c r="AK120" s="258"/>
      <c r="AL120" s="258"/>
      <c r="AM120" s="258"/>
      <c r="AN120" s="258"/>
    </row>
    <row r="121" spans="1:40" x14ac:dyDescent="0.25">
      <c r="A121" s="259"/>
      <c r="B121" s="311" t="str">
        <f>'Capacity (local prices)'!B114</f>
        <v>Enfortumab vedotin with pembrolizumab</v>
      </c>
      <c r="C121" s="941">
        <f>'Capacity (local prices)'!C114</f>
        <v>0</v>
      </c>
      <c r="D121" s="116">
        <f>'Capacity (local prices)'!D114</f>
        <v>0</v>
      </c>
      <c r="E121" s="116">
        <f>'Capacity (local prices)'!E114</f>
        <v>0</v>
      </c>
      <c r="F121" s="116">
        <f>'Capacity (local prices)'!F114</f>
        <v>0</v>
      </c>
      <c r="G121" s="116">
        <f>'Capacity (local prices)'!G114</f>
        <v>0</v>
      </c>
      <c r="H121" s="116">
        <f>'Capacity (local prices)'!H114</f>
        <v>0</v>
      </c>
      <c r="I121" s="116">
        <f>'Capacity (local prices)'!I114</f>
        <v>0</v>
      </c>
      <c r="J121" s="259"/>
      <c r="K121" s="259"/>
      <c r="L121" s="259"/>
      <c r="M121" s="259"/>
      <c r="N121" s="259"/>
      <c r="O121" s="259"/>
      <c r="P121" s="259"/>
      <c r="Q121" s="195"/>
      <c r="R121" s="121"/>
      <c r="S121" s="121"/>
      <c r="V121" s="121"/>
      <c r="AJ121" s="258"/>
      <c r="AK121" s="258"/>
      <c r="AL121" s="258"/>
      <c r="AM121" s="258"/>
      <c r="AN121" s="258"/>
    </row>
    <row r="122" spans="1:40" x14ac:dyDescent="0.25">
      <c r="A122" s="259"/>
      <c r="B122" s="311" t="str">
        <f>'Capacity (local prices)'!B115</f>
        <v>Enfortumab vedotin with pembrolizumab - year 2</v>
      </c>
      <c r="C122" s="941">
        <f>'Capacity (local prices)'!C115</f>
        <v>0</v>
      </c>
      <c r="D122" s="116">
        <f>'Capacity (local prices)'!D115</f>
        <v>0</v>
      </c>
      <c r="E122" s="116">
        <f>'Capacity (local prices)'!E115</f>
        <v>0</v>
      </c>
      <c r="F122" s="116">
        <f>'Capacity (local prices)'!F115</f>
        <v>0</v>
      </c>
      <c r="G122" s="116">
        <f>'Capacity (local prices)'!G115</f>
        <v>0</v>
      </c>
      <c r="H122" s="116">
        <f>'Capacity (local prices)'!H115</f>
        <v>0</v>
      </c>
      <c r="I122" s="116">
        <f>'Capacity (local prices)'!I115</f>
        <v>0</v>
      </c>
      <c r="J122" s="259"/>
      <c r="K122" s="259"/>
      <c r="L122" s="259"/>
      <c r="M122" s="259"/>
      <c r="N122" s="259"/>
      <c r="O122" s="259"/>
      <c r="P122" s="259"/>
      <c r="Q122" s="195"/>
      <c r="R122" s="121"/>
      <c r="S122" s="121"/>
      <c r="V122" s="121"/>
      <c r="AJ122" s="258"/>
      <c r="AK122" s="258"/>
      <c r="AL122" s="258"/>
      <c r="AM122" s="258"/>
      <c r="AN122" s="258"/>
    </row>
    <row r="123" spans="1:40" x14ac:dyDescent="0.25">
      <c r="A123" s="259"/>
      <c r="B123" s="311" t="str">
        <f>'Capacity (local prices)'!B116</f>
        <v>Gemcitabine &amp; cisplatin</v>
      </c>
      <c r="C123" s="941">
        <f>'Capacity (local prices)'!C116</f>
        <v>0</v>
      </c>
      <c r="D123" s="116">
        <f>'Capacity (local prices)'!D116</f>
        <v>0</v>
      </c>
      <c r="E123" s="116">
        <f>'Capacity (local prices)'!E116</f>
        <v>0</v>
      </c>
      <c r="F123" s="116">
        <f>'Capacity (local prices)'!F116</f>
        <v>0</v>
      </c>
      <c r="G123" s="116">
        <f>'Capacity (local prices)'!G116</f>
        <v>0</v>
      </c>
      <c r="H123" s="116">
        <f>'Capacity (local prices)'!H116</f>
        <v>0</v>
      </c>
      <c r="I123" s="116">
        <f>'Capacity (local prices)'!I116</f>
        <v>0</v>
      </c>
      <c r="J123" s="259"/>
      <c r="K123" s="259"/>
      <c r="L123" s="259"/>
      <c r="M123" s="259"/>
      <c r="N123" s="259"/>
      <c r="O123" s="259"/>
      <c r="P123" s="259"/>
      <c r="Q123" s="195"/>
      <c r="R123" s="121"/>
      <c r="S123" s="121"/>
      <c r="V123" s="121"/>
      <c r="AJ123" s="258"/>
      <c r="AK123" s="258"/>
      <c r="AL123" s="258"/>
      <c r="AM123" s="258"/>
      <c r="AN123" s="258"/>
    </row>
    <row r="124" spans="1:40" x14ac:dyDescent="0.25">
      <c r="A124" s="259"/>
      <c r="B124" s="311" t="str">
        <f>'Capacity (local prices)'!B117</f>
        <v xml:space="preserve">Gemcitabine &amp; carboplatin </v>
      </c>
      <c r="C124" s="941">
        <f>'Capacity (local prices)'!C117</f>
        <v>0</v>
      </c>
      <c r="D124" s="116">
        <f>'Capacity (local prices)'!D117</f>
        <v>0</v>
      </c>
      <c r="E124" s="116">
        <f>'Capacity (local prices)'!E117</f>
        <v>0</v>
      </c>
      <c r="F124" s="116">
        <f>'Capacity (local prices)'!F117</f>
        <v>0</v>
      </c>
      <c r="G124" s="116">
        <f>'Capacity (local prices)'!G117</f>
        <v>0</v>
      </c>
      <c r="H124" s="116">
        <f>'Capacity (local prices)'!H117</f>
        <v>0</v>
      </c>
      <c r="I124" s="116">
        <f>'Capacity (local prices)'!I117</f>
        <v>0</v>
      </c>
      <c r="J124" s="259"/>
      <c r="K124" s="259"/>
      <c r="L124" s="259"/>
      <c r="M124" s="259"/>
      <c r="N124" s="259"/>
      <c r="O124" s="259"/>
      <c r="P124" s="259"/>
      <c r="Q124" s="195"/>
      <c r="R124" s="121"/>
      <c r="S124" s="121"/>
      <c r="V124" s="121"/>
      <c r="AJ124" s="258"/>
      <c r="AK124" s="258"/>
      <c r="AL124" s="258"/>
      <c r="AM124" s="258"/>
      <c r="AN124" s="258"/>
    </row>
    <row r="125" spans="1:40" x14ac:dyDescent="0.25">
      <c r="A125" s="259"/>
      <c r="B125" s="311" t="str">
        <f>'Capacity (local prices)'!B118</f>
        <v>Atezolizumab</v>
      </c>
      <c r="C125" s="941">
        <f>'Capacity (local prices)'!C118</f>
        <v>0</v>
      </c>
      <c r="D125" s="116">
        <f>'Capacity (local prices)'!D118</f>
        <v>0</v>
      </c>
      <c r="E125" s="116">
        <f>'Capacity (local prices)'!E118</f>
        <v>0</v>
      </c>
      <c r="F125" s="116">
        <f>'Capacity (local prices)'!F118</f>
        <v>0</v>
      </c>
      <c r="G125" s="116">
        <f>'Capacity (local prices)'!G118</f>
        <v>0</v>
      </c>
      <c r="H125" s="116">
        <f>'Capacity (local prices)'!H118</f>
        <v>0</v>
      </c>
      <c r="I125" s="116">
        <f>'Capacity (local prices)'!I118</f>
        <v>0</v>
      </c>
      <c r="J125" s="259"/>
      <c r="K125" s="259"/>
      <c r="L125" s="259"/>
      <c r="M125" s="259"/>
      <c r="N125" s="259"/>
      <c r="O125" s="259"/>
      <c r="P125" s="259"/>
      <c r="Q125" s="195"/>
      <c r="R125" s="121"/>
      <c r="S125" s="121"/>
      <c r="V125" s="121"/>
      <c r="AJ125" s="258"/>
      <c r="AK125" s="258"/>
      <c r="AL125" s="258"/>
      <c r="AM125" s="258"/>
      <c r="AN125" s="258"/>
    </row>
    <row r="126" spans="1:40" x14ac:dyDescent="0.25">
      <c r="A126" s="259"/>
      <c r="B126" s="251" t="str">
        <f>'Capacity (local prices)'!B119</f>
        <v>Subsequent treatments</v>
      </c>
      <c r="C126" s="942">
        <f>'Capacity (local prices)'!C119</f>
        <v>0</v>
      </c>
      <c r="D126" s="168">
        <f>'Capacity (local prices)'!D119</f>
        <v>0</v>
      </c>
      <c r="E126" s="168">
        <f>'Capacity (local prices)'!E119</f>
        <v>0</v>
      </c>
      <c r="F126" s="168">
        <f>'Capacity (local prices)'!F119</f>
        <v>0</v>
      </c>
      <c r="G126" s="168">
        <f>'Capacity (local prices)'!G119</f>
        <v>0</v>
      </c>
      <c r="H126" s="168">
        <f>'Capacity (local prices)'!H119</f>
        <v>0</v>
      </c>
      <c r="I126" s="168">
        <f>'Capacity (local prices)'!I119</f>
        <v>0</v>
      </c>
      <c r="J126" s="259"/>
      <c r="K126" s="259"/>
      <c r="L126" s="259"/>
      <c r="M126" s="259"/>
      <c r="N126" s="259"/>
      <c r="O126" s="259"/>
      <c r="P126" s="259"/>
      <c r="Q126" s="195"/>
      <c r="R126" s="121"/>
      <c r="S126" s="121"/>
      <c r="V126" s="121"/>
      <c r="AJ126" s="258"/>
      <c r="AK126" s="258"/>
      <c r="AL126" s="258"/>
      <c r="AM126" s="258"/>
      <c r="AN126" s="258"/>
    </row>
    <row r="127" spans="1:40" x14ac:dyDescent="0.25">
      <c r="A127" s="259"/>
      <c r="B127" s="311" t="str">
        <f>'Capacity (local prices)'!B120</f>
        <v>Gemcitabine + cisplatin</v>
      </c>
      <c r="C127" s="941">
        <f>'Capacity (local prices)'!C120</f>
        <v>0</v>
      </c>
      <c r="D127" s="116">
        <f>'Capacity (local prices)'!D120</f>
        <v>0</v>
      </c>
      <c r="E127" s="116">
        <f>'Capacity (local prices)'!E120</f>
        <v>0</v>
      </c>
      <c r="F127" s="116">
        <f>'Capacity (local prices)'!F120</f>
        <v>0</v>
      </c>
      <c r="G127" s="116">
        <f>'Capacity (local prices)'!G120</f>
        <v>0</v>
      </c>
      <c r="H127" s="116">
        <f>'Capacity (local prices)'!H120</f>
        <v>0</v>
      </c>
      <c r="I127" s="116">
        <f>'Capacity (local prices)'!I120</f>
        <v>0</v>
      </c>
      <c r="J127" s="259"/>
      <c r="K127" s="259"/>
      <c r="L127" s="259"/>
      <c r="M127" s="259"/>
      <c r="N127" s="259"/>
      <c r="O127" s="259"/>
      <c r="P127" s="259"/>
      <c r="Q127" s="195"/>
      <c r="R127" s="121"/>
      <c r="S127" s="121"/>
      <c r="V127" s="121"/>
      <c r="AJ127" s="258"/>
      <c r="AK127" s="258"/>
      <c r="AL127" s="258"/>
      <c r="AM127" s="258"/>
      <c r="AN127" s="258"/>
    </row>
    <row r="128" spans="1:40" x14ac:dyDescent="0.25">
      <c r="A128" s="259"/>
      <c r="B128" s="311" t="str">
        <f>'Capacity (local prices)'!B121</f>
        <v>Gemcitabine + carboplatin</v>
      </c>
      <c r="C128" s="941">
        <f>'Capacity (local prices)'!C121</f>
        <v>0</v>
      </c>
      <c r="D128" s="116">
        <f>'Capacity (local prices)'!D121</f>
        <v>0</v>
      </c>
      <c r="E128" s="116">
        <f>'Capacity (local prices)'!E121</f>
        <v>0</v>
      </c>
      <c r="F128" s="116">
        <f>'Capacity (local prices)'!F121</f>
        <v>0</v>
      </c>
      <c r="G128" s="116">
        <f>'Capacity (local prices)'!G121</f>
        <v>0</v>
      </c>
      <c r="H128" s="116">
        <f>'Capacity (local prices)'!H121</f>
        <v>0</v>
      </c>
      <c r="I128" s="116">
        <f>'Capacity (local prices)'!I121</f>
        <v>0</v>
      </c>
      <c r="J128" s="259"/>
      <c r="K128" s="259"/>
      <c r="L128" s="259"/>
      <c r="M128" s="259"/>
      <c r="N128" s="259"/>
      <c r="O128" s="259"/>
      <c r="P128" s="259"/>
      <c r="Q128" s="195"/>
      <c r="R128" s="121"/>
      <c r="S128" s="121"/>
      <c r="V128" s="121"/>
      <c r="AJ128" s="258"/>
      <c r="AK128" s="258"/>
      <c r="AL128" s="258"/>
      <c r="AM128" s="258"/>
      <c r="AN128" s="258"/>
    </row>
    <row r="129" spans="1:40" x14ac:dyDescent="0.25">
      <c r="A129" s="259"/>
      <c r="B129" s="311" t="str">
        <f>'Capacity (local prices)'!B122</f>
        <v>Atezolizumab</v>
      </c>
      <c r="C129" s="941">
        <f>'Capacity (local prices)'!C122</f>
        <v>0</v>
      </c>
      <c r="D129" s="116">
        <f>'Capacity (local prices)'!D122</f>
        <v>0</v>
      </c>
      <c r="E129" s="116">
        <f>'Capacity (local prices)'!E122</f>
        <v>0</v>
      </c>
      <c r="F129" s="116">
        <f>'Capacity (local prices)'!F122</f>
        <v>0</v>
      </c>
      <c r="G129" s="116">
        <f>'Capacity (local prices)'!G122</f>
        <v>0</v>
      </c>
      <c r="H129" s="116">
        <f>'Capacity (local prices)'!H122</f>
        <v>0</v>
      </c>
      <c r="I129" s="116">
        <f>'Capacity (local prices)'!I122</f>
        <v>0</v>
      </c>
      <c r="J129" s="259"/>
      <c r="K129" s="259"/>
      <c r="L129" s="259"/>
      <c r="M129" s="259"/>
      <c r="N129" s="259"/>
      <c r="O129" s="259"/>
      <c r="P129" s="259"/>
      <c r="Q129" s="195"/>
      <c r="R129" s="121"/>
      <c r="S129" s="121"/>
      <c r="V129" s="121"/>
      <c r="AJ129" s="258"/>
      <c r="AK129" s="258"/>
      <c r="AL129" s="258"/>
      <c r="AM129" s="258"/>
      <c r="AN129" s="258"/>
    </row>
    <row r="130" spans="1:40" x14ac:dyDescent="0.25">
      <c r="A130" s="259"/>
      <c r="B130" s="311" t="str">
        <f>'Capacity (local prices)'!B123</f>
        <v>Paclitaxel</v>
      </c>
      <c r="C130" s="941">
        <f>'Capacity (local prices)'!C123</f>
        <v>0</v>
      </c>
      <c r="D130" s="116">
        <f>'Capacity (local prices)'!D123</f>
        <v>0</v>
      </c>
      <c r="E130" s="116">
        <f>'Capacity (local prices)'!E123</f>
        <v>0</v>
      </c>
      <c r="F130" s="116">
        <f>'Capacity (local prices)'!F123</f>
        <v>0</v>
      </c>
      <c r="G130" s="116">
        <f>'Capacity (local prices)'!G123</f>
        <v>0</v>
      </c>
      <c r="H130" s="116">
        <f>'Capacity (local prices)'!H123</f>
        <v>0</v>
      </c>
      <c r="I130" s="116">
        <f>'Capacity (local prices)'!I123</f>
        <v>0</v>
      </c>
      <c r="J130" s="259"/>
      <c r="K130" s="259"/>
      <c r="L130" s="259"/>
      <c r="M130" s="259"/>
      <c r="N130" s="259"/>
      <c r="O130" s="259"/>
      <c r="P130" s="259"/>
      <c r="Q130" s="195"/>
      <c r="R130" s="121"/>
      <c r="S130" s="121"/>
      <c r="V130" s="121"/>
      <c r="AJ130" s="258"/>
      <c r="AK130" s="258"/>
      <c r="AL130" s="258"/>
      <c r="AM130" s="258"/>
      <c r="AN130" s="258"/>
    </row>
    <row r="131" spans="1:40" x14ac:dyDescent="0.25">
      <c r="A131" s="259"/>
      <c r="B131" s="251" t="str">
        <f>'Capacity (local prices)'!B124</f>
        <v>Maintenance treatment</v>
      </c>
      <c r="C131" s="942">
        <f>'Capacity (local prices)'!C124</f>
        <v>0</v>
      </c>
      <c r="D131" s="168">
        <f>'Capacity (local prices)'!D124</f>
        <v>0</v>
      </c>
      <c r="E131" s="168">
        <f>'Capacity (local prices)'!E124</f>
        <v>0</v>
      </c>
      <c r="F131" s="168">
        <f>'Capacity (local prices)'!F124</f>
        <v>0</v>
      </c>
      <c r="G131" s="168">
        <f>'Capacity (local prices)'!G124</f>
        <v>0</v>
      </c>
      <c r="H131" s="168">
        <f>'Capacity (local prices)'!H124</f>
        <v>0</v>
      </c>
      <c r="I131" s="168">
        <f>'Capacity (local prices)'!I124</f>
        <v>0</v>
      </c>
      <c r="J131" s="259"/>
      <c r="K131" s="259"/>
      <c r="L131" s="259"/>
      <c r="M131" s="259"/>
      <c r="N131" s="259"/>
      <c r="O131" s="259"/>
      <c r="P131" s="259"/>
      <c r="Q131" s="195"/>
      <c r="R131" s="121"/>
      <c r="S131" s="121"/>
      <c r="V131" s="121"/>
      <c r="AJ131" s="258"/>
      <c r="AK131" s="258"/>
      <c r="AL131" s="258"/>
      <c r="AM131" s="258"/>
      <c r="AN131" s="258"/>
    </row>
    <row r="132" spans="1:40" x14ac:dyDescent="0.25">
      <c r="A132" s="259"/>
      <c r="B132" s="311" t="str">
        <f>'Capacity (local prices)'!B125</f>
        <v>Avelumab</v>
      </c>
      <c r="C132" s="941">
        <f>'Capacity (local prices)'!C125</f>
        <v>0</v>
      </c>
      <c r="D132" s="116">
        <f>'Capacity (local prices)'!D125</f>
        <v>0</v>
      </c>
      <c r="E132" s="116">
        <f>'Capacity (local prices)'!E125</f>
        <v>0</v>
      </c>
      <c r="F132" s="116">
        <f>'Capacity (local prices)'!F125</f>
        <v>0</v>
      </c>
      <c r="G132" s="116">
        <f>'Capacity (local prices)'!G125</f>
        <v>0</v>
      </c>
      <c r="H132" s="116">
        <f>'Capacity (local prices)'!H125</f>
        <v>0</v>
      </c>
      <c r="I132" s="116">
        <f>'Capacity (local prices)'!I125</f>
        <v>0</v>
      </c>
      <c r="J132" s="259"/>
      <c r="K132" s="259"/>
      <c r="L132" s="259"/>
      <c r="M132" s="259"/>
      <c r="N132" s="259"/>
      <c r="O132" s="259"/>
      <c r="P132" s="259"/>
      <c r="Q132" s="195"/>
      <c r="R132" s="121"/>
      <c r="S132" s="121"/>
      <c r="V132" s="121"/>
      <c r="AJ132" s="258"/>
      <c r="AK132" s="258"/>
      <c r="AL132" s="258"/>
      <c r="AM132" s="258"/>
      <c r="AN132" s="258"/>
    </row>
    <row r="133" spans="1:40" x14ac:dyDescent="0.25">
      <c r="A133" s="259"/>
      <c r="B133" s="252"/>
      <c r="C133" s="289"/>
      <c r="D133" s="168">
        <f>D126+D131+D132</f>
        <v>0</v>
      </c>
      <c r="E133" s="168">
        <f t="shared" ref="E133" si="63">E126+E131+E132</f>
        <v>0</v>
      </c>
      <c r="F133" s="168">
        <f t="shared" ref="F133" si="64">F126+F131+F132</f>
        <v>0</v>
      </c>
      <c r="G133" s="168">
        <f t="shared" ref="G133" si="65">G126+G131+G132</f>
        <v>0</v>
      </c>
      <c r="H133" s="168">
        <f t="shared" ref="H133" si="66">H126+H131+H132</f>
        <v>0</v>
      </c>
      <c r="I133" s="168">
        <f t="shared" ref="I133" si="67">I126+I131+I132</f>
        <v>0</v>
      </c>
      <c r="J133" s="259"/>
      <c r="K133" s="259"/>
      <c r="L133" s="259"/>
      <c r="M133" s="259"/>
      <c r="N133" s="259"/>
      <c r="O133" s="259"/>
      <c r="P133" s="259"/>
      <c r="Q133" s="195"/>
      <c r="R133" s="121"/>
      <c r="S133" s="121"/>
      <c r="T133" s="121"/>
      <c r="U133" s="121"/>
      <c r="V133" s="121"/>
      <c r="W133" s="121"/>
      <c r="X133" s="121"/>
      <c r="Y133" s="121"/>
      <c r="Z133" s="121"/>
      <c r="AJ133" s="258"/>
      <c r="AK133" s="258"/>
      <c r="AL133" s="258"/>
      <c r="AM133" s="258"/>
      <c r="AN133" s="258"/>
    </row>
    <row r="134" spans="1:40" x14ac:dyDescent="0.25">
      <c r="A134" s="259"/>
      <c r="B134" s="279"/>
      <c r="C134" s="255"/>
      <c r="D134" s="257" t="s">
        <v>765</v>
      </c>
      <c r="E134" s="168">
        <f>E133-$D$133</f>
        <v>0</v>
      </c>
      <c r="F134" s="168">
        <f>F133-$D$133</f>
        <v>0</v>
      </c>
      <c r="G134" s="168">
        <f>G133-$D$133</f>
        <v>0</v>
      </c>
      <c r="H134" s="168">
        <f>H133-$D$133</f>
        <v>0</v>
      </c>
      <c r="I134" s="168">
        <f>I133-$D$133</f>
        <v>0</v>
      </c>
      <c r="J134" s="259"/>
      <c r="K134" s="259"/>
      <c r="L134" s="259"/>
      <c r="M134" s="259"/>
      <c r="N134" s="259"/>
      <c r="O134" s="259"/>
      <c r="P134" s="259"/>
      <c r="Q134" s="195"/>
      <c r="R134" s="121"/>
      <c r="S134" s="121"/>
      <c r="T134" s="121"/>
      <c r="U134" s="121"/>
      <c r="V134" s="121"/>
      <c r="W134" s="121"/>
      <c r="X134" s="121"/>
      <c r="Y134" s="121"/>
      <c r="Z134" s="121"/>
      <c r="AJ134" s="258"/>
      <c r="AK134" s="258"/>
      <c r="AL134" s="258"/>
      <c r="AM134" s="258"/>
      <c r="AN134" s="258"/>
    </row>
    <row r="135" spans="1:40" x14ac:dyDescent="0.25">
      <c r="A135" s="259"/>
      <c r="B135" s="291"/>
      <c r="C135" s="195"/>
      <c r="D135" s="195"/>
      <c r="E135" s="195"/>
      <c r="F135" s="195"/>
      <c r="G135" s="195"/>
      <c r="H135" s="195"/>
      <c r="I135" s="195"/>
      <c r="J135" s="259"/>
      <c r="K135" s="259"/>
      <c r="L135" s="259"/>
      <c r="M135" s="259"/>
      <c r="N135" s="259"/>
      <c r="O135" s="259"/>
      <c r="P135" s="259"/>
      <c r="Q135" s="195"/>
      <c r="R135" s="121"/>
      <c r="S135" s="121"/>
      <c r="T135" s="121"/>
      <c r="U135" s="121"/>
      <c r="V135" s="121"/>
      <c r="W135" s="121"/>
      <c r="X135" s="121"/>
      <c r="Y135" s="121"/>
      <c r="Z135" s="121"/>
      <c r="AJ135" s="258"/>
      <c r="AK135" s="258"/>
      <c r="AL135" s="258"/>
      <c r="AM135" s="258"/>
      <c r="AN135" s="258"/>
    </row>
    <row r="136" spans="1:40" x14ac:dyDescent="0.25">
      <c r="A136" s="550"/>
      <c r="B136" s="556" t="s">
        <v>766</v>
      </c>
      <c r="C136" s="551"/>
      <c r="D136" s="552"/>
      <c r="E136" s="551"/>
      <c r="F136" s="553"/>
      <c r="G136" s="554"/>
      <c r="H136" s="554"/>
      <c r="I136" s="555"/>
      <c r="J136" s="550"/>
      <c r="K136" s="550"/>
      <c r="L136" s="550"/>
      <c r="M136" s="550"/>
      <c r="N136" s="550"/>
      <c r="O136" s="550"/>
      <c r="P136" s="261"/>
      <c r="Q136" s="261"/>
      <c r="R136" s="121"/>
      <c r="S136" s="121"/>
      <c r="T136" s="121"/>
      <c r="U136" s="121"/>
      <c r="V136" s="121"/>
      <c r="W136" s="121"/>
      <c r="X136" s="121"/>
      <c r="Y136" s="121"/>
      <c r="Z136" s="121"/>
      <c r="AJ136" s="258"/>
      <c r="AK136" s="258"/>
      <c r="AL136" s="258"/>
      <c r="AM136" s="258"/>
      <c r="AN136" s="258"/>
    </row>
    <row r="137" spans="1:40" x14ac:dyDescent="0.25">
      <c r="A137" s="261"/>
      <c r="B137" s="346" t="s">
        <v>767</v>
      </c>
      <c r="C137" s="347"/>
      <c r="D137" s="347"/>
      <c r="E137" s="347"/>
      <c r="F137" s="347"/>
      <c r="G137" s="347"/>
      <c r="H137" s="347"/>
      <c r="I137" s="198"/>
      <c r="J137" s="261"/>
      <c r="K137" s="261"/>
      <c r="L137" s="199"/>
      <c r="M137" s="199"/>
      <c r="N137" s="261"/>
      <c r="O137" s="199"/>
      <c r="P137" s="199"/>
      <c r="Q137" s="199"/>
      <c r="R137" s="121"/>
      <c r="S137" s="121"/>
      <c r="V137" s="121"/>
    </row>
    <row r="138" spans="1:40" ht="45" x14ac:dyDescent="0.25">
      <c r="A138" s="261"/>
      <c r="B138" s="251" t="s">
        <v>703</v>
      </c>
      <c r="C138" s="361" t="s">
        <v>746</v>
      </c>
      <c r="D138" s="802" t="s">
        <v>737</v>
      </c>
      <c r="E138" s="229" t="s">
        <v>591</v>
      </c>
      <c r="F138" s="229" t="s">
        <v>592</v>
      </c>
      <c r="G138" s="152" t="s">
        <v>714</v>
      </c>
      <c r="H138" s="152" t="s">
        <v>715</v>
      </c>
      <c r="I138" s="229" t="s">
        <v>716</v>
      </c>
      <c r="J138" s="261"/>
      <c r="K138" s="261"/>
      <c r="L138" s="199"/>
      <c r="M138" s="199"/>
      <c r="N138" s="261"/>
      <c r="O138" s="199"/>
      <c r="P138" s="199"/>
      <c r="Q138" s="199"/>
      <c r="R138" s="121"/>
      <c r="S138" s="121"/>
      <c r="V138" s="121"/>
    </row>
    <row r="139" spans="1:40" x14ac:dyDescent="0.25">
      <c r="A139" s="261"/>
      <c r="B139" s="311" t="str">
        <f>'Capacity (local prices)'!B132</f>
        <v>Enfortumab vedotin with pembrolizumab</v>
      </c>
      <c r="C139" s="941">
        <f>'Capacity (local prices)'!C132</f>
        <v>0</v>
      </c>
      <c r="D139" s="116">
        <f>'Capacity (local prices)'!D132</f>
        <v>0</v>
      </c>
      <c r="E139" s="116">
        <f>'Capacity (local prices)'!E132</f>
        <v>0</v>
      </c>
      <c r="F139" s="116">
        <f>'Capacity (local prices)'!F132</f>
        <v>0</v>
      </c>
      <c r="G139" s="116">
        <f>'Capacity (local prices)'!G132</f>
        <v>0</v>
      </c>
      <c r="H139" s="116">
        <f>'Capacity (local prices)'!H132</f>
        <v>0</v>
      </c>
      <c r="I139" s="116">
        <f>'Capacity (local prices)'!I132</f>
        <v>0</v>
      </c>
      <c r="J139" s="261"/>
      <c r="K139" s="261"/>
      <c r="L139" s="199"/>
      <c r="M139" s="199"/>
      <c r="N139" s="261"/>
      <c r="O139" s="199"/>
      <c r="P139" s="199"/>
      <c r="Q139" s="199"/>
      <c r="R139" s="121"/>
      <c r="S139" s="121"/>
      <c r="V139" s="121"/>
    </row>
    <row r="140" spans="1:40" x14ac:dyDescent="0.25">
      <c r="A140" s="261"/>
      <c r="B140" s="311" t="str">
        <f>'Capacity (local prices)'!B133</f>
        <v>Enfortumab vedotin with pembrolizumab - year 2</v>
      </c>
      <c r="C140" s="941">
        <f>'Capacity (local prices)'!C133</f>
        <v>0</v>
      </c>
      <c r="D140" s="116">
        <f>'Capacity (local prices)'!D133</f>
        <v>0</v>
      </c>
      <c r="E140" s="116">
        <f>'Capacity (local prices)'!E133</f>
        <v>0</v>
      </c>
      <c r="F140" s="116">
        <f>'Capacity (local prices)'!F133</f>
        <v>0</v>
      </c>
      <c r="G140" s="116">
        <f>'Capacity (local prices)'!G133</f>
        <v>0</v>
      </c>
      <c r="H140" s="116">
        <f>'Capacity (local prices)'!H133</f>
        <v>0</v>
      </c>
      <c r="I140" s="116">
        <f>'Capacity (local prices)'!I133</f>
        <v>0</v>
      </c>
      <c r="J140" s="261"/>
      <c r="K140" s="261"/>
      <c r="L140" s="199"/>
      <c r="M140" s="199"/>
      <c r="N140" s="261"/>
      <c r="O140" s="199"/>
      <c r="P140" s="199"/>
      <c r="Q140" s="199"/>
      <c r="R140" s="121"/>
      <c r="S140" s="121"/>
      <c r="V140" s="121"/>
    </row>
    <row r="141" spans="1:40" x14ac:dyDescent="0.25">
      <c r="A141" s="261"/>
      <c r="B141" s="311" t="str">
        <f>'Capacity (local prices)'!B134</f>
        <v>Gemcitabine &amp; cisplatin</v>
      </c>
      <c r="C141" s="941">
        <f>'Capacity (local prices)'!C134</f>
        <v>0</v>
      </c>
      <c r="D141" s="116">
        <f>'Capacity (local prices)'!D134</f>
        <v>0</v>
      </c>
      <c r="E141" s="116">
        <f>'Capacity (local prices)'!E134</f>
        <v>0</v>
      </c>
      <c r="F141" s="116">
        <f>'Capacity (local prices)'!F134</f>
        <v>0</v>
      </c>
      <c r="G141" s="116">
        <f>'Capacity (local prices)'!G134</f>
        <v>0</v>
      </c>
      <c r="H141" s="116">
        <f>'Capacity (local prices)'!H134</f>
        <v>0</v>
      </c>
      <c r="I141" s="116">
        <f>'Capacity (local prices)'!I134</f>
        <v>0</v>
      </c>
      <c r="J141" s="261"/>
      <c r="K141" s="261"/>
      <c r="L141" s="199"/>
      <c r="M141" s="199"/>
      <c r="N141" s="261"/>
      <c r="O141" s="199"/>
      <c r="P141" s="199"/>
      <c r="Q141" s="199"/>
      <c r="R141" s="121"/>
      <c r="S141" s="121"/>
      <c r="V141" s="121"/>
    </row>
    <row r="142" spans="1:40" x14ac:dyDescent="0.25">
      <c r="A142" s="261"/>
      <c r="B142" s="311" t="str">
        <f>'Capacity (local prices)'!B135</f>
        <v xml:space="preserve">Gemcitabine &amp; carboplatin </v>
      </c>
      <c r="C142" s="941">
        <f>'Capacity (local prices)'!C135</f>
        <v>0</v>
      </c>
      <c r="D142" s="116">
        <f>'Capacity (local prices)'!D135</f>
        <v>0</v>
      </c>
      <c r="E142" s="116">
        <f>'Capacity (local prices)'!E135</f>
        <v>0</v>
      </c>
      <c r="F142" s="116">
        <f>'Capacity (local prices)'!F135</f>
        <v>0</v>
      </c>
      <c r="G142" s="116">
        <f>'Capacity (local prices)'!G135</f>
        <v>0</v>
      </c>
      <c r="H142" s="116">
        <f>'Capacity (local prices)'!H135</f>
        <v>0</v>
      </c>
      <c r="I142" s="116">
        <f>'Capacity (local prices)'!I135</f>
        <v>0</v>
      </c>
      <c r="J142" s="261"/>
      <c r="K142" s="261"/>
      <c r="L142" s="199"/>
      <c r="M142" s="199"/>
      <c r="N142" s="261"/>
      <c r="O142" s="199"/>
      <c r="P142" s="199"/>
      <c r="Q142" s="199"/>
      <c r="R142" s="121"/>
      <c r="S142" s="121"/>
      <c r="V142" s="121"/>
    </row>
    <row r="143" spans="1:40" x14ac:dyDescent="0.25">
      <c r="A143" s="261"/>
      <c r="B143" s="311" t="str">
        <f>'Capacity (local prices)'!B136</f>
        <v>Atezolizumab</v>
      </c>
      <c r="C143" s="941">
        <f>'Capacity (local prices)'!C136</f>
        <v>0</v>
      </c>
      <c r="D143" s="116">
        <f>'Capacity (local prices)'!D136</f>
        <v>0</v>
      </c>
      <c r="E143" s="116">
        <f>'Capacity (local prices)'!E136</f>
        <v>0</v>
      </c>
      <c r="F143" s="116">
        <f>'Capacity (local prices)'!F136</f>
        <v>0</v>
      </c>
      <c r="G143" s="116">
        <f>'Capacity (local prices)'!G136</f>
        <v>0</v>
      </c>
      <c r="H143" s="116">
        <f>'Capacity (local prices)'!H136</f>
        <v>0</v>
      </c>
      <c r="I143" s="116">
        <f>'Capacity (local prices)'!I136</f>
        <v>0</v>
      </c>
      <c r="J143" s="261"/>
      <c r="K143" s="261"/>
      <c r="L143" s="199"/>
      <c r="M143" s="199"/>
      <c r="N143" s="261"/>
      <c r="O143" s="199"/>
      <c r="P143" s="199"/>
      <c r="Q143" s="199"/>
      <c r="R143" s="121"/>
      <c r="S143" s="121"/>
      <c r="V143" s="121"/>
    </row>
    <row r="144" spans="1:40" x14ac:dyDescent="0.25">
      <c r="A144" s="261"/>
      <c r="B144" s="251" t="str">
        <f>'Capacity (local prices)'!B137</f>
        <v>Subsequent treatments</v>
      </c>
      <c r="C144" s="942"/>
      <c r="D144" s="168">
        <f>'Capacity (local prices)'!D137</f>
        <v>0</v>
      </c>
      <c r="E144" s="168">
        <f>'Capacity (local prices)'!E137</f>
        <v>0</v>
      </c>
      <c r="F144" s="168">
        <f>'Capacity (local prices)'!F137</f>
        <v>0</v>
      </c>
      <c r="G144" s="168">
        <f>'Capacity (local prices)'!G137</f>
        <v>0</v>
      </c>
      <c r="H144" s="168">
        <f>'Capacity (local prices)'!H137</f>
        <v>0</v>
      </c>
      <c r="I144" s="168">
        <f>'Capacity (local prices)'!I137</f>
        <v>0</v>
      </c>
      <c r="J144" s="261"/>
      <c r="K144" s="261"/>
      <c r="L144" s="199"/>
      <c r="M144" s="199"/>
      <c r="N144" s="261"/>
      <c r="O144" s="199"/>
      <c r="P144" s="199"/>
      <c r="Q144" s="199"/>
      <c r="R144" s="121"/>
      <c r="S144" s="121"/>
      <c r="V144" s="121"/>
    </row>
    <row r="145" spans="1:40" x14ac:dyDescent="0.25">
      <c r="A145" s="261"/>
      <c r="B145" s="311" t="str">
        <f>'Capacity (local prices)'!B138</f>
        <v>Gemcitabine + cisplatin</v>
      </c>
      <c r="C145" s="941">
        <f>'Capacity (local prices)'!C138</f>
        <v>0</v>
      </c>
      <c r="D145" s="116">
        <f>'Capacity (local prices)'!D138</f>
        <v>0</v>
      </c>
      <c r="E145" s="116">
        <f>'Capacity (local prices)'!E138</f>
        <v>0</v>
      </c>
      <c r="F145" s="116">
        <f>'Capacity (local prices)'!F138</f>
        <v>0</v>
      </c>
      <c r="G145" s="116">
        <f>'Capacity (local prices)'!G138</f>
        <v>0</v>
      </c>
      <c r="H145" s="116">
        <f>'Capacity (local prices)'!H138</f>
        <v>0</v>
      </c>
      <c r="I145" s="116">
        <f>'Capacity (local prices)'!I138</f>
        <v>0</v>
      </c>
      <c r="J145" s="261"/>
      <c r="K145" s="261"/>
      <c r="L145" s="199"/>
      <c r="M145" s="199"/>
      <c r="N145" s="261"/>
      <c r="O145" s="199"/>
      <c r="P145" s="199"/>
      <c r="Q145" s="199"/>
      <c r="R145" s="121"/>
      <c r="S145" s="121"/>
      <c r="V145" s="121"/>
    </row>
    <row r="146" spans="1:40" x14ac:dyDescent="0.25">
      <c r="A146" s="261"/>
      <c r="B146" s="311" t="str">
        <f>'Capacity (local prices)'!B139</f>
        <v>Gemcitabine + carboplatin</v>
      </c>
      <c r="C146" s="941">
        <f>'Capacity (local prices)'!C139</f>
        <v>0</v>
      </c>
      <c r="D146" s="116">
        <f>'Capacity (local prices)'!D139</f>
        <v>0</v>
      </c>
      <c r="E146" s="116">
        <f>'Capacity (local prices)'!E139</f>
        <v>0</v>
      </c>
      <c r="F146" s="116">
        <f>'Capacity (local prices)'!F139</f>
        <v>0</v>
      </c>
      <c r="G146" s="116">
        <f>'Capacity (local prices)'!G139</f>
        <v>0</v>
      </c>
      <c r="H146" s="116">
        <f>'Capacity (local prices)'!H139</f>
        <v>0</v>
      </c>
      <c r="I146" s="116">
        <f>'Capacity (local prices)'!I139</f>
        <v>0</v>
      </c>
      <c r="J146" s="261"/>
      <c r="K146" s="261"/>
      <c r="L146" s="199"/>
      <c r="M146" s="199"/>
      <c r="N146" s="261"/>
      <c r="O146" s="199"/>
      <c r="P146" s="199"/>
      <c r="Q146" s="199"/>
      <c r="R146" s="121"/>
      <c r="S146" s="121"/>
      <c r="V146" s="121"/>
    </row>
    <row r="147" spans="1:40" x14ac:dyDescent="0.25">
      <c r="A147" s="261"/>
      <c r="B147" s="311" t="str">
        <f>'Capacity (local prices)'!B140</f>
        <v>Atezolizumab</v>
      </c>
      <c r="C147" s="941">
        <f>'Capacity (local prices)'!C140</f>
        <v>0</v>
      </c>
      <c r="D147" s="116">
        <f>'Capacity (local prices)'!D140</f>
        <v>0</v>
      </c>
      <c r="E147" s="116">
        <f>'Capacity (local prices)'!E140</f>
        <v>0</v>
      </c>
      <c r="F147" s="116">
        <f>'Capacity (local prices)'!F140</f>
        <v>0</v>
      </c>
      <c r="G147" s="116">
        <f>'Capacity (local prices)'!G140</f>
        <v>0</v>
      </c>
      <c r="H147" s="116">
        <f>'Capacity (local prices)'!H140</f>
        <v>0</v>
      </c>
      <c r="I147" s="116">
        <f>'Capacity (local prices)'!I140</f>
        <v>0</v>
      </c>
      <c r="J147" s="261"/>
      <c r="K147" s="261"/>
      <c r="L147" s="199"/>
      <c r="M147" s="199"/>
      <c r="N147" s="261"/>
      <c r="O147" s="199"/>
      <c r="P147" s="199"/>
      <c r="Q147" s="199"/>
      <c r="R147" s="121"/>
      <c r="S147" s="121"/>
      <c r="V147" s="121"/>
    </row>
    <row r="148" spans="1:40" x14ac:dyDescent="0.25">
      <c r="A148" s="261"/>
      <c r="B148" s="311" t="str">
        <f>'Capacity (local prices)'!B141</f>
        <v>Paclitaxel</v>
      </c>
      <c r="C148" s="941">
        <f>'Capacity (local prices)'!C141</f>
        <v>0</v>
      </c>
      <c r="D148" s="116">
        <f>'Capacity (local prices)'!D141</f>
        <v>0</v>
      </c>
      <c r="E148" s="116">
        <f>'Capacity (local prices)'!E141</f>
        <v>0</v>
      </c>
      <c r="F148" s="116">
        <f>'Capacity (local prices)'!F141</f>
        <v>0</v>
      </c>
      <c r="G148" s="116">
        <f>'Capacity (local prices)'!G141</f>
        <v>0</v>
      </c>
      <c r="H148" s="116">
        <f>'Capacity (local prices)'!H141</f>
        <v>0</v>
      </c>
      <c r="I148" s="116">
        <f>'Capacity (local prices)'!I141</f>
        <v>0</v>
      </c>
      <c r="J148" s="261"/>
      <c r="K148" s="261"/>
      <c r="L148" s="199"/>
      <c r="M148" s="199"/>
      <c r="N148" s="261"/>
      <c r="O148" s="199"/>
      <c r="P148" s="199"/>
      <c r="Q148" s="199"/>
      <c r="R148" s="121"/>
      <c r="S148" s="121"/>
      <c r="V148" s="121"/>
    </row>
    <row r="149" spans="1:40" x14ac:dyDescent="0.25">
      <c r="A149" s="261"/>
      <c r="B149" s="251" t="str">
        <f>'Capacity (local prices)'!B142</f>
        <v>Maintenance treatment</v>
      </c>
      <c r="C149" s="942"/>
      <c r="D149" s="168">
        <f>'Capacity (local prices)'!D142</f>
        <v>0</v>
      </c>
      <c r="E149" s="168">
        <f>'Capacity (local prices)'!E142</f>
        <v>0</v>
      </c>
      <c r="F149" s="168">
        <f>'Capacity (local prices)'!F142</f>
        <v>0</v>
      </c>
      <c r="G149" s="168">
        <f>'Capacity (local prices)'!G142</f>
        <v>0</v>
      </c>
      <c r="H149" s="168">
        <f>'Capacity (local prices)'!H142</f>
        <v>0</v>
      </c>
      <c r="I149" s="168">
        <f>'Capacity (local prices)'!I142</f>
        <v>0</v>
      </c>
      <c r="J149" s="261"/>
      <c r="K149" s="261"/>
      <c r="L149" s="199"/>
      <c r="M149" s="199"/>
      <c r="N149" s="261"/>
      <c r="O149" s="199"/>
      <c r="P149" s="199"/>
      <c r="Q149" s="199"/>
      <c r="R149" s="121"/>
      <c r="S149" s="121"/>
      <c r="V149" s="121"/>
    </row>
    <row r="150" spans="1:40" x14ac:dyDescent="0.25">
      <c r="A150" s="261"/>
      <c r="B150" s="311" t="str">
        <f>'Capacity (local prices)'!B143</f>
        <v>Avelumab</v>
      </c>
      <c r="C150" s="941">
        <f>'Capacity (local prices)'!C143</f>
        <v>0</v>
      </c>
      <c r="D150" s="116">
        <f>'Capacity (local prices)'!D143</f>
        <v>0</v>
      </c>
      <c r="E150" s="116">
        <f>'Capacity (local prices)'!E143</f>
        <v>0</v>
      </c>
      <c r="F150" s="116">
        <f>'Capacity (local prices)'!F143</f>
        <v>0</v>
      </c>
      <c r="G150" s="116">
        <f>'Capacity (local prices)'!G143</f>
        <v>0</v>
      </c>
      <c r="H150" s="116">
        <f>'Capacity (local prices)'!H143</f>
        <v>0</v>
      </c>
      <c r="I150" s="116">
        <f>'Capacity (local prices)'!I143</f>
        <v>0</v>
      </c>
      <c r="J150" s="261"/>
      <c r="K150" s="261"/>
      <c r="L150" s="199"/>
      <c r="M150" s="199"/>
      <c r="N150" s="261"/>
      <c r="O150" s="199"/>
      <c r="P150" s="199"/>
      <c r="Q150" s="199"/>
      <c r="R150" s="121"/>
      <c r="S150" s="121"/>
      <c r="V150" s="121"/>
    </row>
    <row r="151" spans="1:40" x14ac:dyDescent="0.25">
      <c r="A151" s="261"/>
      <c r="B151" s="252"/>
      <c r="C151" s="188"/>
      <c r="D151" s="168">
        <f>D144+D149+D150</f>
        <v>0</v>
      </c>
      <c r="E151" s="168">
        <f t="shared" ref="E151" si="68">E144+E149+E150</f>
        <v>0</v>
      </c>
      <c r="F151" s="168">
        <f t="shared" ref="F151" si="69">F144+F149+F150</f>
        <v>0</v>
      </c>
      <c r="G151" s="168">
        <f t="shared" ref="G151" si="70">G144+G149+G150</f>
        <v>0</v>
      </c>
      <c r="H151" s="168">
        <f t="shared" ref="H151" si="71">H144+H149+H150</f>
        <v>0</v>
      </c>
      <c r="I151" s="168">
        <f t="shared" ref="I151" si="72">I144+I149+I150</f>
        <v>0</v>
      </c>
      <c r="J151" s="261"/>
      <c r="K151" s="261"/>
      <c r="L151" s="199"/>
      <c r="M151" s="199"/>
      <c r="N151" s="261"/>
      <c r="O151" s="199"/>
      <c r="P151" s="199"/>
      <c r="Q151" s="199"/>
      <c r="R151" s="121"/>
      <c r="S151" s="121"/>
      <c r="V151" s="121"/>
    </row>
    <row r="152" spans="1:40" x14ac:dyDescent="0.25">
      <c r="A152" s="261"/>
      <c r="B152" s="279"/>
      <c r="C152" s="202"/>
      <c r="D152" s="257" t="s">
        <v>768</v>
      </c>
      <c r="E152" s="168">
        <f>E151-$D$151</f>
        <v>0</v>
      </c>
      <c r="F152" s="168">
        <f>F151-$D$151</f>
        <v>0</v>
      </c>
      <c r="G152" s="168">
        <f>G151-$D$151</f>
        <v>0</v>
      </c>
      <c r="H152" s="168">
        <f>H151-$D$151</f>
        <v>0</v>
      </c>
      <c r="I152" s="168">
        <f>I151-$D$151</f>
        <v>0</v>
      </c>
      <c r="J152" s="261"/>
      <c r="K152" s="261"/>
      <c r="L152" s="199"/>
      <c r="M152" s="199"/>
      <c r="N152" s="261"/>
      <c r="O152" s="199"/>
      <c r="P152" s="199"/>
      <c r="Q152" s="199"/>
      <c r="R152" s="121"/>
      <c r="S152" s="121"/>
      <c r="V152" s="121"/>
    </row>
    <row r="153" spans="1:40" x14ac:dyDescent="0.25">
      <c r="A153" s="261"/>
      <c r="B153" s="292"/>
      <c r="C153" s="347"/>
      <c r="D153" s="199"/>
      <c r="E153" s="199"/>
      <c r="F153" s="199"/>
      <c r="G153" s="199"/>
      <c r="H153" s="199"/>
      <c r="I153" s="199"/>
      <c r="J153" s="199"/>
      <c r="K153" s="199"/>
      <c r="L153" s="199"/>
      <c r="M153" s="199"/>
      <c r="N153" s="261"/>
      <c r="O153" s="199"/>
      <c r="P153" s="199"/>
      <c r="Q153" s="199"/>
      <c r="R153" s="121"/>
      <c r="S153" s="121"/>
      <c r="T153" s="121"/>
      <c r="U153" s="121"/>
      <c r="V153" s="121"/>
      <c r="W153" s="121"/>
      <c r="X153" s="121"/>
      <c r="Y153" s="121"/>
      <c r="Z153" s="121"/>
      <c r="AJ153" s="258"/>
      <c r="AK153" s="258"/>
      <c r="AL153" s="258"/>
      <c r="AM153" s="258"/>
      <c r="AN153" s="258"/>
    </row>
    <row r="154" spans="1:40" hidden="1" x14ac:dyDescent="0.25">
      <c r="A154" s="295"/>
      <c r="B154" s="296" t="s">
        <v>769</v>
      </c>
      <c r="C154" s="297"/>
      <c r="D154" s="297"/>
      <c r="E154" s="298"/>
      <c r="F154" s="299"/>
      <c r="G154" s="300"/>
      <c r="H154" s="300"/>
      <c r="I154" s="340"/>
      <c r="J154" s="295"/>
      <c r="K154" s="295"/>
      <c r="L154" s="295"/>
      <c r="M154" s="295"/>
      <c r="N154" s="295"/>
      <c r="O154" s="295"/>
      <c r="P154" s="295"/>
      <c r="Q154" s="358"/>
      <c r="R154" s="121"/>
      <c r="S154" s="121"/>
      <c r="T154" s="121"/>
      <c r="U154" s="121"/>
      <c r="V154" s="121"/>
      <c r="W154" s="121"/>
      <c r="X154" s="121"/>
      <c r="Y154" s="121"/>
      <c r="Z154" s="121"/>
      <c r="AJ154" s="258"/>
      <c r="AK154" s="258"/>
      <c r="AL154" s="258"/>
      <c r="AM154" s="258"/>
      <c r="AN154" s="258"/>
    </row>
    <row r="155" spans="1:40" hidden="1" x14ac:dyDescent="0.25">
      <c r="A155" s="295"/>
      <c r="B155" s="350" t="s">
        <v>770</v>
      </c>
      <c r="C155" s="351"/>
      <c r="D155" s="351"/>
      <c r="E155" s="351"/>
      <c r="F155" s="351"/>
      <c r="G155" s="351"/>
      <c r="H155" s="351"/>
      <c r="I155" s="301"/>
      <c r="J155" s="358"/>
      <c r="K155" s="358"/>
      <c r="L155" s="378"/>
      <c r="M155" s="378"/>
      <c r="N155" s="378"/>
      <c r="O155" s="378"/>
      <c r="P155" s="378"/>
      <c r="Q155" s="378"/>
      <c r="R155" s="121"/>
      <c r="S155" s="121"/>
      <c r="T155" s="121"/>
      <c r="U155" s="121"/>
      <c r="V155" s="121"/>
      <c r="W155" s="121"/>
      <c r="X155" s="121"/>
      <c r="Y155" s="121"/>
      <c r="Z155" s="121"/>
      <c r="AJ155" s="258"/>
      <c r="AK155" s="258"/>
      <c r="AL155" s="258"/>
      <c r="AM155" s="258"/>
      <c r="AN155" s="258"/>
    </row>
    <row r="156" spans="1:40" ht="45" hidden="1" x14ac:dyDescent="0.25">
      <c r="A156" s="295"/>
      <c r="B156" s="251" t="s">
        <v>703</v>
      </c>
      <c r="C156" s="153" t="s">
        <v>751</v>
      </c>
      <c r="D156" s="802" t="s">
        <v>737</v>
      </c>
      <c r="E156" s="229" t="s">
        <v>591</v>
      </c>
      <c r="F156" s="229" t="s">
        <v>592</v>
      </c>
      <c r="G156" s="152" t="s">
        <v>714</v>
      </c>
      <c r="H156" s="152" t="s">
        <v>715</v>
      </c>
      <c r="I156" s="229" t="s">
        <v>716</v>
      </c>
      <c r="J156" s="295"/>
      <c r="K156" s="449" t="s">
        <v>777</v>
      </c>
      <c r="L156" s="802" t="s">
        <v>737</v>
      </c>
      <c r="M156" s="229" t="s">
        <v>591</v>
      </c>
      <c r="N156" s="229" t="s">
        <v>592</v>
      </c>
      <c r="O156" s="152" t="s">
        <v>714</v>
      </c>
      <c r="P156" s="152" t="s">
        <v>715</v>
      </c>
      <c r="Q156" s="229" t="s">
        <v>716</v>
      </c>
      <c r="R156" s="121"/>
      <c r="S156" s="121"/>
      <c r="T156" s="121"/>
      <c r="U156" s="121"/>
      <c r="V156" s="121"/>
      <c r="W156" s="121"/>
      <c r="X156" s="121"/>
      <c r="Y156" s="121"/>
      <c r="Z156" s="121"/>
      <c r="AJ156" s="258"/>
      <c r="AK156" s="258"/>
      <c r="AL156" s="258"/>
      <c r="AM156" s="258"/>
      <c r="AN156" s="258"/>
    </row>
    <row r="157" spans="1:40" hidden="1" x14ac:dyDescent="0.25">
      <c r="A157" s="295"/>
      <c r="B157" s="311" t="str">
        <f>B139</f>
        <v>Enfortumab vedotin with pembrolizumab</v>
      </c>
      <c r="C157" s="137">
        <f>'Capacity inputs'!G19</f>
        <v>0</v>
      </c>
      <c r="D157" s="116">
        <f>$C157*'Financial impact (cash)'!D13</f>
        <v>0</v>
      </c>
      <c r="E157" s="116">
        <f>$C157*'Financial impact (cash)'!E13</f>
        <v>0</v>
      </c>
      <c r="F157" s="116">
        <f>$C157*'Financial impact (cash)'!F13</f>
        <v>0</v>
      </c>
      <c r="G157" s="116">
        <f>$C157*'Financial impact (cash)'!G13</f>
        <v>0</v>
      </c>
      <c r="H157" s="116">
        <f>$C157*'Financial impact (cash)'!H13</f>
        <v>0</v>
      </c>
      <c r="I157" s="116">
        <f>$C157*'Financial impact (cash)'!I13</f>
        <v>0</v>
      </c>
      <c r="J157" s="295"/>
      <c r="K157" s="263" t="e">
        <f>'Unit costs'!#REF!</f>
        <v>#REF!</v>
      </c>
      <c r="L157" s="263" t="e">
        <f>D157*$K157/1000</f>
        <v>#REF!</v>
      </c>
      <c r="M157" s="263" t="e">
        <f t="shared" ref="M157:Q163" si="73">E157*$K157/1000</f>
        <v>#REF!</v>
      </c>
      <c r="N157" s="263" t="e">
        <f t="shared" si="73"/>
        <v>#REF!</v>
      </c>
      <c r="O157" s="263" t="e">
        <f t="shared" si="73"/>
        <v>#REF!</v>
      </c>
      <c r="P157" s="263" t="e">
        <f t="shared" si="73"/>
        <v>#REF!</v>
      </c>
      <c r="Q157" s="263" t="e">
        <f t="shared" si="73"/>
        <v>#REF!</v>
      </c>
      <c r="R157" s="121"/>
      <c r="S157" s="121"/>
      <c r="T157" s="121"/>
      <c r="U157" s="121"/>
      <c r="V157" s="121"/>
      <c r="W157" s="121"/>
      <c r="X157" s="121"/>
      <c r="Y157" s="121"/>
      <c r="Z157" s="121"/>
      <c r="AJ157" s="258"/>
      <c r="AK157" s="258"/>
      <c r="AL157" s="258"/>
      <c r="AM157" s="258"/>
      <c r="AN157" s="258"/>
    </row>
    <row r="158" spans="1:40" hidden="1" x14ac:dyDescent="0.25">
      <c r="A158" s="295"/>
      <c r="B158" s="311" t="str">
        <f>B140</f>
        <v>Enfortumab vedotin with pembrolizumab - year 2</v>
      </c>
      <c r="C158" s="137">
        <f>'Capacity inputs'!H19</f>
        <v>0</v>
      </c>
      <c r="D158" s="116">
        <f>$C158*'Financial impact (cash)'!D15</f>
        <v>0</v>
      </c>
      <c r="E158" s="116">
        <f>$C158*'Financial impact (cash)'!E15</f>
        <v>0</v>
      </c>
      <c r="F158" s="116">
        <f>$C158*'Financial impact (cash)'!F15</f>
        <v>0</v>
      </c>
      <c r="G158" s="116">
        <f>$C158*'Financial impact (cash)'!G15</f>
        <v>0</v>
      </c>
      <c r="H158" s="116">
        <f>$C158*'Financial impact (cash)'!H15</f>
        <v>0</v>
      </c>
      <c r="I158" s="116">
        <f>$C158*'Financial impact (cash)'!I15</f>
        <v>0</v>
      </c>
      <c r="J158" s="295"/>
      <c r="K158" s="263" t="e">
        <f>K157</f>
        <v>#REF!</v>
      </c>
      <c r="L158" s="263" t="e">
        <f>D158*$K158/1000</f>
        <v>#REF!</v>
      </c>
      <c r="M158" s="263" t="e">
        <f t="shared" si="73"/>
        <v>#REF!</v>
      </c>
      <c r="N158" s="263" t="e">
        <f t="shared" si="73"/>
        <v>#REF!</v>
      </c>
      <c r="O158" s="263" t="e">
        <f t="shared" si="73"/>
        <v>#REF!</v>
      </c>
      <c r="P158" s="263" t="e">
        <f t="shared" si="73"/>
        <v>#REF!</v>
      </c>
      <c r="Q158" s="263" t="e">
        <f t="shared" si="73"/>
        <v>#REF!</v>
      </c>
      <c r="R158" s="121"/>
      <c r="S158" s="121"/>
      <c r="T158" s="121"/>
      <c r="U158" s="121"/>
      <c r="V158" s="121"/>
      <c r="W158" s="121"/>
      <c r="X158" s="121"/>
      <c r="Y158" s="121"/>
      <c r="Z158" s="121"/>
      <c r="AJ158" s="258"/>
      <c r="AK158" s="258"/>
      <c r="AL158" s="258"/>
      <c r="AM158" s="258"/>
      <c r="AN158" s="258"/>
    </row>
    <row r="159" spans="1:40" hidden="1" x14ac:dyDescent="0.25">
      <c r="A159" s="295"/>
      <c r="B159" s="311" t="str">
        <f>B141</f>
        <v>Gemcitabine &amp; cisplatin</v>
      </c>
      <c r="C159" s="137">
        <f>'Capacity inputs'!I19</f>
        <v>0</v>
      </c>
      <c r="D159" s="116">
        <f>$C159*'Financial impact (cash)'!D16</f>
        <v>0</v>
      </c>
      <c r="E159" s="116">
        <f>$C159*'Financial impact (cash)'!E16</f>
        <v>0</v>
      </c>
      <c r="F159" s="116">
        <f>$C159*'Financial impact (cash)'!F16</f>
        <v>0</v>
      </c>
      <c r="G159" s="116">
        <f>$C159*'Financial impact (cash)'!G16</f>
        <v>0</v>
      </c>
      <c r="H159" s="116">
        <f>$C159*'Financial impact (cash)'!H16</f>
        <v>0</v>
      </c>
      <c r="I159" s="116">
        <f>$C159*'Financial impact (cash)'!I16</f>
        <v>0</v>
      </c>
      <c r="J159" s="295"/>
      <c r="K159" s="263" t="e">
        <f>K157</f>
        <v>#REF!</v>
      </c>
      <c r="L159" s="263" t="e">
        <f>D159*$K159/1000</f>
        <v>#REF!</v>
      </c>
      <c r="M159" s="263" t="e">
        <f t="shared" si="73"/>
        <v>#REF!</v>
      </c>
      <c r="N159" s="263" t="e">
        <f t="shared" si="73"/>
        <v>#REF!</v>
      </c>
      <c r="O159" s="263" t="e">
        <f t="shared" si="73"/>
        <v>#REF!</v>
      </c>
      <c r="P159" s="263" t="e">
        <f t="shared" si="73"/>
        <v>#REF!</v>
      </c>
      <c r="Q159" s="263" t="e">
        <f t="shared" si="73"/>
        <v>#REF!</v>
      </c>
      <c r="R159" s="121"/>
      <c r="S159" s="121"/>
      <c r="T159" s="121"/>
      <c r="U159" s="121"/>
      <c r="V159" s="121"/>
      <c r="W159" s="121"/>
      <c r="X159" s="121"/>
      <c r="Y159" s="121"/>
      <c r="Z159" s="121"/>
      <c r="AJ159" s="258"/>
      <c r="AK159" s="258"/>
      <c r="AL159" s="258"/>
      <c r="AM159" s="258"/>
      <c r="AN159" s="258"/>
    </row>
    <row r="160" spans="1:40" hidden="1" x14ac:dyDescent="0.25">
      <c r="A160" s="295"/>
      <c r="B160" s="311" t="str">
        <f>B142</f>
        <v xml:space="preserve">Gemcitabine &amp; carboplatin </v>
      </c>
      <c r="C160" s="137">
        <f>'Capacity inputs'!J19</f>
        <v>0</v>
      </c>
      <c r="D160" s="116" t="e">
        <f>$C160*'Financial impact (cash)'!#REF!</f>
        <v>#REF!</v>
      </c>
      <c r="E160" s="116" t="e">
        <f>$C160*'Financial impact (cash)'!#REF!</f>
        <v>#REF!</v>
      </c>
      <c r="F160" s="116" t="e">
        <f>$C160*'Financial impact (cash)'!#REF!</f>
        <v>#REF!</v>
      </c>
      <c r="G160" s="116" t="e">
        <f>$C160*'Financial impact (cash)'!#REF!</f>
        <v>#REF!</v>
      </c>
      <c r="H160" s="116" t="e">
        <f>$C160*'Financial impact (cash)'!#REF!</f>
        <v>#REF!</v>
      </c>
      <c r="I160" s="116" t="e">
        <f>$C160*'Financial impact (cash)'!#REF!</f>
        <v>#REF!</v>
      </c>
      <c r="J160" s="295"/>
      <c r="K160" s="263" t="e">
        <f>K157</f>
        <v>#REF!</v>
      </c>
      <c r="L160" s="263" t="e">
        <f>D160*$K160/1000</f>
        <v>#REF!</v>
      </c>
      <c r="M160" s="263" t="e">
        <f t="shared" si="73"/>
        <v>#REF!</v>
      </c>
      <c r="N160" s="263" t="e">
        <f t="shared" si="73"/>
        <v>#REF!</v>
      </c>
      <c r="O160" s="263" t="e">
        <f t="shared" si="73"/>
        <v>#REF!</v>
      </c>
      <c r="P160" s="263" t="e">
        <f t="shared" si="73"/>
        <v>#REF!</v>
      </c>
      <c r="Q160" s="263" t="e">
        <f t="shared" si="73"/>
        <v>#REF!</v>
      </c>
      <c r="R160" s="121"/>
      <c r="S160" s="121"/>
      <c r="T160" s="121"/>
      <c r="U160" s="121"/>
      <c r="V160" s="121"/>
      <c r="W160" s="121"/>
      <c r="X160" s="121"/>
      <c r="Y160" s="121"/>
      <c r="Z160" s="121"/>
      <c r="AJ160" s="258"/>
      <c r="AK160" s="258"/>
      <c r="AL160" s="258"/>
      <c r="AM160" s="258"/>
      <c r="AN160" s="258"/>
    </row>
    <row r="161" spans="1:40" hidden="1" x14ac:dyDescent="0.25">
      <c r="A161" s="295"/>
      <c r="B161" s="311" t="str">
        <f>B143</f>
        <v>Atezolizumab</v>
      </c>
      <c r="C161" s="137">
        <f>'Capacity inputs'!K19</f>
        <v>0</v>
      </c>
      <c r="D161" s="116" t="e">
        <f>$C161*'Financial impact (cash)'!#REF!</f>
        <v>#REF!</v>
      </c>
      <c r="E161" s="116" t="e">
        <f>$C161*'Financial impact (cash)'!#REF!</f>
        <v>#REF!</v>
      </c>
      <c r="F161" s="116" t="e">
        <f>$C161*'Financial impact (cash)'!#REF!</f>
        <v>#REF!</v>
      </c>
      <c r="G161" s="116" t="e">
        <f>$C161*'Financial impact (cash)'!#REF!</f>
        <v>#REF!</v>
      </c>
      <c r="H161" s="116" t="e">
        <f>$C161*'Financial impact (cash)'!#REF!</f>
        <v>#REF!</v>
      </c>
      <c r="I161" s="116" t="e">
        <f>$C161*'Financial impact (cash)'!#REF!</f>
        <v>#REF!</v>
      </c>
      <c r="J161" s="295"/>
      <c r="K161" s="263" t="e">
        <f>K157</f>
        <v>#REF!</v>
      </c>
      <c r="L161" s="263" t="e">
        <f t="shared" ref="L161:L163" si="74">D161*$K161/1000</f>
        <v>#REF!</v>
      </c>
      <c r="M161" s="263" t="e">
        <f t="shared" si="73"/>
        <v>#REF!</v>
      </c>
      <c r="N161" s="263" t="e">
        <f t="shared" si="73"/>
        <v>#REF!</v>
      </c>
      <c r="O161" s="263" t="e">
        <f t="shared" si="73"/>
        <v>#REF!</v>
      </c>
      <c r="P161" s="263" t="e">
        <f t="shared" si="73"/>
        <v>#REF!</v>
      </c>
      <c r="Q161" s="263" t="e">
        <f t="shared" si="73"/>
        <v>#REF!</v>
      </c>
      <c r="R161" s="121"/>
      <c r="S161" s="121"/>
      <c r="T161" s="121"/>
      <c r="U161" s="121"/>
      <c r="V161" s="121"/>
      <c r="W161" s="121"/>
      <c r="X161" s="121"/>
      <c r="Y161" s="121"/>
      <c r="Z161" s="121"/>
      <c r="AJ161" s="258"/>
      <c r="AK161" s="258"/>
      <c r="AL161" s="258"/>
      <c r="AM161" s="258"/>
      <c r="AN161" s="258"/>
    </row>
    <row r="162" spans="1:40" hidden="1" x14ac:dyDescent="0.25">
      <c r="A162" s="295"/>
      <c r="B162" s="311" t="e">
        <f>#REF!</f>
        <v>#REF!</v>
      </c>
      <c r="C162" s="137">
        <f>'Capacity inputs'!L19</f>
        <v>0</v>
      </c>
      <c r="D162" s="116" t="e">
        <f>$C162*'Financial impact (cash)'!#REF!</f>
        <v>#REF!</v>
      </c>
      <c r="E162" s="116" t="e">
        <f>$C162*'Financial impact (cash)'!#REF!</f>
        <v>#REF!</v>
      </c>
      <c r="F162" s="116" t="e">
        <f>$C162*'Financial impact (cash)'!#REF!</f>
        <v>#REF!</v>
      </c>
      <c r="G162" s="116" t="e">
        <f>$C162*'Financial impact (cash)'!#REF!</f>
        <v>#REF!</v>
      </c>
      <c r="H162" s="116" t="e">
        <f>$C162*'Financial impact (cash)'!#REF!</f>
        <v>#REF!</v>
      </c>
      <c r="I162" s="116" t="e">
        <f>$C162*'Financial impact (cash)'!#REF!</f>
        <v>#REF!</v>
      </c>
      <c r="J162" s="295"/>
      <c r="K162" s="263" t="e">
        <f>K157</f>
        <v>#REF!</v>
      </c>
      <c r="L162" s="263" t="e">
        <f t="shared" si="74"/>
        <v>#REF!</v>
      </c>
      <c r="M162" s="263" t="e">
        <f t="shared" si="73"/>
        <v>#REF!</v>
      </c>
      <c r="N162" s="263" t="e">
        <f t="shared" si="73"/>
        <v>#REF!</v>
      </c>
      <c r="O162" s="263" t="e">
        <f t="shared" si="73"/>
        <v>#REF!</v>
      </c>
      <c r="P162" s="263" t="e">
        <f t="shared" si="73"/>
        <v>#REF!</v>
      </c>
      <c r="Q162" s="263" t="e">
        <f t="shared" si="73"/>
        <v>#REF!</v>
      </c>
      <c r="R162" s="121"/>
      <c r="S162" s="121"/>
      <c r="T162" s="121"/>
      <c r="U162" s="121"/>
      <c r="V162" s="121"/>
      <c r="W162" s="121"/>
      <c r="X162" s="121"/>
      <c r="Y162" s="121"/>
      <c r="Z162" s="121"/>
      <c r="AJ162" s="258"/>
      <c r="AK162" s="258"/>
      <c r="AL162" s="258"/>
      <c r="AM162" s="258"/>
      <c r="AN162" s="258"/>
    </row>
    <row r="163" spans="1:40" hidden="1" x14ac:dyDescent="0.25">
      <c r="A163" s="295"/>
      <c r="B163" s="311" t="e">
        <f>#REF!</f>
        <v>#REF!</v>
      </c>
      <c r="C163" s="137">
        <f>'Capacity inputs'!M19</f>
        <v>0</v>
      </c>
      <c r="D163" s="116" t="e">
        <f>$C163*'Financial impact (cash)'!#REF!</f>
        <v>#REF!</v>
      </c>
      <c r="E163" s="116" t="e">
        <f>$C163*'Financial impact (cash)'!#REF!</f>
        <v>#REF!</v>
      </c>
      <c r="F163" s="116" t="e">
        <f>$C163*'Financial impact (cash)'!#REF!</f>
        <v>#REF!</v>
      </c>
      <c r="G163" s="116" t="e">
        <f>$C163*'Financial impact (cash)'!#REF!</f>
        <v>#REF!</v>
      </c>
      <c r="H163" s="116" t="e">
        <f>$C163*'Financial impact (cash)'!#REF!</f>
        <v>#REF!</v>
      </c>
      <c r="I163" s="116" t="e">
        <f>$C163*'Financial impact (cash)'!#REF!</f>
        <v>#REF!</v>
      </c>
      <c r="J163" s="295"/>
      <c r="K163" s="263" t="e">
        <f>K157</f>
        <v>#REF!</v>
      </c>
      <c r="L163" s="263" t="e">
        <f t="shared" si="74"/>
        <v>#REF!</v>
      </c>
      <c r="M163" s="263" t="e">
        <f t="shared" si="73"/>
        <v>#REF!</v>
      </c>
      <c r="N163" s="263" t="e">
        <f t="shared" si="73"/>
        <v>#REF!</v>
      </c>
      <c r="O163" s="263" t="e">
        <f t="shared" si="73"/>
        <v>#REF!</v>
      </c>
      <c r="P163" s="263" t="e">
        <f t="shared" si="73"/>
        <v>#REF!</v>
      </c>
      <c r="Q163" s="263" t="e">
        <f t="shared" si="73"/>
        <v>#REF!</v>
      </c>
      <c r="R163" s="121"/>
      <c r="S163" s="121"/>
      <c r="T163" s="121"/>
      <c r="U163" s="121"/>
      <c r="V163" s="121"/>
      <c r="W163" s="121"/>
      <c r="X163" s="121"/>
      <c r="Y163" s="121"/>
      <c r="Z163" s="121"/>
      <c r="AJ163" s="258"/>
      <c r="AK163" s="258"/>
      <c r="AL163" s="258"/>
      <c r="AM163" s="258"/>
      <c r="AN163" s="258"/>
    </row>
    <row r="164" spans="1:40" hidden="1" x14ac:dyDescent="0.25">
      <c r="A164" s="295"/>
      <c r="B164" s="252"/>
      <c r="C164" s="188"/>
      <c r="D164" s="168" t="e">
        <f>SUM(D157:D163)</f>
        <v>#REF!</v>
      </c>
      <c r="E164" s="168" t="e">
        <f t="shared" ref="E164:I164" si="75">SUM(E157:E163)</f>
        <v>#REF!</v>
      </c>
      <c r="F164" s="168" t="e">
        <f t="shared" si="75"/>
        <v>#REF!</v>
      </c>
      <c r="G164" s="168" t="e">
        <f t="shared" si="75"/>
        <v>#REF!</v>
      </c>
      <c r="H164" s="168" t="e">
        <f t="shared" si="75"/>
        <v>#REF!</v>
      </c>
      <c r="I164" s="168" t="e">
        <f t="shared" si="75"/>
        <v>#REF!</v>
      </c>
      <c r="J164" s="295"/>
      <c r="K164" s="805"/>
      <c r="L164" s="264" t="e">
        <f>SUM(L157:L163)</f>
        <v>#REF!</v>
      </c>
      <c r="M164" s="264" t="e">
        <f t="shared" ref="M164:Q164" si="76">SUM(M157:M163)</f>
        <v>#REF!</v>
      </c>
      <c r="N164" s="264" t="e">
        <f t="shared" si="76"/>
        <v>#REF!</v>
      </c>
      <c r="O164" s="264" t="e">
        <f t="shared" si="76"/>
        <v>#REF!</v>
      </c>
      <c r="P164" s="264" t="e">
        <f t="shared" si="76"/>
        <v>#REF!</v>
      </c>
      <c r="Q164" s="264" t="e">
        <f t="shared" si="76"/>
        <v>#REF!</v>
      </c>
      <c r="R164" s="121"/>
      <c r="S164" s="121"/>
      <c r="T164" s="121"/>
      <c r="U164" s="121"/>
      <c r="V164" s="121"/>
      <c r="W164" s="121"/>
      <c r="X164" s="121"/>
      <c r="Y164" s="121"/>
      <c r="Z164" s="121"/>
      <c r="AJ164" s="258"/>
      <c r="AK164" s="258"/>
      <c r="AL164" s="258"/>
      <c r="AM164" s="258"/>
      <c r="AN164" s="258"/>
    </row>
    <row r="165" spans="1:40" hidden="1" x14ac:dyDescent="0.25">
      <c r="A165" s="295"/>
      <c r="B165" s="279"/>
      <c r="C165" s="230"/>
      <c r="D165" s="257" t="s">
        <v>771</v>
      </c>
      <c r="E165" s="168" t="e">
        <f>E164-$D$164</f>
        <v>#REF!</v>
      </c>
      <c r="F165" s="168" t="e">
        <f>F164-$D$164</f>
        <v>#REF!</v>
      </c>
      <c r="G165" s="168" t="e">
        <f>G164-$D$164</f>
        <v>#REF!</v>
      </c>
      <c r="H165" s="168" t="e">
        <f>H164-$D$164</f>
        <v>#REF!</v>
      </c>
      <c r="I165" s="168" t="e">
        <f>I164-$D$164</f>
        <v>#REF!</v>
      </c>
      <c r="J165" s="295"/>
      <c r="K165" s="295"/>
      <c r="L165" s="806"/>
      <c r="M165" s="264" t="e">
        <f>M164-$L$164</f>
        <v>#REF!</v>
      </c>
      <c r="N165" s="264" t="e">
        <f t="shared" ref="N165:Q165" si="77">N164-$L$164</f>
        <v>#REF!</v>
      </c>
      <c r="O165" s="264" t="e">
        <f t="shared" si="77"/>
        <v>#REF!</v>
      </c>
      <c r="P165" s="264" t="e">
        <f t="shared" si="77"/>
        <v>#REF!</v>
      </c>
      <c r="Q165" s="264" t="e">
        <f t="shared" si="77"/>
        <v>#REF!</v>
      </c>
      <c r="R165" s="121"/>
      <c r="S165" s="121"/>
      <c r="V165" s="121"/>
    </row>
    <row r="166" spans="1:40" hidden="1" x14ac:dyDescent="0.25">
      <c r="A166" s="295"/>
      <c r="B166" s="295"/>
      <c r="C166" s="295"/>
      <c r="D166" s="295"/>
      <c r="E166" s="295"/>
      <c r="F166" s="295"/>
      <c r="G166" s="295"/>
      <c r="H166" s="295"/>
      <c r="I166" s="295"/>
      <c r="J166" s="295"/>
      <c r="K166" s="295"/>
      <c r="L166" s="295"/>
      <c r="M166" s="295"/>
      <c r="N166" s="295"/>
      <c r="O166" s="295"/>
      <c r="P166" s="295"/>
      <c r="Q166" s="295"/>
      <c r="R166" s="121"/>
      <c r="S166" s="121"/>
      <c r="V166" s="121"/>
    </row>
    <row r="167" spans="1:40" x14ac:dyDescent="0.25">
      <c r="A167" s="262"/>
      <c r="B167" s="293" t="s">
        <v>2283</v>
      </c>
      <c r="C167" s="281"/>
      <c r="D167" s="282"/>
      <c r="E167" s="283"/>
      <c r="F167" s="284"/>
      <c r="G167" s="284"/>
      <c r="H167" s="284"/>
      <c r="I167" s="379"/>
      <c r="J167" s="262"/>
      <c r="K167" s="262"/>
      <c r="L167" s="262"/>
      <c r="M167" s="262"/>
      <c r="N167" s="262"/>
      <c r="O167" s="262"/>
      <c r="P167" s="262"/>
      <c r="Q167" s="201"/>
      <c r="R167" s="121"/>
      <c r="S167" s="121"/>
      <c r="T167" s="121"/>
      <c r="U167" s="121"/>
      <c r="V167" s="121"/>
      <c r="W167" s="121"/>
      <c r="X167" s="121"/>
      <c r="Y167" s="121"/>
      <c r="Z167" s="121"/>
      <c r="AJ167" s="258"/>
      <c r="AK167" s="258"/>
      <c r="AL167" s="258"/>
      <c r="AM167" s="258"/>
      <c r="AN167" s="258"/>
    </row>
    <row r="168" spans="1:40" x14ac:dyDescent="0.25">
      <c r="A168" s="262"/>
      <c r="B168" s="352"/>
      <c r="C168" s="353"/>
      <c r="D168" s="353"/>
      <c r="E168" s="353"/>
      <c r="F168" s="353"/>
      <c r="G168" s="353"/>
      <c r="H168" s="353"/>
      <c r="I168" s="200"/>
      <c r="J168" s="201"/>
      <c r="K168" s="201"/>
      <c r="L168" s="374"/>
      <c r="M168" s="374"/>
      <c r="N168" s="374"/>
      <c r="O168" s="374"/>
      <c r="P168" s="374"/>
      <c r="Q168" s="374"/>
      <c r="R168" s="121"/>
      <c r="S168" s="121"/>
      <c r="T168" s="121"/>
      <c r="U168" s="121"/>
      <c r="V168" s="121"/>
      <c r="W168" s="121"/>
      <c r="X168" s="121"/>
      <c r="Y168" s="121"/>
      <c r="Z168" s="121"/>
      <c r="AJ168" s="258"/>
      <c r="AK168" s="258"/>
      <c r="AL168" s="258"/>
      <c r="AM168" s="258"/>
      <c r="AN168" s="258"/>
    </row>
    <row r="169" spans="1:40" ht="45" x14ac:dyDescent="0.25">
      <c r="A169" s="262"/>
      <c r="B169" s="251" t="s">
        <v>703</v>
      </c>
      <c r="C169" s="153"/>
      <c r="D169" s="802" t="s">
        <v>737</v>
      </c>
      <c r="E169" s="229" t="s">
        <v>591</v>
      </c>
      <c r="F169" s="229" t="s">
        <v>592</v>
      </c>
      <c r="G169" s="152" t="s">
        <v>714</v>
      </c>
      <c r="H169" s="152" t="s">
        <v>715</v>
      </c>
      <c r="I169" s="229" t="s">
        <v>716</v>
      </c>
      <c r="J169" s="262"/>
      <c r="K169" s="449" t="s">
        <v>777</v>
      </c>
      <c r="L169" s="802" t="s">
        <v>737</v>
      </c>
      <c r="M169" s="229" t="s">
        <v>591</v>
      </c>
      <c r="N169" s="229" t="s">
        <v>592</v>
      </c>
      <c r="O169" s="152" t="s">
        <v>714</v>
      </c>
      <c r="P169" s="152" t="s">
        <v>715</v>
      </c>
      <c r="Q169" s="229" t="s">
        <v>716</v>
      </c>
      <c r="R169" s="121"/>
      <c r="S169" s="121"/>
      <c r="T169" s="121"/>
      <c r="U169" s="121"/>
      <c r="V169" s="121"/>
      <c r="W169" s="121"/>
      <c r="X169" s="121"/>
      <c r="Y169" s="121"/>
      <c r="Z169" s="121"/>
      <c r="AJ169" s="258"/>
      <c r="AK169" s="258"/>
      <c r="AL169" s="258"/>
      <c r="AM169" s="258"/>
      <c r="AN169" s="258"/>
    </row>
    <row r="170" spans="1:40" x14ac:dyDescent="0.25">
      <c r="A170" s="262"/>
      <c r="B170" s="1003" t="str">
        <f>'Capacity (local prices)'!B163</f>
        <v>Blood counts</v>
      </c>
      <c r="C170" s="137"/>
      <c r="D170" s="116">
        <f>'Capacity (local prices)'!D163</f>
        <v>0</v>
      </c>
      <c r="E170" s="116">
        <f>'Capacity (local prices)'!E163</f>
        <v>0</v>
      </c>
      <c r="F170" s="116">
        <f>'Capacity (local prices)'!F163</f>
        <v>0</v>
      </c>
      <c r="G170" s="116">
        <f>'Capacity (local prices)'!G163</f>
        <v>0</v>
      </c>
      <c r="H170" s="116">
        <f>'Capacity (local prices)'!H163</f>
        <v>0</v>
      </c>
      <c r="I170" s="116">
        <f>'Capacity (local prices)'!I163</f>
        <v>0</v>
      </c>
      <c r="J170" s="262"/>
      <c r="K170" s="263">
        <f>'Unit costs'!C129</f>
        <v>2.96</v>
      </c>
      <c r="L170" s="263">
        <f>$K170*D170/1000</f>
        <v>0</v>
      </c>
      <c r="M170" s="263">
        <f t="shared" ref="M170:Q175" si="78">$K170*E170/1000</f>
        <v>0</v>
      </c>
      <c r="N170" s="263">
        <f t="shared" si="78"/>
        <v>0</v>
      </c>
      <c r="O170" s="263">
        <f t="shared" si="78"/>
        <v>0</v>
      </c>
      <c r="P170" s="263">
        <f t="shared" si="78"/>
        <v>0</v>
      </c>
      <c r="Q170" s="263">
        <f t="shared" si="78"/>
        <v>0</v>
      </c>
      <c r="R170" s="121"/>
      <c r="S170" s="121"/>
      <c r="T170" s="121"/>
      <c r="U170" s="121"/>
      <c r="V170" s="121"/>
      <c r="W170" s="121"/>
      <c r="X170" s="121"/>
      <c r="Y170" s="121"/>
      <c r="Z170" s="121"/>
      <c r="AJ170" s="258"/>
      <c r="AK170" s="258"/>
      <c r="AL170" s="258"/>
      <c r="AM170" s="258"/>
      <c r="AN170" s="258"/>
    </row>
    <row r="171" spans="1:40" x14ac:dyDescent="0.25">
      <c r="A171" s="262"/>
      <c r="B171" s="1003" t="str">
        <f>'Capacity (local prices)'!B164</f>
        <v>Hepatic function</v>
      </c>
      <c r="C171" s="137"/>
      <c r="D171" s="116">
        <f>'Capacity (local prices)'!D164</f>
        <v>0</v>
      </c>
      <c r="E171" s="116">
        <f>'Capacity (local prices)'!E164</f>
        <v>0</v>
      </c>
      <c r="F171" s="116">
        <f>'Capacity (local prices)'!F164</f>
        <v>0</v>
      </c>
      <c r="G171" s="116">
        <f>'Capacity (local prices)'!G164</f>
        <v>0</v>
      </c>
      <c r="H171" s="116">
        <f>'Capacity (local prices)'!H164</f>
        <v>0</v>
      </c>
      <c r="I171" s="116">
        <f>'Capacity (local prices)'!I164</f>
        <v>0</v>
      </c>
      <c r="J171" s="262"/>
      <c r="K171" s="263">
        <f>'Unit costs'!C130</f>
        <v>1.55</v>
      </c>
      <c r="L171" s="263">
        <f t="shared" ref="L171:L175" si="79">$K171*D171/1000</f>
        <v>0</v>
      </c>
      <c r="M171" s="263">
        <f t="shared" si="78"/>
        <v>0</v>
      </c>
      <c r="N171" s="263">
        <f t="shared" si="78"/>
        <v>0</v>
      </c>
      <c r="O171" s="263">
        <f t="shared" si="78"/>
        <v>0</v>
      </c>
      <c r="P171" s="263">
        <f t="shared" si="78"/>
        <v>0</v>
      </c>
      <c r="Q171" s="263">
        <f t="shared" si="78"/>
        <v>0</v>
      </c>
      <c r="R171" s="121"/>
      <c r="S171" s="121"/>
      <c r="T171" s="121"/>
      <c r="U171" s="121"/>
      <c r="V171" s="121"/>
      <c r="W171" s="121"/>
      <c r="X171" s="121"/>
      <c r="Y171" s="121"/>
      <c r="Z171" s="121"/>
      <c r="AJ171" s="258"/>
      <c r="AK171" s="258"/>
      <c r="AL171" s="258"/>
      <c r="AM171" s="258"/>
      <c r="AN171" s="258"/>
    </row>
    <row r="172" spans="1:40" x14ac:dyDescent="0.25">
      <c r="A172" s="262"/>
      <c r="B172" s="1003" t="str">
        <f>'Capacity (local prices)'!B165</f>
        <v>Adrenal function</v>
      </c>
      <c r="C172" s="137"/>
      <c r="D172" s="116">
        <f>'Capacity (local prices)'!D165</f>
        <v>0</v>
      </c>
      <c r="E172" s="116">
        <f>'Capacity (local prices)'!E165</f>
        <v>0</v>
      </c>
      <c r="F172" s="116">
        <f>'Capacity (local prices)'!F165</f>
        <v>0</v>
      </c>
      <c r="G172" s="116">
        <f>'Capacity (local prices)'!G165</f>
        <v>0</v>
      </c>
      <c r="H172" s="116">
        <f>'Capacity (local prices)'!H165</f>
        <v>0</v>
      </c>
      <c r="I172" s="116">
        <f>'Capacity (local prices)'!I165</f>
        <v>0</v>
      </c>
      <c r="J172" s="262"/>
      <c r="K172" s="263">
        <f>'Unit costs'!C131</f>
        <v>1.55</v>
      </c>
      <c r="L172" s="263">
        <f t="shared" si="79"/>
        <v>0</v>
      </c>
      <c r="M172" s="263">
        <f t="shared" si="78"/>
        <v>0</v>
      </c>
      <c r="N172" s="263">
        <f t="shared" si="78"/>
        <v>0</v>
      </c>
      <c r="O172" s="263">
        <f t="shared" si="78"/>
        <v>0</v>
      </c>
      <c r="P172" s="263">
        <f t="shared" si="78"/>
        <v>0</v>
      </c>
      <c r="Q172" s="263">
        <f t="shared" si="78"/>
        <v>0</v>
      </c>
      <c r="R172" s="121"/>
      <c r="S172" s="121"/>
      <c r="T172" s="121"/>
      <c r="U172" s="121"/>
      <c r="V172" s="121"/>
      <c r="W172" s="121"/>
      <c r="X172" s="121"/>
      <c r="Y172" s="121"/>
      <c r="Z172" s="121"/>
      <c r="AJ172" s="258"/>
      <c r="AK172" s="258"/>
      <c r="AL172" s="258"/>
      <c r="AM172" s="258"/>
      <c r="AN172" s="258"/>
    </row>
    <row r="173" spans="1:40" x14ac:dyDescent="0.25">
      <c r="A173" s="262"/>
      <c r="B173" s="1003" t="str">
        <f>'Capacity (local prices)'!B166</f>
        <v>Renal function</v>
      </c>
      <c r="C173" s="137"/>
      <c r="D173" s="116">
        <f>'Capacity (local prices)'!D166</f>
        <v>0</v>
      </c>
      <c r="E173" s="116">
        <f>'Capacity (local prices)'!E166</f>
        <v>0</v>
      </c>
      <c r="F173" s="116">
        <f>'Capacity (local prices)'!F166</f>
        <v>0</v>
      </c>
      <c r="G173" s="116">
        <f>'Capacity (local prices)'!G166</f>
        <v>0</v>
      </c>
      <c r="H173" s="116">
        <f>'Capacity (local prices)'!H166</f>
        <v>0</v>
      </c>
      <c r="I173" s="116">
        <f>'Capacity (local prices)'!I166</f>
        <v>0</v>
      </c>
      <c r="J173" s="262"/>
      <c r="K173" s="263">
        <f>'Unit costs'!C132</f>
        <v>1.55</v>
      </c>
      <c r="L173" s="263">
        <f t="shared" si="79"/>
        <v>0</v>
      </c>
      <c r="M173" s="263">
        <f t="shared" si="78"/>
        <v>0</v>
      </c>
      <c r="N173" s="263">
        <f t="shared" si="78"/>
        <v>0</v>
      </c>
      <c r="O173" s="263">
        <f t="shared" si="78"/>
        <v>0</v>
      </c>
      <c r="P173" s="263">
        <f t="shared" si="78"/>
        <v>0</v>
      </c>
      <c r="Q173" s="263">
        <f t="shared" si="78"/>
        <v>0</v>
      </c>
      <c r="R173" s="121"/>
      <c r="S173" s="121"/>
      <c r="T173" s="121"/>
      <c r="U173" s="121"/>
      <c r="V173" s="121"/>
      <c r="W173" s="121"/>
      <c r="X173" s="121"/>
      <c r="Y173" s="121"/>
      <c r="Z173" s="121"/>
      <c r="AJ173" s="258"/>
      <c r="AK173" s="258"/>
      <c r="AL173" s="258"/>
      <c r="AM173" s="258"/>
      <c r="AN173" s="258"/>
    </row>
    <row r="174" spans="1:40" x14ac:dyDescent="0.25">
      <c r="A174" s="262"/>
      <c r="B174" s="1003" t="str">
        <f>'Capacity (local prices)'!B167</f>
        <v>Thyroid function</v>
      </c>
      <c r="C174" s="137"/>
      <c r="D174" s="116">
        <f>'Capacity (local prices)'!D167</f>
        <v>0</v>
      </c>
      <c r="E174" s="116">
        <f>'Capacity (local prices)'!E167</f>
        <v>0</v>
      </c>
      <c r="F174" s="116">
        <f>'Capacity (local prices)'!F167</f>
        <v>0</v>
      </c>
      <c r="G174" s="116">
        <f>'Capacity (local prices)'!G167</f>
        <v>0</v>
      </c>
      <c r="H174" s="116">
        <f>'Capacity (local prices)'!H167</f>
        <v>0</v>
      </c>
      <c r="I174" s="116">
        <f>'Capacity (local prices)'!I167</f>
        <v>0</v>
      </c>
      <c r="J174" s="262"/>
      <c r="K174" s="263">
        <f>'Unit costs'!C133</f>
        <v>1.55</v>
      </c>
      <c r="L174" s="263">
        <f t="shared" si="79"/>
        <v>0</v>
      </c>
      <c r="M174" s="263">
        <f t="shared" si="78"/>
        <v>0</v>
      </c>
      <c r="N174" s="263">
        <f t="shared" si="78"/>
        <v>0</v>
      </c>
      <c r="O174" s="263">
        <f t="shared" si="78"/>
        <v>0</v>
      </c>
      <c r="P174" s="263">
        <f t="shared" si="78"/>
        <v>0</v>
      </c>
      <c r="Q174" s="263">
        <f t="shared" si="78"/>
        <v>0</v>
      </c>
      <c r="R174" s="121"/>
      <c r="S174" s="121"/>
      <c r="T174" s="121"/>
      <c r="U174" s="121"/>
      <c r="V174" s="121"/>
      <c r="W174" s="121"/>
      <c r="X174" s="121"/>
      <c r="Y174" s="121"/>
      <c r="Z174" s="121"/>
      <c r="AJ174" s="258"/>
      <c r="AK174" s="258"/>
      <c r="AL174" s="258"/>
      <c r="AM174" s="258"/>
      <c r="AN174" s="258"/>
    </row>
    <row r="175" spans="1:40" x14ac:dyDescent="0.25">
      <c r="A175" s="262"/>
      <c r="B175" s="1003" t="str">
        <f>'Capacity (local prices)'!B168</f>
        <v>Neurologic function</v>
      </c>
      <c r="C175" s="137"/>
      <c r="D175" s="116">
        <f>'Capacity (local prices)'!D168</f>
        <v>0</v>
      </c>
      <c r="E175" s="116">
        <f>'Capacity (local prices)'!E168</f>
        <v>0</v>
      </c>
      <c r="F175" s="116">
        <f>'Capacity (local prices)'!F168</f>
        <v>0</v>
      </c>
      <c r="G175" s="116">
        <f>'Capacity (local prices)'!G168</f>
        <v>0</v>
      </c>
      <c r="H175" s="116">
        <f>'Capacity (local prices)'!H168</f>
        <v>0</v>
      </c>
      <c r="I175" s="116">
        <f>'Capacity (local prices)'!I168</f>
        <v>0</v>
      </c>
      <c r="J175" s="262"/>
      <c r="K175" s="263">
        <f>'Unit costs'!C134</f>
        <v>213.5</v>
      </c>
      <c r="L175" s="263">
        <f t="shared" si="79"/>
        <v>0</v>
      </c>
      <c r="M175" s="263">
        <f t="shared" si="78"/>
        <v>0</v>
      </c>
      <c r="N175" s="263">
        <f t="shared" si="78"/>
        <v>0</v>
      </c>
      <c r="O175" s="263">
        <f t="shared" si="78"/>
        <v>0</v>
      </c>
      <c r="P175" s="263">
        <f t="shared" si="78"/>
        <v>0</v>
      </c>
      <c r="Q175" s="263">
        <f t="shared" si="78"/>
        <v>0</v>
      </c>
      <c r="R175" s="121"/>
      <c r="S175" s="121"/>
      <c r="T175" s="121"/>
      <c r="U175" s="121"/>
      <c r="V175" s="121"/>
      <c r="W175" s="121"/>
      <c r="X175" s="121"/>
      <c r="Y175" s="121"/>
      <c r="Z175" s="121"/>
      <c r="AJ175" s="258"/>
      <c r="AK175" s="258"/>
      <c r="AL175" s="258"/>
      <c r="AM175" s="258"/>
      <c r="AN175" s="258"/>
    </row>
    <row r="176" spans="1:40" x14ac:dyDescent="0.25">
      <c r="A176" s="262"/>
      <c r="B176" s="252"/>
      <c r="C176" s="188"/>
      <c r="D176" s="168">
        <f t="shared" ref="D176:I176" si="80">SUM(D170:D175)</f>
        <v>0</v>
      </c>
      <c r="E176" s="168">
        <f t="shared" si="80"/>
        <v>0</v>
      </c>
      <c r="F176" s="168">
        <f t="shared" si="80"/>
        <v>0</v>
      </c>
      <c r="G176" s="168">
        <f t="shared" si="80"/>
        <v>0</v>
      </c>
      <c r="H176" s="168">
        <f t="shared" si="80"/>
        <v>0</v>
      </c>
      <c r="I176" s="168">
        <f t="shared" si="80"/>
        <v>0</v>
      </c>
      <c r="J176" s="262"/>
      <c r="K176" s="807"/>
      <c r="L176" s="264">
        <f t="shared" ref="L176:Q176" si="81">SUM(L170:L175)</f>
        <v>0</v>
      </c>
      <c r="M176" s="264">
        <f t="shared" si="81"/>
        <v>0</v>
      </c>
      <c r="N176" s="264">
        <f t="shared" si="81"/>
        <v>0</v>
      </c>
      <c r="O176" s="264">
        <f t="shared" si="81"/>
        <v>0</v>
      </c>
      <c r="P176" s="264">
        <f t="shared" si="81"/>
        <v>0</v>
      </c>
      <c r="Q176" s="264">
        <f t="shared" si="81"/>
        <v>0</v>
      </c>
      <c r="R176" s="121"/>
      <c r="S176" s="121"/>
      <c r="T176" s="121"/>
      <c r="U176" s="121"/>
      <c r="V176" s="121"/>
      <c r="W176" s="121"/>
      <c r="X176" s="121"/>
      <c r="Y176" s="121"/>
      <c r="Z176" s="121"/>
      <c r="AJ176" s="258"/>
      <c r="AK176" s="258"/>
      <c r="AL176" s="258"/>
      <c r="AM176" s="258"/>
      <c r="AN176" s="258"/>
    </row>
    <row r="177" spans="1:40" x14ac:dyDescent="0.25">
      <c r="A177" s="262"/>
      <c r="B177" s="279"/>
      <c r="C177" s="230"/>
      <c r="D177" s="257" t="s">
        <v>2285</v>
      </c>
      <c r="E177" s="168">
        <f>E176-$D$176</f>
        <v>0</v>
      </c>
      <c r="F177" s="168">
        <f>F176-$D$176</f>
        <v>0</v>
      </c>
      <c r="G177" s="168">
        <f>G176-$D$176</f>
        <v>0</v>
      </c>
      <c r="H177" s="168">
        <f>H176-$D$176</f>
        <v>0</v>
      </c>
      <c r="I177" s="168">
        <f>I176-$D$176</f>
        <v>0</v>
      </c>
      <c r="J177" s="262"/>
      <c r="K177" s="262"/>
      <c r="L177" s="808"/>
      <c r="M177" s="264">
        <f>M176-$L$176</f>
        <v>0</v>
      </c>
      <c r="N177" s="264">
        <f t="shared" ref="N177:Q177" si="82">N176-$L$176</f>
        <v>0</v>
      </c>
      <c r="O177" s="264">
        <f t="shared" si="82"/>
        <v>0</v>
      </c>
      <c r="P177" s="264">
        <f t="shared" si="82"/>
        <v>0</v>
      </c>
      <c r="Q177" s="264">
        <f t="shared" si="82"/>
        <v>0</v>
      </c>
      <c r="R177" s="121"/>
      <c r="S177" s="121"/>
      <c r="V177" s="121"/>
    </row>
    <row r="178" spans="1:40" x14ac:dyDescent="0.25">
      <c r="A178" s="262"/>
      <c r="B178" s="294"/>
      <c r="C178" s="201"/>
      <c r="D178" s="201"/>
      <c r="E178" s="201"/>
      <c r="F178" s="201"/>
      <c r="G178" s="201"/>
      <c r="H178" s="201"/>
      <c r="I178" s="201"/>
      <c r="J178" s="262"/>
      <c r="K178" s="262"/>
      <c r="L178" s="201"/>
      <c r="M178" s="201"/>
      <c r="N178" s="201"/>
      <c r="O178" s="201"/>
      <c r="P178" s="201"/>
      <c r="Q178" s="201"/>
      <c r="R178" s="121"/>
      <c r="S178" s="121"/>
      <c r="V178" s="121"/>
    </row>
    <row r="179" spans="1:40" hidden="1" x14ac:dyDescent="0.25">
      <c r="A179" s="262"/>
      <c r="B179" s="352" t="s">
        <v>772</v>
      </c>
      <c r="C179" s="353"/>
      <c r="D179" s="353"/>
      <c r="E179" s="353"/>
      <c r="F179" s="353"/>
      <c r="G179" s="353"/>
      <c r="H179" s="353"/>
      <c r="I179" s="200"/>
      <c r="J179" s="262"/>
      <c r="K179" s="262"/>
      <c r="L179" s="201"/>
      <c r="M179" s="201"/>
      <c r="N179" s="201"/>
      <c r="O179" s="201"/>
      <c r="P179" s="201"/>
      <c r="Q179" s="201"/>
      <c r="R179" s="121"/>
      <c r="S179" s="121"/>
      <c r="T179" s="121"/>
      <c r="U179" s="121"/>
      <c r="V179" s="121"/>
      <c r="W179" s="121"/>
      <c r="X179" s="121"/>
      <c r="Y179" s="121"/>
      <c r="Z179" s="121"/>
      <c r="AJ179" s="258"/>
      <c r="AK179" s="258"/>
      <c r="AL179" s="258"/>
      <c r="AM179" s="258"/>
      <c r="AN179" s="258"/>
    </row>
    <row r="180" spans="1:40" ht="45" hidden="1" x14ac:dyDescent="0.25">
      <c r="A180" s="262"/>
      <c r="B180" s="251" t="s">
        <v>703</v>
      </c>
      <c r="C180" s="153" t="s">
        <v>751</v>
      </c>
      <c r="D180" s="802" t="s">
        <v>737</v>
      </c>
      <c r="E180" s="229" t="s">
        <v>591</v>
      </c>
      <c r="F180" s="229" t="s">
        <v>592</v>
      </c>
      <c r="G180" s="152" t="s">
        <v>714</v>
      </c>
      <c r="H180" s="152" t="s">
        <v>715</v>
      </c>
      <c r="I180" s="229" t="s">
        <v>716</v>
      </c>
      <c r="J180" s="262"/>
      <c r="K180" s="262"/>
      <c r="L180" s="201"/>
      <c r="M180" s="201"/>
      <c r="N180" s="201"/>
      <c r="O180" s="201"/>
      <c r="P180" s="201"/>
      <c r="Q180" s="201"/>
      <c r="R180" s="121"/>
      <c r="S180" s="121"/>
      <c r="T180" s="121"/>
      <c r="U180" s="121"/>
      <c r="V180" s="121"/>
      <c r="W180" s="121"/>
      <c r="X180" s="121"/>
      <c r="Y180" s="121"/>
      <c r="Z180" s="121"/>
      <c r="AJ180" s="258"/>
      <c r="AK180" s="258"/>
      <c r="AL180" s="258"/>
      <c r="AM180" s="258"/>
      <c r="AN180" s="258"/>
    </row>
    <row r="181" spans="1:40" hidden="1" x14ac:dyDescent="0.25">
      <c r="A181" s="262"/>
      <c r="B181" s="311" t="str">
        <f t="shared" ref="B181:B186" si="83">B170</f>
        <v>Blood counts</v>
      </c>
      <c r="C181" s="137" t="e">
        <f>'Capacity inputs'!#REF!</f>
        <v>#REF!</v>
      </c>
      <c r="D181" s="116" t="e">
        <f>'Financial impact (cash)'!D13*$C181</f>
        <v>#REF!</v>
      </c>
      <c r="E181" s="116" t="e">
        <f>'Financial impact (cash)'!E13*$C181</f>
        <v>#REF!</v>
      </c>
      <c r="F181" s="116" t="e">
        <f>'Financial impact (cash)'!F13*$C181</f>
        <v>#REF!</v>
      </c>
      <c r="G181" s="116" t="e">
        <f>'Financial impact (cash)'!G13*$C181</f>
        <v>#REF!</v>
      </c>
      <c r="H181" s="116" t="e">
        <f>'Financial impact (cash)'!H13*$C181</f>
        <v>#REF!</v>
      </c>
      <c r="I181" s="116" t="e">
        <f>'Financial impact (cash)'!I13*$C181</f>
        <v>#REF!</v>
      </c>
      <c r="J181" s="262"/>
      <c r="K181" s="262"/>
      <c r="L181" s="201"/>
      <c r="M181" s="201"/>
      <c r="N181" s="201"/>
      <c r="O181" s="201"/>
      <c r="P181" s="201"/>
      <c r="Q181" s="201"/>
      <c r="R181" s="121"/>
      <c r="S181" s="121"/>
      <c r="T181" s="121"/>
      <c r="U181" s="121"/>
      <c r="V181" s="121"/>
      <c r="W181" s="121"/>
      <c r="X181" s="121"/>
      <c r="Y181" s="121"/>
      <c r="Z181" s="121"/>
      <c r="AJ181" s="258"/>
      <c r="AK181" s="258"/>
      <c r="AL181" s="258"/>
      <c r="AM181" s="258"/>
      <c r="AN181" s="258"/>
    </row>
    <row r="182" spans="1:40" hidden="1" x14ac:dyDescent="0.25">
      <c r="A182" s="262"/>
      <c r="B182" s="311" t="str">
        <f t="shared" si="83"/>
        <v>Hepatic function</v>
      </c>
      <c r="C182" s="137" t="e">
        <f>'Capacity inputs'!#REF!</f>
        <v>#REF!</v>
      </c>
      <c r="D182" s="116" t="e">
        <f>'Financial impact (cash)'!D15*$C182</f>
        <v>#REF!</v>
      </c>
      <c r="E182" s="116" t="e">
        <f>'Financial impact (cash)'!E15*$C182</f>
        <v>#REF!</v>
      </c>
      <c r="F182" s="116" t="e">
        <f>'Financial impact (cash)'!F15*$C182</f>
        <v>#REF!</v>
      </c>
      <c r="G182" s="116" t="e">
        <f>'Financial impact (cash)'!G15*$C182</f>
        <v>#REF!</v>
      </c>
      <c r="H182" s="116" t="e">
        <f>'Financial impact (cash)'!H15*$C182</f>
        <v>#REF!</v>
      </c>
      <c r="I182" s="116" t="e">
        <f>'Financial impact (cash)'!I15*$C182</f>
        <v>#REF!</v>
      </c>
      <c r="J182" s="262"/>
      <c r="K182" s="262"/>
      <c r="L182" s="201"/>
      <c r="M182" s="201"/>
      <c r="N182" s="201"/>
      <c r="O182" s="201"/>
      <c r="P182" s="201"/>
      <c r="Q182" s="201"/>
      <c r="R182" s="121"/>
      <c r="S182" s="121"/>
      <c r="T182" s="121"/>
      <c r="U182" s="121"/>
      <c r="V182" s="121"/>
      <c r="W182" s="121"/>
      <c r="X182" s="121"/>
      <c r="Y182" s="121"/>
      <c r="Z182" s="121"/>
      <c r="AJ182" s="258"/>
      <c r="AK182" s="258"/>
      <c r="AL182" s="258"/>
      <c r="AM182" s="258"/>
      <c r="AN182" s="258"/>
    </row>
    <row r="183" spans="1:40" hidden="1" x14ac:dyDescent="0.25">
      <c r="A183" s="262"/>
      <c r="B183" s="311" t="str">
        <f t="shared" si="83"/>
        <v>Adrenal function</v>
      </c>
      <c r="C183" s="137" t="e">
        <f>'Capacity inputs'!#REF!</f>
        <v>#REF!</v>
      </c>
      <c r="D183" s="116" t="e">
        <f>'Financial impact (cash)'!D16*$C183</f>
        <v>#REF!</v>
      </c>
      <c r="E183" s="116" t="e">
        <f>'Financial impact (cash)'!E16*$C183</f>
        <v>#REF!</v>
      </c>
      <c r="F183" s="116" t="e">
        <f>'Financial impact (cash)'!F16*$C183</f>
        <v>#REF!</v>
      </c>
      <c r="G183" s="116" t="e">
        <f>'Financial impact (cash)'!G16*$C183</f>
        <v>#REF!</v>
      </c>
      <c r="H183" s="116" t="e">
        <f>'Financial impact (cash)'!H16*$C183</f>
        <v>#REF!</v>
      </c>
      <c r="I183" s="116" t="e">
        <f>'Financial impact (cash)'!I16*$C183</f>
        <v>#REF!</v>
      </c>
      <c r="J183" s="262"/>
      <c r="K183" s="262"/>
      <c r="L183" s="201"/>
      <c r="M183" s="201"/>
      <c r="N183" s="201"/>
      <c r="O183" s="201"/>
      <c r="P183" s="201"/>
      <c r="Q183" s="201"/>
      <c r="R183" s="121"/>
      <c r="S183" s="121"/>
      <c r="T183" s="121"/>
      <c r="U183" s="121"/>
      <c r="V183" s="121"/>
      <c r="W183" s="121"/>
      <c r="X183" s="121"/>
      <c r="Y183" s="121"/>
      <c r="Z183" s="121"/>
      <c r="AJ183" s="258"/>
      <c r="AK183" s="258"/>
      <c r="AL183" s="258"/>
      <c r="AM183" s="258"/>
      <c r="AN183" s="258"/>
    </row>
    <row r="184" spans="1:40" hidden="1" x14ac:dyDescent="0.25">
      <c r="A184" s="262"/>
      <c r="B184" s="311" t="str">
        <f t="shared" si="83"/>
        <v>Renal function</v>
      </c>
      <c r="C184" s="137" t="e">
        <f>'Capacity inputs'!#REF!</f>
        <v>#REF!</v>
      </c>
      <c r="D184" s="116" t="e">
        <f>'Financial impact (cash)'!#REF!*$C184</f>
        <v>#REF!</v>
      </c>
      <c r="E184" s="116" t="e">
        <f>'Financial impact (cash)'!#REF!*$C184</f>
        <v>#REF!</v>
      </c>
      <c r="F184" s="116" t="e">
        <f>'Financial impact (cash)'!#REF!*$C184</f>
        <v>#REF!</v>
      </c>
      <c r="G184" s="116" t="e">
        <f>'Financial impact (cash)'!#REF!*$C184</f>
        <v>#REF!</v>
      </c>
      <c r="H184" s="116" t="e">
        <f>'Financial impact (cash)'!#REF!*$C184</f>
        <v>#REF!</v>
      </c>
      <c r="I184" s="116" t="e">
        <f>'Financial impact (cash)'!#REF!*$C184</f>
        <v>#REF!</v>
      </c>
      <c r="J184" s="262"/>
      <c r="K184" s="262"/>
      <c r="L184" s="201"/>
      <c r="M184" s="201"/>
      <c r="N184" s="201"/>
      <c r="O184" s="201"/>
      <c r="P184" s="201"/>
      <c r="Q184" s="201"/>
      <c r="R184" s="121"/>
      <c r="S184" s="121"/>
      <c r="T184" s="121"/>
      <c r="U184" s="121"/>
      <c r="V184" s="121"/>
      <c r="W184" s="121"/>
      <c r="X184" s="121"/>
      <c r="Y184" s="121"/>
      <c r="Z184" s="121"/>
      <c r="AJ184" s="258"/>
      <c r="AK184" s="258"/>
      <c r="AL184" s="258"/>
      <c r="AM184" s="258"/>
      <c r="AN184" s="258"/>
    </row>
    <row r="185" spans="1:40" hidden="1" x14ac:dyDescent="0.25">
      <c r="A185" s="262"/>
      <c r="B185" s="311" t="str">
        <f t="shared" si="83"/>
        <v>Thyroid function</v>
      </c>
      <c r="C185" s="137" t="e">
        <f>'Capacity inputs'!#REF!</f>
        <v>#REF!</v>
      </c>
      <c r="D185" s="116" t="e">
        <f>'Financial impact (cash)'!#REF!*$C185</f>
        <v>#REF!</v>
      </c>
      <c r="E185" s="116" t="e">
        <f>'Financial impact (cash)'!#REF!*$C185</f>
        <v>#REF!</v>
      </c>
      <c r="F185" s="116" t="e">
        <f>'Financial impact (cash)'!#REF!*$C185</f>
        <v>#REF!</v>
      </c>
      <c r="G185" s="116" t="e">
        <f>'Financial impact (cash)'!#REF!*$C185</f>
        <v>#REF!</v>
      </c>
      <c r="H185" s="116" t="e">
        <f>'Financial impact (cash)'!#REF!*$C185</f>
        <v>#REF!</v>
      </c>
      <c r="I185" s="116" t="e">
        <f>'Financial impact (cash)'!#REF!*$C185</f>
        <v>#REF!</v>
      </c>
      <c r="J185" s="262"/>
      <c r="K185" s="262"/>
      <c r="L185" s="201"/>
      <c r="M185" s="201"/>
      <c r="N185" s="201"/>
      <c r="O185" s="201"/>
      <c r="P185" s="201"/>
      <c r="Q185" s="201"/>
      <c r="R185" s="121"/>
      <c r="S185" s="121"/>
      <c r="T185" s="121"/>
      <c r="U185" s="121"/>
      <c r="V185" s="121"/>
      <c r="W185" s="121"/>
      <c r="X185" s="121"/>
      <c r="Y185" s="121"/>
      <c r="Z185" s="121"/>
      <c r="AJ185" s="258"/>
      <c r="AK185" s="258"/>
      <c r="AL185" s="258"/>
      <c r="AM185" s="258"/>
      <c r="AN185" s="258"/>
    </row>
    <row r="186" spans="1:40" hidden="1" x14ac:dyDescent="0.25">
      <c r="A186" s="262"/>
      <c r="B186" s="311" t="str">
        <f t="shared" si="83"/>
        <v>Neurologic function</v>
      </c>
      <c r="C186" s="137" t="e">
        <f>'Capacity inputs'!#REF!</f>
        <v>#REF!</v>
      </c>
      <c r="D186" s="116" t="e">
        <f>'Financial impact (cash)'!#REF!*$C186</f>
        <v>#REF!</v>
      </c>
      <c r="E186" s="116" t="e">
        <f>'Financial impact (cash)'!#REF!*$C186</f>
        <v>#REF!</v>
      </c>
      <c r="F186" s="116" t="e">
        <f>'Financial impact (cash)'!#REF!*$C186</f>
        <v>#REF!</v>
      </c>
      <c r="G186" s="116" t="e">
        <f>'Financial impact (cash)'!#REF!*$C186</f>
        <v>#REF!</v>
      </c>
      <c r="H186" s="116" t="e">
        <f>'Financial impact (cash)'!#REF!*$C186</f>
        <v>#REF!</v>
      </c>
      <c r="I186" s="116" t="e">
        <f>'Financial impact (cash)'!#REF!*$C186</f>
        <v>#REF!</v>
      </c>
      <c r="J186" s="262"/>
      <c r="K186" s="262"/>
      <c r="L186" s="201"/>
      <c r="M186" s="201"/>
      <c r="N186" s="201"/>
      <c r="O186" s="201"/>
      <c r="P186" s="201"/>
      <c r="Q186" s="201"/>
      <c r="R186" s="121"/>
      <c r="S186" s="121"/>
      <c r="T186" s="121"/>
      <c r="U186" s="121"/>
      <c r="V186" s="121"/>
      <c r="W186" s="121"/>
      <c r="X186" s="121"/>
      <c r="Y186" s="121"/>
      <c r="Z186" s="121"/>
      <c r="AJ186" s="258"/>
      <c r="AK186" s="258"/>
      <c r="AL186" s="258"/>
      <c r="AM186" s="258"/>
      <c r="AN186" s="258"/>
    </row>
    <row r="187" spans="1:40" hidden="1" x14ac:dyDescent="0.25">
      <c r="A187" s="262"/>
      <c r="B187" s="311" t="e">
        <f>#REF!</f>
        <v>#REF!</v>
      </c>
      <c r="C187" s="137" t="e">
        <f>'Capacity inputs'!#REF!</f>
        <v>#REF!</v>
      </c>
      <c r="D187" s="116" t="e">
        <f>'Financial impact (cash)'!#REF!*$C187</f>
        <v>#REF!</v>
      </c>
      <c r="E187" s="116" t="e">
        <f>'Financial impact (cash)'!#REF!*$C187</f>
        <v>#REF!</v>
      </c>
      <c r="F187" s="116" t="e">
        <f>'Financial impact (cash)'!#REF!*$C187</f>
        <v>#REF!</v>
      </c>
      <c r="G187" s="116" t="e">
        <f>'Financial impact (cash)'!#REF!*$C187</f>
        <v>#REF!</v>
      </c>
      <c r="H187" s="116" t="e">
        <f>'Financial impact (cash)'!#REF!*$C187</f>
        <v>#REF!</v>
      </c>
      <c r="I187" s="116" t="e">
        <f>'Financial impact (cash)'!#REF!*$C187</f>
        <v>#REF!</v>
      </c>
      <c r="J187" s="262"/>
      <c r="K187" s="262"/>
      <c r="L187" s="201"/>
      <c r="M187" s="201"/>
      <c r="N187" s="201"/>
      <c r="O187" s="201"/>
      <c r="P187" s="201"/>
      <c r="Q187" s="201"/>
      <c r="R187" s="121"/>
      <c r="S187" s="121"/>
      <c r="T187" s="121"/>
      <c r="U187" s="121"/>
      <c r="V187" s="121"/>
      <c r="W187" s="121"/>
      <c r="X187" s="121"/>
      <c r="Y187" s="121"/>
      <c r="Z187" s="121"/>
      <c r="AJ187" s="258"/>
      <c r="AK187" s="258"/>
      <c r="AL187" s="258"/>
      <c r="AM187" s="258"/>
      <c r="AN187" s="258"/>
    </row>
    <row r="188" spans="1:40" hidden="1" x14ac:dyDescent="0.25">
      <c r="A188" s="262"/>
      <c r="B188" s="252"/>
      <c r="C188" s="188"/>
      <c r="D188" s="168" t="e">
        <f>SUM(D181:D187)</f>
        <v>#REF!</v>
      </c>
      <c r="E188" s="168" t="e">
        <f t="shared" ref="E188:I188" si="84">SUM(E181:E187)</f>
        <v>#REF!</v>
      </c>
      <c r="F188" s="168" t="e">
        <f t="shared" si="84"/>
        <v>#REF!</v>
      </c>
      <c r="G188" s="168" t="e">
        <f t="shared" si="84"/>
        <v>#REF!</v>
      </c>
      <c r="H188" s="168" t="e">
        <f t="shared" si="84"/>
        <v>#REF!</v>
      </c>
      <c r="I188" s="168" t="e">
        <f t="shared" si="84"/>
        <v>#REF!</v>
      </c>
      <c r="J188" s="262"/>
      <c r="K188" s="262"/>
      <c r="L188" s="201"/>
      <c r="M188" s="201"/>
      <c r="N188" s="201"/>
      <c r="O188" s="201"/>
      <c r="P188" s="201"/>
      <c r="Q188" s="201"/>
      <c r="R188" s="121"/>
      <c r="S188" s="121"/>
      <c r="T188" s="121"/>
      <c r="U188" s="121"/>
      <c r="V188" s="121"/>
      <c r="W188" s="121"/>
      <c r="X188" s="121"/>
      <c r="Y188" s="121"/>
      <c r="Z188" s="121"/>
      <c r="AJ188" s="258"/>
      <c r="AK188" s="258"/>
      <c r="AL188" s="258"/>
      <c r="AM188" s="258"/>
      <c r="AN188" s="258"/>
    </row>
    <row r="189" spans="1:40" hidden="1" x14ac:dyDescent="0.25">
      <c r="A189" s="262"/>
      <c r="B189" s="279"/>
      <c r="C189" s="230"/>
      <c r="D189" s="257" t="s">
        <v>773</v>
      </c>
      <c r="E189" s="168" t="e">
        <f>E188-$D$188</f>
        <v>#REF!</v>
      </c>
      <c r="F189" s="168" t="e">
        <f>F188-$D$188</f>
        <v>#REF!</v>
      </c>
      <c r="G189" s="168" t="e">
        <f>G188-$D$188</f>
        <v>#REF!</v>
      </c>
      <c r="H189" s="168" t="e">
        <f>H188-$D$188</f>
        <v>#REF!</v>
      </c>
      <c r="I189" s="168" t="e">
        <f>I188-$D$188</f>
        <v>#REF!</v>
      </c>
      <c r="J189" s="262"/>
      <c r="K189" s="262"/>
      <c r="L189" s="201"/>
      <c r="M189" s="201"/>
      <c r="N189" s="201"/>
      <c r="O189" s="201"/>
      <c r="P189" s="201"/>
      <c r="Q189" s="201"/>
      <c r="R189" s="121"/>
      <c r="S189" s="121"/>
      <c r="V189" s="121"/>
    </row>
    <row r="190" spans="1:40" hidden="1" x14ac:dyDescent="0.25">
      <c r="A190" s="262"/>
      <c r="B190" s="294"/>
      <c r="C190" s="201"/>
      <c r="D190" s="201"/>
      <c r="E190" s="201"/>
      <c r="F190" s="201"/>
      <c r="G190" s="201"/>
      <c r="H190" s="201"/>
      <c r="I190" s="201"/>
      <c r="J190" s="201"/>
      <c r="K190" s="201"/>
      <c r="L190" s="201"/>
      <c r="M190" s="201"/>
      <c r="N190" s="201"/>
      <c r="O190" s="201"/>
      <c r="P190" s="201"/>
      <c r="Q190" s="201"/>
      <c r="R190" s="121"/>
      <c r="S190" s="121"/>
      <c r="V190" s="121"/>
    </row>
    <row r="191" spans="1:40" hidden="1" x14ac:dyDescent="0.25">
      <c r="A191" s="262"/>
      <c r="B191" s="352" t="s">
        <v>668</v>
      </c>
      <c r="C191" s="353"/>
      <c r="D191" s="353"/>
      <c r="E191" s="353"/>
      <c r="F191" s="353"/>
      <c r="G191" s="353"/>
      <c r="H191" s="353"/>
      <c r="I191" s="200"/>
      <c r="J191" s="201"/>
      <c r="K191" s="201"/>
      <c r="L191" s="201"/>
      <c r="M191" s="201"/>
      <c r="N191" s="201"/>
      <c r="O191" s="201"/>
      <c r="P191" s="201"/>
      <c r="Q191" s="201"/>
      <c r="R191" s="121"/>
      <c r="S191" s="121"/>
      <c r="T191" s="121"/>
      <c r="U191" s="121"/>
      <c r="V191" s="121"/>
      <c r="W191" s="121"/>
      <c r="X191" s="121"/>
      <c r="Y191" s="121"/>
      <c r="Z191" s="121"/>
      <c r="AJ191" s="258"/>
      <c r="AK191" s="258"/>
      <c r="AL191" s="258"/>
      <c r="AM191" s="258"/>
      <c r="AN191" s="258"/>
    </row>
    <row r="192" spans="1:40" ht="45" hidden="1" x14ac:dyDescent="0.25">
      <c r="A192" s="262"/>
      <c r="B192" s="251" t="s">
        <v>703</v>
      </c>
      <c r="C192" s="153" t="s">
        <v>751</v>
      </c>
      <c r="D192" s="802" t="s">
        <v>737</v>
      </c>
      <c r="E192" s="229" t="s">
        <v>591</v>
      </c>
      <c r="F192" s="229" t="s">
        <v>592</v>
      </c>
      <c r="G192" s="152" t="s">
        <v>714</v>
      </c>
      <c r="H192" s="152" t="s">
        <v>715</v>
      </c>
      <c r="I192" s="229" t="s">
        <v>716</v>
      </c>
      <c r="J192" s="262"/>
      <c r="K192" s="262"/>
      <c r="L192" s="201"/>
      <c r="M192" s="201"/>
      <c r="N192" s="201"/>
      <c r="O192" s="201"/>
      <c r="P192" s="201"/>
      <c r="Q192" s="201"/>
      <c r="R192" s="121"/>
      <c r="S192" s="121"/>
      <c r="T192" s="121"/>
      <c r="U192" s="121"/>
      <c r="V192" s="121"/>
      <c r="W192" s="121"/>
      <c r="X192" s="121"/>
      <c r="Y192" s="121"/>
      <c r="Z192" s="121"/>
      <c r="AJ192" s="258"/>
      <c r="AK192" s="258"/>
      <c r="AL192" s="258"/>
      <c r="AM192" s="258"/>
      <c r="AN192" s="258"/>
    </row>
    <row r="193" spans="1:40" hidden="1" x14ac:dyDescent="0.25">
      <c r="A193" s="262"/>
      <c r="B193" s="311" t="str">
        <f>B181</f>
        <v>Blood counts</v>
      </c>
      <c r="C193" s="137" t="e">
        <f>'Capacity inputs'!#REF!</f>
        <v>#REF!</v>
      </c>
      <c r="D193" s="116" t="e">
        <f>'Financial impact (cash)'!D13*'Capacity (national prices)'!$C193</f>
        <v>#REF!</v>
      </c>
      <c r="E193" s="116" t="e">
        <f>'Financial impact (cash)'!E13*'Capacity (national prices)'!$C193</f>
        <v>#REF!</v>
      </c>
      <c r="F193" s="116" t="e">
        <f>'Financial impact (cash)'!F13*'Capacity (national prices)'!$C193</f>
        <v>#REF!</v>
      </c>
      <c r="G193" s="116" t="e">
        <f>'Financial impact (cash)'!G13*'Capacity (national prices)'!$C193</f>
        <v>#REF!</v>
      </c>
      <c r="H193" s="116" t="e">
        <f>'Financial impact (cash)'!H13*'Capacity (national prices)'!$C193</f>
        <v>#REF!</v>
      </c>
      <c r="I193" s="116" t="e">
        <f>'Financial impact (cash)'!I13*'Capacity (national prices)'!$C193</f>
        <v>#REF!</v>
      </c>
      <c r="J193" s="262"/>
      <c r="K193" s="262"/>
      <c r="L193" s="201"/>
      <c r="M193" s="201"/>
      <c r="N193" s="201"/>
      <c r="O193" s="201"/>
      <c r="P193" s="201"/>
      <c r="Q193" s="201"/>
      <c r="R193" s="121"/>
      <c r="S193" s="121"/>
      <c r="T193" s="121"/>
      <c r="U193" s="121"/>
      <c r="V193" s="121"/>
      <c r="W193" s="121"/>
      <c r="X193" s="121"/>
      <c r="Y193" s="121"/>
      <c r="Z193" s="121"/>
      <c r="AJ193" s="258"/>
      <c r="AK193" s="258"/>
      <c r="AL193" s="258"/>
      <c r="AM193" s="258"/>
      <c r="AN193" s="258"/>
    </row>
    <row r="194" spans="1:40" hidden="1" x14ac:dyDescent="0.25">
      <c r="A194" s="262"/>
      <c r="B194" s="311" t="str">
        <f t="shared" ref="B194:B199" si="85">B182</f>
        <v>Hepatic function</v>
      </c>
      <c r="C194" s="137" t="e">
        <f>'Capacity inputs'!#REF!</f>
        <v>#REF!</v>
      </c>
      <c r="D194" s="116" t="e">
        <f>'Financial impact (cash)'!D15*'Capacity (national prices)'!$C194</f>
        <v>#REF!</v>
      </c>
      <c r="E194" s="116" t="e">
        <f>'Financial impact (cash)'!E15*'Capacity (national prices)'!$C194</f>
        <v>#REF!</v>
      </c>
      <c r="F194" s="116" t="e">
        <f>'Financial impact (cash)'!F15*'Capacity (national prices)'!$C194</f>
        <v>#REF!</v>
      </c>
      <c r="G194" s="116" t="e">
        <f>'Financial impact (cash)'!G15*'Capacity (national prices)'!$C194</f>
        <v>#REF!</v>
      </c>
      <c r="H194" s="116" t="e">
        <f>'Financial impact (cash)'!H15*'Capacity (national prices)'!$C194</f>
        <v>#REF!</v>
      </c>
      <c r="I194" s="116" t="e">
        <f>'Financial impact (cash)'!I15*'Capacity (national prices)'!$C194</f>
        <v>#REF!</v>
      </c>
      <c r="J194" s="262"/>
      <c r="K194" s="262"/>
      <c r="L194" s="201"/>
      <c r="M194" s="201"/>
      <c r="N194" s="201"/>
      <c r="O194" s="201"/>
      <c r="P194" s="201"/>
      <c r="Q194" s="201"/>
      <c r="R194" s="121"/>
      <c r="S194" s="121"/>
      <c r="T194" s="121"/>
      <c r="U194" s="121"/>
      <c r="V194" s="121"/>
      <c r="W194" s="121"/>
      <c r="X194" s="121"/>
      <c r="Y194" s="121"/>
      <c r="Z194" s="121"/>
      <c r="AJ194" s="258"/>
      <c r="AK194" s="258"/>
      <c r="AL194" s="258"/>
      <c r="AM194" s="258"/>
      <c r="AN194" s="258"/>
    </row>
    <row r="195" spans="1:40" hidden="1" x14ac:dyDescent="0.25">
      <c r="A195" s="262"/>
      <c r="B195" s="311" t="str">
        <f t="shared" si="85"/>
        <v>Adrenal function</v>
      </c>
      <c r="C195" s="137" t="e">
        <f>'Capacity inputs'!#REF!</f>
        <v>#REF!</v>
      </c>
      <c r="D195" s="116" t="e">
        <f>'Financial impact (cash)'!D16*'Capacity (national prices)'!$C195</f>
        <v>#REF!</v>
      </c>
      <c r="E195" s="116" t="e">
        <f>'Financial impact (cash)'!E16*'Capacity (national prices)'!$C195</f>
        <v>#REF!</v>
      </c>
      <c r="F195" s="116" t="e">
        <f>'Financial impact (cash)'!F16*'Capacity (national prices)'!$C195</f>
        <v>#REF!</v>
      </c>
      <c r="G195" s="116" t="e">
        <f>'Financial impact (cash)'!G16*'Capacity (national prices)'!$C195</f>
        <v>#REF!</v>
      </c>
      <c r="H195" s="116" t="e">
        <f>'Financial impact (cash)'!H16*'Capacity (national prices)'!$C195</f>
        <v>#REF!</v>
      </c>
      <c r="I195" s="116" t="e">
        <f>'Financial impact (cash)'!I16*'Capacity (national prices)'!$C195</f>
        <v>#REF!</v>
      </c>
      <c r="J195" s="262"/>
      <c r="K195" s="262"/>
      <c r="L195" s="201"/>
      <c r="M195" s="201"/>
      <c r="N195" s="201"/>
      <c r="O195" s="201"/>
      <c r="P195" s="201"/>
      <c r="Q195" s="201"/>
      <c r="R195" s="121"/>
      <c r="S195" s="121"/>
      <c r="T195" s="121"/>
      <c r="U195" s="121"/>
      <c r="V195" s="121"/>
      <c r="W195" s="121"/>
      <c r="X195" s="121"/>
      <c r="Y195" s="121"/>
      <c r="Z195" s="121"/>
      <c r="AJ195" s="258"/>
      <c r="AK195" s="258"/>
      <c r="AL195" s="258"/>
      <c r="AM195" s="258"/>
      <c r="AN195" s="258"/>
    </row>
    <row r="196" spans="1:40" hidden="1" x14ac:dyDescent="0.25">
      <c r="A196" s="262"/>
      <c r="B196" s="311" t="str">
        <f t="shared" si="85"/>
        <v>Renal function</v>
      </c>
      <c r="C196" s="137" t="e">
        <f>'Capacity inputs'!#REF!</f>
        <v>#REF!</v>
      </c>
      <c r="D196" s="116" t="e">
        <f>'Financial impact (cash)'!#REF!*'Capacity (national prices)'!$C196</f>
        <v>#REF!</v>
      </c>
      <c r="E196" s="116" t="e">
        <f>'Financial impact (cash)'!#REF!*'Capacity (national prices)'!$C196</f>
        <v>#REF!</v>
      </c>
      <c r="F196" s="116" t="e">
        <f>'Financial impact (cash)'!#REF!*'Capacity (national prices)'!$C196</f>
        <v>#REF!</v>
      </c>
      <c r="G196" s="116" t="e">
        <f>'Financial impact (cash)'!#REF!*'Capacity (national prices)'!$C196</f>
        <v>#REF!</v>
      </c>
      <c r="H196" s="116" t="e">
        <f>'Financial impact (cash)'!#REF!*'Capacity (national prices)'!$C196</f>
        <v>#REF!</v>
      </c>
      <c r="I196" s="116" t="e">
        <f>'Financial impact (cash)'!#REF!*'Capacity (national prices)'!$C196</f>
        <v>#REF!</v>
      </c>
      <c r="J196" s="262"/>
      <c r="K196" s="262"/>
      <c r="L196" s="201"/>
      <c r="M196" s="201"/>
      <c r="N196" s="201"/>
      <c r="O196" s="201"/>
      <c r="P196" s="201"/>
      <c r="Q196" s="201"/>
      <c r="R196" s="121"/>
      <c r="S196" s="121"/>
      <c r="T196" s="121"/>
      <c r="U196" s="121"/>
      <c r="V196" s="121"/>
      <c r="W196" s="121"/>
      <c r="X196" s="121"/>
      <c r="Y196" s="121"/>
      <c r="Z196" s="121"/>
      <c r="AJ196" s="258"/>
      <c r="AK196" s="258"/>
      <c r="AL196" s="258"/>
      <c r="AM196" s="258"/>
      <c r="AN196" s="258"/>
    </row>
    <row r="197" spans="1:40" hidden="1" x14ac:dyDescent="0.25">
      <c r="A197" s="262"/>
      <c r="B197" s="311" t="str">
        <f t="shared" si="85"/>
        <v>Thyroid function</v>
      </c>
      <c r="C197" s="137" t="e">
        <f>'Capacity inputs'!#REF!</f>
        <v>#REF!</v>
      </c>
      <c r="D197" s="116" t="e">
        <f>'Financial impact (cash)'!#REF!*'Capacity (national prices)'!$C197</f>
        <v>#REF!</v>
      </c>
      <c r="E197" s="116" t="e">
        <f>'Financial impact (cash)'!#REF!*'Capacity (national prices)'!$C197</f>
        <v>#REF!</v>
      </c>
      <c r="F197" s="116" t="e">
        <f>'Financial impact (cash)'!#REF!*'Capacity (national prices)'!$C197</f>
        <v>#REF!</v>
      </c>
      <c r="G197" s="116" t="e">
        <f>'Financial impact (cash)'!#REF!*'Capacity (national prices)'!$C197</f>
        <v>#REF!</v>
      </c>
      <c r="H197" s="116" t="e">
        <f>'Financial impact (cash)'!#REF!*'Capacity (national prices)'!$C197</f>
        <v>#REF!</v>
      </c>
      <c r="I197" s="116" t="e">
        <f>'Financial impact (cash)'!#REF!*'Capacity (national prices)'!$C197</f>
        <v>#REF!</v>
      </c>
      <c r="J197" s="262"/>
      <c r="K197" s="262"/>
      <c r="L197" s="201"/>
      <c r="M197" s="201"/>
      <c r="N197" s="201"/>
      <c r="O197" s="201"/>
      <c r="P197" s="201"/>
      <c r="Q197" s="201"/>
      <c r="R197" s="121"/>
      <c r="S197" s="121"/>
      <c r="T197" s="121"/>
      <c r="U197" s="121"/>
      <c r="V197" s="121"/>
      <c r="W197" s="121"/>
      <c r="X197" s="121"/>
      <c r="Y197" s="121"/>
      <c r="Z197" s="121"/>
      <c r="AJ197" s="258"/>
      <c r="AK197" s="258"/>
      <c r="AL197" s="258"/>
      <c r="AM197" s="258"/>
      <c r="AN197" s="258"/>
    </row>
    <row r="198" spans="1:40" hidden="1" x14ac:dyDescent="0.25">
      <c r="A198" s="262"/>
      <c r="B198" s="311" t="str">
        <f t="shared" si="85"/>
        <v>Neurologic function</v>
      </c>
      <c r="C198" s="137" t="e">
        <f>'Capacity inputs'!#REF!</f>
        <v>#REF!</v>
      </c>
      <c r="D198" s="116" t="e">
        <f>'Financial impact (cash)'!#REF!*'Capacity (national prices)'!$C198</f>
        <v>#REF!</v>
      </c>
      <c r="E198" s="116" t="e">
        <f>'Financial impact (cash)'!#REF!*'Capacity (national prices)'!$C198</f>
        <v>#REF!</v>
      </c>
      <c r="F198" s="116" t="e">
        <f>'Financial impact (cash)'!#REF!*'Capacity (national prices)'!$C198</f>
        <v>#REF!</v>
      </c>
      <c r="G198" s="116" t="e">
        <f>'Financial impact (cash)'!#REF!*'Capacity (national prices)'!$C198</f>
        <v>#REF!</v>
      </c>
      <c r="H198" s="116" t="e">
        <f>'Financial impact (cash)'!#REF!*'Capacity (national prices)'!$C198</f>
        <v>#REF!</v>
      </c>
      <c r="I198" s="116" t="e">
        <f>'Financial impact (cash)'!#REF!*'Capacity (national prices)'!$C198</f>
        <v>#REF!</v>
      </c>
      <c r="J198" s="262"/>
      <c r="K198" s="262"/>
      <c r="L198" s="201"/>
      <c r="M198" s="201"/>
      <c r="N198" s="201"/>
      <c r="O198" s="201"/>
      <c r="P198" s="201"/>
      <c r="Q198" s="201"/>
      <c r="R198" s="121"/>
      <c r="S198" s="121"/>
      <c r="T198" s="121"/>
      <c r="U198" s="121"/>
      <c r="V198" s="121"/>
      <c r="W198" s="121"/>
      <c r="X198" s="121"/>
      <c r="Y198" s="121"/>
      <c r="Z198" s="121"/>
      <c r="AJ198" s="258"/>
      <c r="AK198" s="258"/>
      <c r="AL198" s="258"/>
      <c r="AM198" s="258"/>
      <c r="AN198" s="258"/>
    </row>
    <row r="199" spans="1:40" hidden="1" x14ac:dyDescent="0.25">
      <c r="A199" s="262"/>
      <c r="B199" s="311" t="e">
        <f t="shared" si="85"/>
        <v>#REF!</v>
      </c>
      <c r="C199" s="137" t="e">
        <f>'Capacity inputs'!#REF!</f>
        <v>#REF!</v>
      </c>
      <c r="D199" s="116" t="e">
        <f>'Financial impact (cash)'!#REF!*'Capacity (national prices)'!$C199</f>
        <v>#REF!</v>
      </c>
      <c r="E199" s="116" t="e">
        <f>'Financial impact (cash)'!#REF!*'Capacity (national prices)'!$C199</f>
        <v>#REF!</v>
      </c>
      <c r="F199" s="116" t="e">
        <f>'Financial impact (cash)'!#REF!*'Capacity (national prices)'!$C199</f>
        <v>#REF!</v>
      </c>
      <c r="G199" s="116" t="e">
        <f>'Financial impact (cash)'!#REF!*'Capacity (national prices)'!$C199</f>
        <v>#REF!</v>
      </c>
      <c r="H199" s="116" t="e">
        <f>'Financial impact (cash)'!#REF!*'Capacity (national prices)'!$C199</f>
        <v>#REF!</v>
      </c>
      <c r="I199" s="116" t="e">
        <f>'Financial impact (cash)'!#REF!*'Capacity (national prices)'!$C199</f>
        <v>#REF!</v>
      </c>
      <c r="J199" s="262"/>
      <c r="K199" s="262"/>
      <c r="L199" s="201"/>
      <c r="M199" s="201"/>
      <c r="N199" s="201"/>
      <c r="O199" s="201"/>
      <c r="P199" s="201"/>
      <c r="Q199" s="201"/>
      <c r="R199" s="121"/>
      <c r="S199" s="121"/>
      <c r="T199" s="121"/>
      <c r="U199" s="121"/>
      <c r="V199" s="121"/>
      <c r="W199" s="121"/>
      <c r="X199" s="121"/>
      <c r="Y199" s="121"/>
      <c r="Z199" s="121"/>
      <c r="AJ199" s="258"/>
      <c r="AK199" s="258"/>
      <c r="AL199" s="258"/>
      <c r="AM199" s="258"/>
      <c r="AN199" s="258"/>
    </row>
    <row r="200" spans="1:40" hidden="1" x14ac:dyDescent="0.25">
      <c r="A200" s="262"/>
      <c r="B200" s="252"/>
      <c r="C200" s="188"/>
      <c r="D200" s="168" t="e">
        <f>SUM(D193:D199)</f>
        <v>#REF!</v>
      </c>
      <c r="E200" s="168" t="e">
        <f t="shared" ref="E200:I200" si="86">SUM(E193:E199)</f>
        <v>#REF!</v>
      </c>
      <c r="F200" s="168" t="e">
        <f t="shared" si="86"/>
        <v>#REF!</v>
      </c>
      <c r="G200" s="168" t="e">
        <f t="shared" si="86"/>
        <v>#REF!</v>
      </c>
      <c r="H200" s="168" t="e">
        <f t="shared" si="86"/>
        <v>#REF!</v>
      </c>
      <c r="I200" s="168" t="e">
        <f t="shared" si="86"/>
        <v>#REF!</v>
      </c>
      <c r="J200" s="262"/>
      <c r="K200" s="262"/>
      <c r="L200" s="201"/>
      <c r="M200" s="201"/>
      <c r="N200" s="201"/>
      <c r="O200" s="201"/>
      <c r="P200" s="201"/>
      <c r="Q200" s="201"/>
      <c r="R200" s="121"/>
      <c r="S200" s="121"/>
      <c r="T200" s="121"/>
      <c r="U200" s="121"/>
      <c r="V200" s="121"/>
      <c r="W200" s="121"/>
      <c r="X200" s="121"/>
      <c r="Y200" s="121"/>
      <c r="Z200" s="121"/>
      <c r="AJ200" s="258"/>
      <c r="AK200" s="258"/>
      <c r="AL200" s="258"/>
      <c r="AM200" s="258"/>
      <c r="AN200" s="258"/>
    </row>
    <row r="201" spans="1:40" hidden="1" x14ac:dyDescent="0.25">
      <c r="A201" s="262"/>
      <c r="B201" s="279"/>
      <c r="C201" s="230"/>
      <c r="D201" s="257" t="s">
        <v>774</v>
      </c>
      <c r="E201" s="168" t="e">
        <f>E200-$D$200</f>
        <v>#REF!</v>
      </c>
      <c r="F201" s="168" t="e">
        <f>F200-$D$200</f>
        <v>#REF!</v>
      </c>
      <c r="G201" s="168" t="e">
        <f>G200-$D$200</f>
        <v>#REF!</v>
      </c>
      <c r="H201" s="168" t="e">
        <f>H200-$D$200</f>
        <v>#REF!</v>
      </c>
      <c r="I201" s="168" t="e">
        <f>I200-$D$200</f>
        <v>#REF!</v>
      </c>
      <c r="J201" s="262"/>
      <c r="K201" s="262"/>
      <c r="L201" s="201"/>
      <c r="M201" s="201"/>
      <c r="N201" s="201"/>
      <c r="O201" s="201"/>
      <c r="P201" s="201"/>
      <c r="Q201" s="201"/>
      <c r="R201" s="121"/>
      <c r="S201" s="121"/>
      <c r="V201" s="121"/>
    </row>
    <row r="202" spans="1:40" hidden="1" x14ac:dyDescent="0.25">
      <c r="A202" s="262"/>
      <c r="B202" s="262"/>
      <c r="C202" s="201"/>
      <c r="D202" s="262"/>
      <c r="E202" s="262"/>
      <c r="F202" s="262"/>
      <c r="G202" s="262"/>
      <c r="H202" s="262"/>
      <c r="I202" s="201"/>
      <c r="J202" s="201"/>
      <c r="K202" s="201"/>
      <c r="L202" s="201"/>
      <c r="M202" s="201"/>
      <c r="N202" s="201"/>
      <c r="O202" s="201"/>
      <c r="P202" s="201"/>
      <c r="Q202" s="201"/>
      <c r="R202" s="121"/>
      <c r="S202" s="121"/>
      <c r="V202" s="121"/>
    </row>
    <row r="203" spans="1:40" x14ac:dyDescent="0.25">
      <c r="B203"/>
    </row>
    <row r="204" spans="1:40" x14ac:dyDescent="0.25">
      <c r="B204"/>
    </row>
    <row r="205" spans="1:40" x14ac:dyDescent="0.25">
      <c r="B205"/>
    </row>
    <row r="206" spans="1:40" x14ac:dyDescent="0.25">
      <c r="B206"/>
    </row>
    <row r="207" spans="1:40" x14ac:dyDescent="0.25">
      <c r="B207"/>
    </row>
  </sheetData>
  <sheetProtection algorithmName="SHA-512" hashValue="oYckRmSGwT2K4lHKhpcRt4svyaYNP8fe5l9mbmabPG0ySD+jlj3rkyERFUGbza1LD72Hgr5ZaY520TEe0E/G+g==" saltValue="rjcidVNGkc5TAh+sPgXBU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53" min="1" max="17" man="1"/>
  </rowBreaks>
  <ignoredErrors>
    <ignoredError sqref="D25:I25"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W103"/>
  <sheetViews>
    <sheetView showGridLines="0" zoomScale="80" zoomScaleNormal="80" workbookViewId="0"/>
  </sheetViews>
  <sheetFormatPr defaultColWidth="8.5703125" defaultRowHeight="15" x14ac:dyDescent="0.25"/>
  <cols>
    <col min="1" max="1" width="13.5703125" customWidth="1"/>
    <col min="2" max="2" width="28.7109375" customWidth="1"/>
    <col min="3" max="4" width="12.5703125" customWidth="1"/>
    <col min="5" max="6" width="11.85546875" customWidth="1"/>
    <col min="7" max="7" width="10.42578125" style="415" customWidth="1"/>
    <col min="8" max="8" width="11.85546875" customWidth="1"/>
    <col min="9" max="9" width="12.5703125" customWidth="1"/>
    <col min="10" max="10" width="11" customWidth="1"/>
    <col min="11" max="11" width="10.140625" customWidth="1"/>
    <col min="12" max="12" width="2.85546875" customWidth="1"/>
    <col min="13" max="13" width="10.140625" customWidth="1"/>
    <col min="14" max="14" width="14.7109375" customWidth="1"/>
    <col min="15" max="15" width="9" hidden="1" customWidth="1"/>
    <col min="16" max="16" width="15.28515625" hidden="1" customWidth="1"/>
    <col min="17" max="17" width="13.42578125" hidden="1" customWidth="1"/>
    <col min="18" max="18" width="14.42578125" hidden="1" customWidth="1"/>
    <col min="19" max="19" width="11.5703125" hidden="1" customWidth="1"/>
    <col min="20" max="20" width="2.85546875" customWidth="1"/>
    <col min="21" max="21" width="47.42578125" bestFit="1" customWidth="1"/>
    <col min="22" max="22" width="10" customWidth="1"/>
    <col min="23" max="23" width="0.85546875" customWidth="1"/>
  </cols>
  <sheetData>
    <row r="1" spans="1:23" ht="21" customHeight="1" x14ac:dyDescent="0.25">
      <c r="A1" s="549" t="s">
        <v>779</v>
      </c>
      <c r="B1" s="549"/>
      <c r="C1" s="549"/>
      <c r="D1" s="549"/>
      <c r="E1" s="549"/>
      <c r="F1" s="549"/>
      <c r="G1" s="549"/>
      <c r="H1" s="549"/>
      <c r="I1" s="549"/>
      <c r="J1" s="549"/>
      <c r="K1" s="549"/>
      <c r="L1" s="549"/>
      <c r="M1" s="549"/>
      <c r="N1" s="549"/>
      <c r="O1" s="549"/>
      <c r="P1" s="549"/>
      <c r="Q1" s="549"/>
      <c r="R1" s="549"/>
      <c r="S1" s="549"/>
      <c r="T1" s="549"/>
      <c r="U1" s="549"/>
      <c r="V1" s="549"/>
      <c r="W1" s="549"/>
    </row>
    <row r="2" spans="1:23" ht="14.45" customHeight="1" x14ac:dyDescent="0.25">
      <c r="A2" s="117"/>
      <c r="B2" s="117"/>
      <c r="C2" s="117"/>
      <c r="D2" s="117"/>
      <c r="E2" s="117"/>
      <c r="F2" s="117"/>
      <c r="G2" s="117"/>
      <c r="H2" s="117"/>
      <c r="I2" s="117"/>
      <c r="J2" s="117"/>
      <c r="K2" s="117"/>
      <c r="M2" s="117"/>
      <c r="N2" s="117"/>
      <c r="O2" s="117"/>
    </row>
    <row r="3" spans="1:23" ht="14.45" customHeight="1" x14ac:dyDescent="0.25">
      <c r="A3" s="831" t="s">
        <v>2147</v>
      </c>
      <c r="B3" s="117"/>
      <c r="C3" s="117"/>
      <c r="D3" s="117"/>
      <c r="E3" s="117"/>
      <c r="F3" s="117"/>
      <c r="G3" s="117"/>
      <c r="H3" s="117"/>
      <c r="I3" s="117"/>
      <c r="J3" s="117"/>
      <c r="K3" s="117"/>
      <c r="M3" s="117"/>
      <c r="N3" s="117"/>
      <c r="O3" s="117"/>
    </row>
    <row r="4" spans="1:23" ht="14.45" customHeight="1" thickBot="1" x14ac:dyDescent="0.3">
      <c r="A4" s="117"/>
      <c r="B4" s="117"/>
      <c r="C4" s="117"/>
      <c r="D4" s="117"/>
      <c r="E4" s="117"/>
      <c r="F4" s="117"/>
      <c r="G4" s="117"/>
      <c r="H4" s="117"/>
      <c r="I4" s="117"/>
      <c r="J4" s="117"/>
      <c r="K4" s="117"/>
      <c r="M4" s="117"/>
      <c r="N4" s="117"/>
      <c r="O4" s="117"/>
      <c r="P4" t="s">
        <v>2150</v>
      </c>
    </row>
    <row r="5" spans="1:23" ht="14.45" customHeight="1" x14ac:dyDescent="0.25">
      <c r="A5" s="117"/>
      <c r="B5" s="557" t="s">
        <v>6</v>
      </c>
      <c r="C5" s="558"/>
      <c r="D5" s="117"/>
      <c r="E5" s="117"/>
      <c r="F5" s="117"/>
      <c r="G5" s="117"/>
      <c r="H5" s="117"/>
      <c r="I5" s="117"/>
      <c r="J5" s="117"/>
      <c r="K5" s="117"/>
      <c r="M5" s="117"/>
      <c r="N5" s="117"/>
      <c r="O5" s="117"/>
      <c r="P5" t="s">
        <v>781</v>
      </c>
    </row>
    <row r="6" spans="1:23" ht="14.45" customHeight="1" x14ac:dyDescent="0.25">
      <c r="A6" s="117"/>
      <c r="B6" s="559" t="s">
        <v>780</v>
      </c>
      <c r="C6" s="575" t="s">
        <v>781</v>
      </c>
      <c r="D6" s="560" t="s">
        <v>2146</v>
      </c>
      <c r="E6" s="117"/>
      <c r="F6" s="117"/>
      <c r="G6" s="117"/>
      <c r="H6" s="117"/>
      <c r="I6" s="117"/>
      <c r="J6" s="117"/>
      <c r="K6" s="117"/>
      <c r="M6" s="117"/>
      <c r="N6" s="117"/>
      <c r="O6" s="117"/>
      <c r="P6" t="s">
        <v>801</v>
      </c>
    </row>
    <row r="7" spans="1:23" ht="14.45" customHeight="1" x14ac:dyDescent="0.25">
      <c r="A7" s="117"/>
      <c r="B7" s="559" t="s">
        <v>782</v>
      </c>
      <c r="C7" s="576">
        <v>5000</v>
      </c>
      <c r="D7" s="117"/>
      <c r="E7" s="117"/>
      <c r="F7" s="117"/>
      <c r="G7" s="117"/>
      <c r="H7" s="117"/>
      <c r="I7" s="117"/>
      <c r="J7" s="117"/>
      <c r="K7" s="117"/>
      <c r="M7" s="117"/>
      <c r="N7" s="117"/>
      <c r="O7" s="117"/>
      <c r="P7" t="s">
        <v>804</v>
      </c>
    </row>
    <row r="8" spans="1:23" ht="14.45" customHeight="1" x14ac:dyDescent="0.25">
      <c r="A8" s="117"/>
      <c r="B8" s="559" t="s">
        <v>783</v>
      </c>
      <c r="C8" s="577">
        <v>0.15</v>
      </c>
      <c r="D8" s="117"/>
      <c r="E8" s="117"/>
      <c r="F8" s="117"/>
      <c r="G8" s="117"/>
      <c r="H8" s="117"/>
      <c r="I8" s="117"/>
      <c r="J8" s="117"/>
      <c r="K8" s="117"/>
      <c r="M8" s="117"/>
      <c r="N8" s="117"/>
      <c r="O8" s="117"/>
      <c r="P8" t="s">
        <v>807</v>
      </c>
    </row>
    <row r="9" spans="1:23" ht="14.45" customHeight="1" x14ac:dyDescent="0.25">
      <c r="A9" s="117"/>
      <c r="B9" s="559" t="s">
        <v>784</v>
      </c>
      <c r="C9" s="577">
        <v>0.23780000000000001</v>
      </c>
      <c r="D9" s="117"/>
      <c r="E9" s="117"/>
      <c r="F9" s="117"/>
      <c r="G9" s="117"/>
      <c r="H9" s="117"/>
      <c r="I9" s="117"/>
      <c r="J9" s="117"/>
      <c r="K9" s="117"/>
      <c r="M9" s="117"/>
      <c r="N9" s="117"/>
      <c r="O9" s="117"/>
    </row>
    <row r="10" spans="1:23" ht="14.45" customHeight="1" thickBot="1" x14ac:dyDescent="0.3">
      <c r="A10" s="117"/>
      <c r="B10" s="561" t="s">
        <v>785</v>
      </c>
      <c r="C10" s="578">
        <v>5.0000000000000001E-3</v>
      </c>
      <c r="D10" s="117"/>
      <c r="E10" s="117"/>
      <c r="F10" s="117"/>
      <c r="G10" s="117"/>
      <c r="H10" s="117"/>
      <c r="I10" s="117"/>
      <c r="J10" s="117"/>
      <c r="K10" s="117"/>
      <c r="M10" s="117"/>
      <c r="N10" s="117"/>
      <c r="O10" s="117"/>
    </row>
    <row r="11" spans="1:23" ht="15.75" thickBot="1" x14ac:dyDescent="0.3">
      <c r="M11" s="846" t="s">
        <v>2165</v>
      </c>
      <c r="N11" s="845"/>
      <c r="P11" t="s">
        <v>2149</v>
      </c>
      <c r="Q11" s="563"/>
      <c r="S11" s="563"/>
    </row>
    <row r="12" spans="1:23" ht="109.7" customHeight="1" thickBot="1" x14ac:dyDescent="0.3">
      <c r="A12" s="564" t="s">
        <v>786</v>
      </c>
      <c r="B12" s="565" t="s">
        <v>787</v>
      </c>
      <c r="C12" s="566" t="s">
        <v>2144</v>
      </c>
      <c r="D12" s="566" t="s">
        <v>788</v>
      </c>
      <c r="E12" s="566" t="s">
        <v>789</v>
      </c>
      <c r="F12" s="567" t="s">
        <v>2145</v>
      </c>
      <c r="G12" s="568" t="s">
        <v>790</v>
      </c>
      <c r="H12" s="569" t="s">
        <v>2156</v>
      </c>
      <c r="I12" s="817" t="s">
        <v>2148</v>
      </c>
      <c r="J12" s="817" t="s">
        <v>2164</v>
      </c>
      <c r="K12" s="833" t="s">
        <v>2151</v>
      </c>
      <c r="M12" s="843" t="s">
        <v>2155</v>
      </c>
      <c r="N12" s="844" t="s">
        <v>791</v>
      </c>
      <c r="P12" s="832" t="s">
        <v>781</v>
      </c>
      <c r="Q12" s="832" t="s">
        <v>792</v>
      </c>
      <c r="R12" s="832" t="s">
        <v>793</v>
      </c>
      <c r="S12" s="832" t="s">
        <v>794</v>
      </c>
      <c r="U12" s="850" t="s">
        <v>2152</v>
      </c>
      <c r="V12" s="851"/>
      <c r="W12" s="852"/>
    </row>
    <row r="13" spans="1:23" x14ac:dyDescent="0.25">
      <c r="A13" s="570">
        <v>2</v>
      </c>
      <c r="B13" s="571" t="s">
        <v>795</v>
      </c>
      <c r="C13" s="822">
        <f>HLOOKUP($C$6,$P$12:$S$42,2,FALSE)</f>
        <v>24465</v>
      </c>
      <c r="D13" s="822">
        <f>(C13-$C$7)*$C$8</f>
        <v>2919.75</v>
      </c>
      <c r="E13" s="822">
        <f t="shared" ref="E13:E42" si="0">C13*$C$9</f>
        <v>5817.777</v>
      </c>
      <c r="F13" s="823">
        <f t="shared" ref="F13:F48" si="1">C13*$C$10</f>
        <v>122.325</v>
      </c>
      <c r="G13" s="824">
        <f>SUM(C13:F13)</f>
        <v>33324.851999999999</v>
      </c>
      <c r="H13" s="834">
        <v>1560</v>
      </c>
      <c r="I13" s="818">
        <v>1</v>
      </c>
      <c r="J13" s="579">
        <f>H13*I13</f>
        <v>1560</v>
      </c>
      <c r="K13" s="835">
        <f>ROUND(G13/H13,2)</f>
        <v>21.36</v>
      </c>
      <c r="M13" s="839">
        <v>0.41</v>
      </c>
      <c r="N13" s="572">
        <v>0.83</v>
      </c>
      <c r="P13" s="562">
        <v>24465</v>
      </c>
      <c r="Q13" s="258">
        <v>30074</v>
      </c>
      <c r="R13" s="258">
        <v>29179</v>
      </c>
      <c r="S13" s="258">
        <v>25768</v>
      </c>
      <c r="U13" s="147"/>
      <c r="W13" s="146"/>
    </row>
    <row r="14" spans="1:23" x14ac:dyDescent="0.25">
      <c r="A14" s="422">
        <v>2</v>
      </c>
      <c r="B14" s="416" t="s">
        <v>796</v>
      </c>
      <c r="C14" s="822">
        <f>HLOOKUP($C$6,$P$12:$S$42,3,FALSE)</f>
        <v>24465</v>
      </c>
      <c r="D14" s="825">
        <f t="shared" ref="D14:D48" si="2">(C14-$C$7)*$C$8</f>
        <v>2919.75</v>
      </c>
      <c r="E14" s="825">
        <f t="shared" si="0"/>
        <v>5817.777</v>
      </c>
      <c r="F14" s="826">
        <f t="shared" si="1"/>
        <v>122.325</v>
      </c>
      <c r="G14" s="824">
        <f>SUM(C14:F14)</f>
        <v>33324.851999999999</v>
      </c>
      <c r="H14" s="836">
        <v>1560</v>
      </c>
      <c r="I14" s="818">
        <v>1</v>
      </c>
      <c r="J14" s="579">
        <f t="shared" ref="J14:J48" si="3">H14*I14</f>
        <v>1560</v>
      </c>
      <c r="K14" s="835">
        <f t="shared" ref="K14:K48" si="4">ROUND(G14/H14,2)</f>
        <v>21.36</v>
      </c>
      <c r="M14" s="840">
        <v>0.41</v>
      </c>
      <c r="N14" s="546">
        <v>0.83</v>
      </c>
      <c r="P14" s="562">
        <v>24465</v>
      </c>
      <c r="Q14" s="258">
        <v>30074</v>
      </c>
      <c r="R14" s="258">
        <v>29179</v>
      </c>
      <c r="S14" s="258">
        <v>25768</v>
      </c>
      <c r="U14" s="445" t="s">
        <v>797</v>
      </c>
      <c r="W14" s="146"/>
    </row>
    <row r="15" spans="1:23" x14ac:dyDescent="0.25">
      <c r="A15" s="422">
        <v>3</v>
      </c>
      <c r="B15" s="416" t="s">
        <v>798</v>
      </c>
      <c r="C15" s="822">
        <f>HLOOKUP($C$6,$P$12:$S$42,4,FALSE)</f>
        <v>24937</v>
      </c>
      <c r="D15" s="825">
        <f t="shared" si="2"/>
        <v>2990.5499999999997</v>
      </c>
      <c r="E15" s="825">
        <f t="shared" si="0"/>
        <v>5930.0186000000003</v>
      </c>
      <c r="F15" s="826">
        <f t="shared" si="1"/>
        <v>124.685</v>
      </c>
      <c r="G15" s="824">
        <f t="shared" ref="G15:G48" si="5">SUM(C15:F15)</f>
        <v>33982.253599999996</v>
      </c>
      <c r="H15" s="836">
        <v>1560</v>
      </c>
      <c r="I15" s="818">
        <v>1</v>
      </c>
      <c r="J15" s="579">
        <f t="shared" si="3"/>
        <v>1560</v>
      </c>
      <c r="K15" s="835">
        <f t="shared" si="4"/>
        <v>21.78</v>
      </c>
      <c r="M15" s="840">
        <v>0.35</v>
      </c>
      <c r="N15" s="546">
        <v>0.69</v>
      </c>
      <c r="P15" s="562">
        <v>24937</v>
      </c>
      <c r="Q15" s="258">
        <v>30546</v>
      </c>
      <c r="R15" s="258">
        <v>29651</v>
      </c>
      <c r="S15" s="258">
        <v>26240</v>
      </c>
      <c r="U15" s="446" t="s">
        <v>799</v>
      </c>
      <c r="V15" s="820">
        <v>260</v>
      </c>
      <c r="W15" s="146"/>
    </row>
    <row r="16" spans="1:23" x14ac:dyDescent="0.25">
      <c r="A16" s="422">
        <v>3</v>
      </c>
      <c r="B16" s="416" t="s">
        <v>800</v>
      </c>
      <c r="C16" s="822">
        <f>HLOOKUP($C$6,$P$12:$S$42,5,FALSE)</f>
        <v>26598</v>
      </c>
      <c r="D16" s="825">
        <f t="shared" si="2"/>
        <v>3239.7</v>
      </c>
      <c r="E16" s="825">
        <f t="shared" si="0"/>
        <v>6325.0044000000007</v>
      </c>
      <c r="F16" s="826">
        <f t="shared" si="1"/>
        <v>132.99</v>
      </c>
      <c r="G16" s="824">
        <f t="shared" si="5"/>
        <v>36295.6944</v>
      </c>
      <c r="H16" s="836">
        <v>1560</v>
      </c>
      <c r="I16" s="818">
        <v>1</v>
      </c>
      <c r="J16" s="579">
        <f t="shared" si="3"/>
        <v>1560</v>
      </c>
      <c r="K16" s="835">
        <f t="shared" si="4"/>
        <v>23.27</v>
      </c>
      <c r="M16" s="840">
        <v>0.35</v>
      </c>
      <c r="N16" s="546">
        <v>0.69</v>
      </c>
      <c r="P16" s="562">
        <v>26598</v>
      </c>
      <c r="Q16" s="258">
        <v>32207</v>
      </c>
      <c r="R16" s="258">
        <v>31312</v>
      </c>
      <c r="S16" s="258">
        <v>27928</v>
      </c>
      <c r="U16" s="446" t="s">
        <v>802</v>
      </c>
      <c r="V16" s="820">
        <v>-40</v>
      </c>
      <c r="W16" s="146"/>
    </row>
    <row r="17" spans="1:23" x14ac:dyDescent="0.25">
      <c r="A17" s="422">
        <v>4</v>
      </c>
      <c r="B17" s="416" t="s">
        <v>803</v>
      </c>
      <c r="C17" s="822">
        <f>HLOOKUP($C$6,$P$12:$S$42,6,FALSE)</f>
        <v>27485</v>
      </c>
      <c r="D17" s="825">
        <f t="shared" si="2"/>
        <v>3372.75</v>
      </c>
      <c r="E17" s="825">
        <f t="shared" si="0"/>
        <v>6535.933</v>
      </c>
      <c r="F17" s="826">
        <f t="shared" si="1"/>
        <v>137.42500000000001</v>
      </c>
      <c r="G17" s="824">
        <f t="shared" si="5"/>
        <v>37531.108</v>
      </c>
      <c r="H17" s="836">
        <v>1560</v>
      </c>
      <c r="I17" s="818">
        <v>1</v>
      </c>
      <c r="J17" s="579">
        <f t="shared" si="3"/>
        <v>1560</v>
      </c>
      <c r="K17" s="835">
        <f t="shared" si="4"/>
        <v>24.06</v>
      </c>
      <c r="M17" s="840">
        <v>0.3</v>
      </c>
      <c r="N17" s="546">
        <v>0.6</v>
      </c>
      <c r="P17" s="562">
        <v>27485</v>
      </c>
      <c r="Q17" s="258">
        <v>33094</v>
      </c>
      <c r="R17" s="258">
        <v>32199</v>
      </c>
      <c r="S17" s="258">
        <v>28860</v>
      </c>
      <c r="U17" s="446" t="s">
        <v>805</v>
      </c>
      <c r="V17" s="820">
        <v>-2</v>
      </c>
      <c r="W17" s="146"/>
    </row>
    <row r="18" spans="1:23" x14ac:dyDescent="0.25">
      <c r="A18" s="422">
        <v>4</v>
      </c>
      <c r="B18" s="416" t="s">
        <v>806</v>
      </c>
      <c r="C18" s="822">
        <f>HLOOKUP($C$6,$P$12:$S$42,7,FALSE)</f>
        <v>30162</v>
      </c>
      <c r="D18" s="825">
        <f t="shared" si="2"/>
        <v>3774.2999999999997</v>
      </c>
      <c r="E18" s="825">
        <f t="shared" si="0"/>
        <v>7172.5236000000004</v>
      </c>
      <c r="F18" s="826">
        <f t="shared" si="1"/>
        <v>150.81</v>
      </c>
      <c r="G18" s="824">
        <f t="shared" si="5"/>
        <v>41259.633600000001</v>
      </c>
      <c r="H18" s="836">
        <v>1560</v>
      </c>
      <c r="I18" s="818">
        <v>1</v>
      </c>
      <c r="J18" s="579">
        <f t="shared" si="3"/>
        <v>1560</v>
      </c>
      <c r="K18" s="835">
        <f t="shared" si="4"/>
        <v>26.45</v>
      </c>
      <c r="M18" s="840">
        <v>0.3</v>
      </c>
      <c r="N18" s="546">
        <v>0.6</v>
      </c>
      <c r="P18" s="562">
        <v>30162</v>
      </c>
      <c r="Q18" s="258">
        <v>36195</v>
      </c>
      <c r="R18" s="258">
        <v>34876</v>
      </c>
      <c r="S18" s="258">
        <v>31671</v>
      </c>
      <c r="U18" s="446" t="s">
        <v>808</v>
      </c>
      <c r="V18" s="820">
        <v>-10</v>
      </c>
      <c r="W18" s="146"/>
    </row>
    <row r="19" spans="1:23" x14ac:dyDescent="0.25">
      <c r="A19" s="422">
        <v>5</v>
      </c>
      <c r="B19" s="416" t="s">
        <v>809</v>
      </c>
      <c r="C19" s="822">
        <f>HLOOKUP($C$6,$P$12:$S$42,8,FALSE)</f>
        <v>31049</v>
      </c>
      <c r="D19" s="825">
        <f t="shared" si="2"/>
        <v>3907.35</v>
      </c>
      <c r="E19" s="825">
        <f t="shared" si="0"/>
        <v>7383.4522000000006</v>
      </c>
      <c r="F19" s="826">
        <f t="shared" si="1"/>
        <v>155.245</v>
      </c>
      <c r="G19" s="824">
        <f t="shared" si="5"/>
        <v>42495.047200000001</v>
      </c>
      <c r="H19" s="836">
        <v>1560</v>
      </c>
      <c r="I19" s="818">
        <v>1</v>
      </c>
      <c r="J19" s="579">
        <f t="shared" si="3"/>
        <v>1560</v>
      </c>
      <c r="K19" s="835">
        <f t="shared" si="4"/>
        <v>27.24</v>
      </c>
      <c r="M19" s="840">
        <v>0.3</v>
      </c>
      <c r="N19" s="546">
        <v>0.6</v>
      </c>
      <c r="P19" s="562">
        <v>31049</v>
      </c>
      <c r="Q19" s="258">
        <v>37259</v>
      </c>
      <c r="R19" s="258">
        <v>35763</v>
      </c>
      <c r="S19" s="258">
        <v>32602</v>
      </c>
      <c r="U19" s="446"/>
      <c r="V19" s="726">
        <v>208</v>
      </c>
      <c r="W19" s="146"/>
    </row>
    <row r="20" spans="1:23" x14ac:dyDescent="0.25">
      <c r="A20" s="422">
        <v>5</v>
      </c>
      <c r="B20" s="416" t="s">
        <v>810</v>
      </c>
      <c r="C20" s="822">
        <f>HLOOKUP($C$6,$P$12:$S$42,9,FALSE)</f>
        <v>33487</v>
      </c>
      <c r="D20" s="825">
        <f t="shared" si="2"/>
        <v>4273.05</v>
      </c>
      <c r="E20" s="825">
        <f t="shared" si="0"/>
        <v>7963.2085999999999</v>
      </c>
      <c r="F20" s="826">
        <f t="shared" si="1"/>
        <v>167.435</v>
      </c>
      <c r="G20" s="824">
        <f t="shared" si="5"/>
        <v>45890.693599999999</v>
      </c>
      <c r="H20" s="836">
        <v>1560</v>
      </c>
      <c r="I20" s="818">
        <v>1</v>
      </c>
      <c r="J20" s="579">
        <f t="shared" si="3"/>
        <v>1560</v>
      </c>
      <c r="K20" s="835">
        <f t="shared" si="4"/>
        <v>29.42</v>
      </c>
      <c r="M20" s="840">
        <v>0.3</v>
      </c>
      <c r="N20" s="546">
        <v>0.6</v>
      </c>
      <c r="P20" s="562">
        <v>33487</v>
      </c>
      <c r="Q20" s="258">
        <v>40185</v>
      </c>
      <c r="R20" s="258">
        <v>38511</v>
      </c>
      <c r="S20" s="258">
        <v>35162</v>
      </c>
      <c r="U20" s="446" t="s">
        <v>811</v>
      </c>
      <c r="V20" s="319">
        <f>7.5*V19</f>
        <v>1560</v>
      </c>
      <c r="W20" s="146"/>
    </row>
    <row r="21" spans="1:23" x14ac:dyDescent="0.25">
      <c r="A21" s="422">
        <v>5</v>
      </c>
      <c r="B21" s="416" t="s">
        <v>812</v>
      </c>
      <c r="C21" s="822">
        <f>HLOOKUP($C$6,$P$12:$S$42,10,FALSE)</f>
        <v>37796</v>
      </c>
      <c r="D21" s="825">
        <f t="shared" si="2"/>
        <v>4919.3999999999996</v>
      </c>
      <c r="E21" s="825">
        <f t="shared" si="0"/>
        <v>8987.8888000000006</v>
      </c>
      <c r="F21" s="826">
        <f t="shared" si="1"/>
        <v>188.98</v>
      </c>
      <c r="G21" s="824">
        <f t="shared" si="5"/>
        <v>51892.268800000005</v>
      </c>
      <c r="H21" s="836">
        <v>1560</v>
      </c>
      <c r="I21" s="818">
        <v>1</v>
      </c>
      <c r="J21" s="579">
        <f t="shared" si="3"/>
        <v>1560</v>
      </c>
      <c r="K21" s="835">
        <f t="shared" si="4"/>
        <v>33.26</v>
      </c>
      <c r="M21" s="840">
        <v>0.3</v>
      </c>
      <c r="N21" s="546">
        <v>0.6</v>
      </c>
      <c r="P21" s="562">
        <v>37796</v>
      </c>
      <c r="Q21" s="258">
        <v>45356</v>
      </c>
      <c r="R21" s="258">
        <v>43466</v>
      </c>
      <c r="S21" s="258">
        <v>39686</v>
      </c>
      <c r="U21" s="147"/>
      <c r="W21" s="146"/>
    </row>
    <row r="22" spans="1:23" x14ac:dyDescent="0.25">
      <c r="A22" s="422">
        <v>6</v>
      </c>
      <c r="B22" s="416" t="s">
        <v>813</v>
      </c>
      <c r="C22" s="822">
        <f>HLOOKUP($C$6,$P$12:$S$42,11,FALSE)</f>
        <v>38682</v>
      </c>
      <c r="D22" s="825">
        <f t="shared" si="2"/>
        <v>5052.3</v>
      </c>
      <c r="E22" s="825">
        <f t="shared" si="0"/>
        <v>9198.5796000000009</v>
      </c>
      <c r="F22" s="826">
        <f t="shared" si="1"/>
        <v>193.41</v>
      </c>
      <c r="G22" s="824">
        <f t="shared" si="5"/>
        <v>53126.289600000004</v>
      </c>
      <c r="H22" s="836">
        <v>1560</v>
      </c>
      <c r="I22" s="818">
        <v>1</v>
      </c>
      <c r="J22" s="579">
        <f t="shared" si="3"/>
        <v>1560</v>
      </c>
      <c r="K22" s="835">
        <f t="shared" si="4"/>
        <v>34.06</v>
      </c>
      <c r="M22" s="840">
        <v>0.3</v>
      </c>
      <c r="N22" s="546">
        <v>0.6</v>
      </c>
      <c r="P22" s="562">
        <v>38682</v>
      </c>
      <c r="Q22" s="258">
        <v>46419</v>
      </c>
      <c r="R22" s="258">
        <v>44485</v>
      </c>
      <c r="S22" s="258">
        <v>40617</v>
      </c>
      <c r="U22" s="446"/>
      <c r="W22" s="146"/>
    </row>
    <row r="23" spans="1:23" x14ac:dyDescent="0.25">
      <c r="A23" s="422">
        <v>6</v>
      </c>
      <c r="B23" s="416" t="s">
        <v>667</v>
      </c>
      <c r="C23" s="822">
        <f>HLOOKUP($C$6,$P$12:$S$42,12,FALSE)</f>
        <v>40823</v>
      </c>
      <c r="D23" s="825">
        <f t="shared" si="2"/>
        <v>5373.45</v>
      </c>
      <c r="E23" s="825">
        <f t="shared" si="0"/>
        <v>9707.7093999999997</v>
      </c>
      <c r="F23" s="826">
        <f t="shared" si="1"/>
        <v>204.11500000000001</v>
      </c>
      <c r="G23" s="824">
        <f t="shared" si="5"/>
        <v>56108.274399999995</v>
      </c>
      <c r="H23" s="836">
        <v>1560</v>
      </c>
      <c r="I23" s="818">
        <v>1</v>
      </c>
      <c r="J23" s="579">
        <f t="shared" si="3"/>
        <v>1560</v>
      </c>
      <c r="K23" s="835">
        <f t="shared" si="4"/>
        <v>35.97</v>
      </c>
      <c r="M23" s="840">
        <v>0.3</v>
      </c>
      <c r="N23" s="546">
        <v>0.6</v>
      </c>
      <c r="P23" s="562">
        <v>40823</v>
      </c>
      <c r="Q23" s="258">
        <v>48988</v>
      </c>
      <c r="R23" s="258">
        <v>46764</v>
      </c>
      <c r="S23" s="258">
        <v>42865</v>
      </c>
      <c r="U23" s="445" t="s">
        <v>814</v>
      </c>
      <c r="W23" s="146"/>
    </row>
    <row r="24" spans="1:23" x14ac:dyDescent="0.25">
      <c r="A24" s="422">
        <v>6</v>
      </c>
      <c r="B24" s="416" t="s">
        <v>815</v>
      </c>
      <c r="C24" s="822">
        <f>HLOOKUP($C$6,$P$12:$S$42,13,FALSE)</f>
        <v>46580</v>
      </c>
      <c r="D24" s="825">
        <f t="shared" si="2"/>
        <v>6237</v>
      </c>
      <c r="E24" s="825">
        <f t="shared" si="0"/>
        <v>11076.724</v>
      </c>
      <c r="F24" s="826">
        <f t="shared" si="1"/>
        <v>232.9</v>
      </c>
      <c r="G24" s="824">
        <f t="shared" si="5"/>
        <v>64126.624000000003</v>
      </c>
      <c r="H24" s="836">
        <v>1560</v>
      </c>
      <c r="I24" s="818">
        <v>1</v>
      </c>
      <c r="J24" s="579">
        <f t="shared" si="3"/>
        <v>1560</v>
      </c>
      <c r="K24" s="835">
        <f t="shared" si="4"/>
        <v>41.11</v>
      </c>
      <c r="M24" s="840">
        <v>0.3</v>
      </c>
      <c r="N24" s="546">
        <v>0.6</v>
      </c>
      <c r="P24" s="562">
        <v>46580</v>
      </c>
      <c r="Q24" s="258">
        <v>55046</v>
      </c>
      <c r="R24" s="258">
        <v>52521</v>
      </c>
      <c r="S24" s="258">
        <v>48778</v>
      </c>
      <c r="U24" s="446" t="s">
        <v>816</v>
      </c>
      <c r="V24" s="820">
        <v>43</v>
      </c>
      <c r="W24" s="146"/>
    </row>
    <row r="25" spans="1:23" x14ac:dyDescent="0.25">
      <c r="A25" s="422">
        <v>7</v>
      </c>
      <c r="B25" s="416" t="s">
        <v>817</v>
      </c>
      <c r="C25" s="822">
        <f>HLOOKUP($C$6,$P$12:$S$42,14,FALSE)</f>
        <v>47810</v>
      </c>
      <c r="D25" s="825">
        <f t="shared" si="2"/>
        <v>6421.5</v>
      </c>
      <c r="E25" s="825">
        <f t="shared" si="0"/>
        <v>11369.218000000001</v>
      </c>
      <c r="F25" s="826">
        <f t="shared" si="1"/>
        <v>239.05</v>
      </c>
      <c r="G25" s="824">
        <f t="shared" si="5"/>
        <v>65839.767999999996</v>
      </c>
      <c r="H25" s="836">
        <v>1560</v>
      </c>
      <c r="I25" s="818">
        <v>1</v>
      </c>
      <c r="J25" s="579">
        <f t="shared" si="3"/>
        <v>1560</v>
      </c>
      <c r="K25" s="835">
        <f t="shared" si="4"/>
        <v>42.2</v>
      </c>
      <c r="M25" s="840">
        <v>0.3</v>
      </c>
      <c r="N25" s="546">
        <v>0.6</v>
      </c>
      <c r="P25" s="562">
        <v>47810</v>
      </c>
      <c r="Q25" s="258">
        <v>56276</v>
      </c>
      <c r="R25" s="258">
        <v>53751</v>
      </c>
      <c r="S25" s="258">
        <v>50008</v>
      </c>
      <c r="U25" s="446" t="s">
        <v>818</v>
      </c>
      <c r="V25" s="820">
        <v>10</v>
      </c>
      <c r="W25" s="146"/>
    </row>
    <row r="26" spans="1:23" x14ac:dyDescent="0.25">
      <c r="A26" s="422">
        <v>7</v>
      </c>
      <c r="B26" s="416" t="s">
        <v>657</v>
      </c>
      <c r="C26" s="822">
        <f>HLOOKUP($C$6,$P$12:$S$42,15,FALSE)</f>
        <v>50273</v>
      </c>
      <c r="D26" s="825">
        <f t="shared" si="2"/>
        <v>6790.95</v>
      </c>
      <c r="E26" s="825">
        <f t="shared" si="0"/>
        <v>11954.919400000001</v>
      </c>
      <c r="F26" s="826">
        <f t="shared" si="1"/>
        <v>251.36500000000001</v>
      </c>
      <c r="G26" s="824">
        <f t="shared" si="5"/>
        <v>69270.234400000001</v>
      </c>
      <c r="H26" s="836">
        <v>1560</v>
      </c>
      <c r="I26" s="818">
        <v>1</v>
      </c>
      <c r="J26" s="579">
        <f t="shared" si="3"/>
        <v>1560</v>
      </c>
      <c r="K26" s="835">
        <f t="shared" si="4"/>
        <v>44.4</v>
      </c>
      <c r="M26" s="840">
        <v>0.3</v>
      </c>
      <c r="N26" s="546">
        <v>0.6</v>
      </c>
      <c r="P26" s="562">
        <v>50273</v>
      </c>
      <c r="Q26" s="258">
        <v>58739</v>
      </c>
      <c r="R26" s="258">
        <v>56214</v>
      </c>
      <c r="S26" s="258">
        <v>52471</v>
      </c>
      <c r="U26" s="446" t="s">
        <v>2153</v>
      </c>
      <c r="V26" s="820">
        <v>-2</v>
      </c>
      <c r="W26" s="146"/>
    </row>
    <row r="27" spans="1:23" x14ac:dyDescent="0.25">
      <c r="A27" s="422">
        <v>7</v>
      </c>
      <c r="B27" s="416" t="s">
        <v>819</v>
      </c>
      <c r="C27" s="822">
        <f>HLOOKUP($C$6,$P$12:$S$42,16,FALSE)</f>
        <v>54710</v>
      </c>
      <c r="D27" s="825">
        <f t="shared" si="2"/>
        <v>7456.5</v>
      </c>
      <c r="E27" s="825">
        <f t="shared" si="0"/>
        <v>13010.038</v>
      </c>
      <c r="F27" s="826">
        <f t="shared" si="1"/>
        <v>273.55</v>
      </c>
      <c r="G27" s="824">
        <f t="shared" si="5"/>
        <v>75450.088000000003</v>
      </c>
      <c r="H27" s="836">
        <v>1560</v>
      </c>
      <c r="I27" s="818">
        <v>1</v>
      </c>
      <c r="J27" s="579">
        <f t="shared" si="3"/>
        <v>1560</v>
      </c>
      <c r="K27" s="835">
        <f t="shared" si="4"/>
        <v>48.37</v>
      </c>
      <c r="M27" s="840">
        <v>0.3</v>
      </c>
      <c r="N27" s="546">
        <v>0.6</v>
      </c>
      <c r="P27" s="562">
        <v>54710</v>
      </c>
      <c r="Q27" s="258">
        <v>63176</v>
      </c>
      <c r="R27" s="258">
        <v>60651</v>
      </c>
      <c r="S27" s="258">
        <v>56908</v>
      </c>
      <c r="U27" s="446"/>
      <c r="V27" s="726">
        <v>8</v>
      </c>
      <c r="W27" s="146"/>
    </row>
    <row r="28" spans="1:23" x14ac:dyDescent="0.25">
      <c r="A28" s="422" t="s">
        <v>820</v>
      </c>
      <c r="B28" s="416" t="s">
        <v>663</v>
      </c>
      <c r="C28" s="822">
        <f>HLOOKUP($C$6,$P$12:$S$42,17,FALSE)</f>
        <v>55690</v>
      </c>
      <c r="D28" s="825">
        <f t="shared" si="2"/>
        <v>7603.5</v>
      </c>
      <c r="E28" s="825">
        <f t="shared" si="0"/>
        <v>13243.082</v>
      </c>
      <c r="F28" s="826">
        <f t="shared" si="1"/>
        <v>278.45</v>
      </c>
      <c r="G28" s="824">
        <f t="shared" si="5"/>
        <v>76815.031999999992</v>
      </c>
      <c r="H28" s="836">
        <v>1560</v>
      </c>
      <c r="I28" s="818">
        <v>1</v>
      </c>
      <c r="J28" s="579">
        <f t="shared" si="3"/>
        <v>1560</v>
      </c>
      <c r="K28" s="835">
        <f t="shared" si="4"/>
        <v>49.24</v>
      </c>
      <c r="M28" s="840">
        <v>0.3</v>
      </c>
      <c r="N28" s="546">
        <v>0.6</v>
      </c>
      <c r="P28" s="562">
        <v>55690</v>
      </c>
      <c r="Q28" s="258">
        <v>64156</v>
      </c>
      <c r="R28" s="258">
        <v>61631</v>
      </c>
      <c r="S28" s="258">
        <v>57888</v>
      </c>
      <c r="U28" s="446" t="s">
        <v>821</v>
      </c>
      <c r="V28" s="319">
        <f>V27*4*V24</f>
        <v>1376</v>
      </c>
      <c r="W28" s="146"/>
    </row>
    <row r="29" spans="1:23" x14ac:dyDescent="0.25">
      <c r="A29" s="422" t="s">
        <v>820</v>
      </c>
      <c r="B29" s="416" t="s">
        <v>669</v>
      </c>
      <c r="C29" s="822">
        <f>HLOOKUP($C$6,$P$12:$S$42,18,FALSE)</f>
        <v>58487</v>
      </c>
      <c r="D29" s="825">
        <f t="shared" si="2"/>
        <v>8023.0499999999993</v>
      </c>
      <c r="E29" s="825">
        <f t="shared" si="0"/>
        <v>13908.2086</v>
      </c>
      <c r="F29" s="826">
        <f t="shared" si="1"/>
        <v>292.435</v>
      </c>
      <c r="G29" s="824">
        <f t="shared" si="5"/>
        <v>80710.693599999999</v>
      </c>
      <c r="H29" s="836">
        <v>1560</v>
      </c>
      <c r="I29" s="818">
        <v>1</v>
      </c>
      <c r="J29" s="579">
        <f t="shared" si="3"/>
        <v>1560</v>
      </c>
      <c r="K29" s="835">
        <f t="shared" si="4"/>
        <v>51.74</v>
      </c>
      <c r="M29" s="840">
        <v>0.3</v>
      </c>
      <c r="N29" s="546">
        <v>0.6</v>
      </c>
      <c r="P29" s="562">
        <v>58487</v>
      </c>
      <c r="Q29" s="258">
        <v>66953</v>
      </c>
      <c r="R29" s="258">
        <v>64428</v>
      </c>
      <c r="S29" s="258">
        <v>60685</v>
      </c>
      <c r="U29" s="147"/>
      <c r="W29" s="146"/>
    </row>
    <row r="30" spans="1:23" x14ac:dyDescent="0.25">
      <c r="A30" s="422" t="s">
        <v>820</v>
      </c>
      <c r="B30" s="416" t="s">
        <v>822</v>
      </c>
      <c r="C30" s="822">
        <f>HLOOKUP($C$6,$P$12:$S$42,19,FALSE)</f>
        <v>62682</v>
      </c>
      <c r="D30" s="825">
        <f t="shared" si="2"/>
        <v>8652.2999999999993</v>
      </c>
      <c r="E30" s="825">
        <f t="shared" si="0"/>
        <v>14905.7796</v>
      </c>
      <c r="F30" s="826">
        <f t="shared" si="1"/>
        <v>313.41000000000003</v>
      </c>
      <c r="G30" s="824">
        <f t="shared" si="5"/>
        <v>86553.489600000001</v>
      </c>
      <c r="H30" s="836">
        <v>1560</v>
      </c>
      <c r="I30" s="818">
        <v>1</v>
      </c>
      <c r="J30" s="579">
        <f t="shared" si="3"/>
        <v>1560</v>
      </c>
      <c r="K30" s="835">
        <f t="shared" si="4"/>
        <v>55.48</v>
      </c>
      <c r="M30" s="840">
        <v>0.3</v>
      </c>
      <c r="N30" s="546">
        <v>0.6</v>
      </c>
      <c r="P30" s="562">
        <v>62682</v>
      </c>
      <c r="Q30" s="258">
        <v>71148</v>
      </c>
      <c r="R30" s="258">
        <v>68623</v>
      </c>
      <c r="S30" s="258">
        <v>64880</v>
      </c>
      <c r="U30" s="446"/>
      <c r="W30" s="146"/>
    </row>
    <row r="31" spans="1:23" x14ac:dyDescent="0.25">
      <c r="A31" s="422" t="s">
        <v>823</v>
      </c>
      <c r="B31" s="416" t="s">
        <v>824</v>
      </c>
      <c r="C31" s="822">
        <f>HLOOKUP($C$6,$P$12:$S$42,20,FALSE)</f>
        <v>64455</v>
      </c>
      <c r="D31" s="825">
        <f t="shared" si="2"/>
        <v>8918.25</v>
      </c>
      <c r="E31" s="825">
        <f t="shared" si="0"/>
        <v>15327.399000000001</v>
      </c>
      <c r="F31" s="826">
        <f t="shared" si="1"/>
        <v>322.27500000000003</v>
      </c>
      <c r="G31" s="824">
        <f t="shared" si="5"/>
        <v>89022.923999999999</v>
      </c>
      <c r="H31" s="836">
        <v>1560</v>
      </c>
      <c r="I31" s="818">
        <v>1</v>
      </c>
      <c r="J31" s="579">
        <f t="shared" si="3"/>
        <v>1560</v>
      </c>
      <c r="K31" s="835">
        <f t="shared" si="4"/>
        <v>57.07</v>
      </c>
      <c r="M31" s="840">
        <v>0.3</v>
      </c>
      <c r="N31" s="546">
        <v>0.6</v>
      </c>
      <c r="P31" s="562">
        <v>64455</v>
      </c>
      <c r="Q31" s="258">
        <v>72921</v>
      </c>
      <c r="R31" s="258">
        <v>70396</v>
      </c>
      <c r="S31" s="258">
        <v>66653</v>
      </c>
      <c r="U31" s="445" t="s">
        <v>826</v>
      </c>
      <c r="W31" s="146"/>
    </row>
    <row r="32" spans="1:23" x14ac:dyDescent="0.25">
      <c r="A32" s="422" t="s">
        <v>823</v>
      </c>
      <c r="B32" s="416" t="s">
        <v>825</v>
      </c>
      <c r="C32" s="822">
        <f>HLOOKUP($C$6,$P$12:$S$42,21,FALSE)</f>
        <v>68631</v>
      </c>
      <c r="D32" s="825">
        <f t="shared" si="2"/>
        <v>9544.65</v>
      </c>
      <c r="E32" s="825">
        <f t="shared" si="0"/>
        <v>16320.451800000001</v>
      </c>
      <c r="F32" s="826">
        <f t="shared" si="1"/>
        <v>343.15500000000003</v>
      </c>
      <c r="G32" s="824">
        <f t="shared" si="5"/>
        <v>94839.256799999988</v>
      </c>
      <c r="H32" s="836">
        <v>1560</v>
      </c>
      <c r="I32" s="818">
        <v>1</v>
      </c>
      <c r="J32" s="579">
        <f t="shared" si="3"/>
        <v>1560</v>
      </c>
      <c r="K32" s="835">
        <f t="shared" si="4"/>
        <v>60.79</v>
      </c>
      <c r="M32" s="840">
        <v>0.3</v>
      </c>
      <c r="N32" s="546">
        <v>0.6</v>
      </c>
      <c r="P32" s="562">
        <v>68631</v>
      </c>
      <c r="Q32" s="258">
        <v>77097</v>
      </c>
      <c r="R32" s="258">
        <v>74572</v>
      </c>
      <c r="S32" s="258">
        <v>70829</v>
      </c>
      <c r="U32" s="446" t="s">
        <v>828</v>
      </c>
      <c r="V32" s="820">
        <v>44.7</v>
      </c>
      <c r="W32" s="146"/>
    </row>
    <row r="33" spans="1:23" x14ac:dyDescent="0.25">
      <c r="A33" s="422" t="s">
        <v>823</v>
      </c>
      <c r="B33" s="416" t="s">
        <v>827</v>
      </c>
      <c r="C33" s="822">
        <f>HLOOKUP($C$6,$P$12:$S$42,22,FALSE)</f>
        <v>74896</v>
      </c>
      <c r="D33" s="825">
        <f t="shared" si="2"/>
        <v>10484.4</v>
      </c>
      <c r="E33" s="825">
        <f t="shared" si="0"/>
        <v>17810.268800000002</v>
      </c>
      <c r="F33" s="826">
        <f t="shared" si="1"/>
        <v>374.48</v>
      </c>
      <c r="G33" s="824">
        <f t="shared" si="5"/>
        <v>103565.1488</v>
      </c>
      <c r="H33" s="836">
        <v>1560</v>
      </c>
      <c r="I33" s="818">
        <v>1</v>
      </c>
      <c r="J33" s="579">
        <f t="shared" si="3"/>
        <v>1560</v>
      </c>
      <c r="K33" s="835">
        <f t="shared" si="4"/>
        <v>66.39</v>
      </c>
      <c r="M33" s="840">
        <v>0.3</v>
      </c>
      <c r="N33" s="546">
        <v>0.6</v>
      </c>
      <c r="P33" s="562">
        <v>74896</v>
      </c>
      <c r="Q33" s="258">
        <v>83362</v>
      </c>
      <c r="R33" s="258">
        <v>80837</v>
      </c>
      <c r="S33" s="258">
        <v>77094</v>
      </c>
      <c r="U33" s="446" t="s">
        <v>831</v>
      </c>
      <c r="V33" s="820">
        <v>48</v>
      </c>
      <c r="W33" s="146"/>
    </row>
    <row r="34" spans="1:23" x14ac:dyDescent="0.25">
      <c r="A34" s="422" t="s">
        <v>829</v>
      </c>
      <c r="B34" s="416" t="s">
        <v>830</v>
      </c>
      <c r="C34" s="822">
        <f>HLOOKUP($C$6,$P$12:$S$42,23,FALSE)</f>
        <v>76965</v>
      </c>
      <c r="D34" s="825">
        <f t="shared" si="2"/>
        <v>10794.75</v>
      </c>
      <c r="E34" s="825">
        <f t="shared" si="0"/>
        <v>18302.277000000002</v>
      </c>
      <c r="F34" s="826">
        <f t="shared" si="1"/>
        <v>384.82499999999999</v>
      </c>
      <c r="G34" s="824">
        <f t="shared" si="5"/>
        <v>106446.852</v>
      </c>
      <c r="H34" s="836">
        <v>1560</v>
      </c>
      <c r="I34" s="818">
        <v>1</v>
      </c>
      <c r="J34" s="579">
        <f t="shared" si="3"/>
        <v>1560</v>
      </c>
      <c r="K34" s="835">
        <f t="shared" si="4"/>
        <v>68.239999999999995</v>
      </c>
      <c r="M34" s="840">
        <v>0.3</v>
      </c>
      <c r="N34" s="546">
        <v>0.6</v>
      </c>
      <c r="P34" s="562">
        <v>76965</v>
      </c>
      <c r="Q34" s="258">
        <v>85431</v>
      </c>
      <c r="R34" s="258">
        <v>82906</v>
      </c>
      <c r="S34" s="258">
        <v>79163</v>
      </c>
      <c r="U34" s="446" t="s">
        <v>833</v>
      </c>
      <c r="V34" s="820">
        <v>2145.6</v>
      </c>
      <c r="W34" s="146"/>
    </row>
    <row r="35" spans="1:23" x14ac:dyDescent="0.25">
      <c r="A35" s="422" t="s">
        <v>829</v>
      </c>
      <c r="B35" s="416" t="s">
        <v>832</v>
      </c>
      <c r="C35" s="822">
        <f>HLOOKUP($C$6,$P$12:$S$42,24,FALSE)</f>
        <v>81652</v>
      </c>
      <c r="D35" s="825">
        <f t="shared" si="2"/>
        <v>11497.8</v>
      </c>
      <c r="E35" s="825">
        <f t="shared" si="0"/>
        <v>19416.845600000001</v>
      </c>
      <c r="F35" s="826">
        <f t="shared" si="1"/>
        <v>408.26</v>
      </c>
      <c r="G35" s="824">
        <f t="shared" si="5"/>
        <v>112974.9056</v>
      </c>
      <c r="H35" s="836">
        <v>1560</v>
      </c>
      <c r="I35" s="818">
        <v>1</v>
      </c>
      <c r="J35" s="579">
        <f t="shared" si="3"/>
        <v>1560</v>
      </c>
      <c r="K35" s="835">
        <f t="shared" si="4"/>
        <v>72.42</v>
      </c>
      <c r="M35" s="840">
        <v>0.3</v>
      </c>
      <c r="N35" s="546">
        <v>0.6</v>
      </c>
      <c r="P35" s="562">
        <v>81652</v>
      </c>
      <c r="Q35" s="258">
        <v>90118</v>
      </c>
      <c r="R35" s="258">
        <v>87593</v>
      </c>
      <c r="S35" s="258">
        <v>83850</v>
      </c>
      <c r="U35" s="446" t="s">
        <v>2154</v>
      </c>
      <c r="V35" s="821">
        <v>0.6</v>
      </c>
      <c r="W35" s="146"/>
    </row>
    <row r="36" spans="1:23" x14ac:dyDescent="0.25">
      <c r="A36" s="422" t="s">
        <v>829</v>
      </c>
      <c r="B36" s="416" t="s">
        <v>834</v>
      </c>
      <c r="C36" s="822">
        <f>HLOOKUP($C$6,$P$12:$S$42,25,FALSE)</f>
        <v>88682</v>
      </c>
      <c r="D36" s="825">
        <f t="shared" si="2"/>
        <v>12552.3</v>
      </c>
      <c r="E36" s="825">
        <f t="shared" si="0"/>
        <v>21088.579600000001</v>
      </c>
      <c r="F36" s="826">
        <f t="shared" si="1"/>
        <v>443.41</v>
      </c>
      <c r="G36" s="824">
        <f t="shared" si="5"/>
        <v>122766.2896</v>
      </c>
      <c r="H36" s="836">
        <v>1560</v>
      </c>
      <c r="I36" s="818">
        <v>1</v>
      </c>
      <c r="J36" s="579">
        <f t="shared" si="3"/>
        <v>1560</v>
      </c>
      <c r="K36" s="835">
        <f t="shared" si="4"/>
        <v>78.7</v>
      </c>
      <c r="M36" s="840">
        <v>0.3</v>
      </c>
      <c r="N36" s="546">
        <v>0.6</v>
      </c>
      <c r="P36" s="562">
        <v>88682</v>
      </c>
      <c r="Q36" s="258">
        <v>97148</v>
      </c>
      <c r="R36" s="258">
        <v>94623</v>
      </c>
      <c r="S36" s="258">
        <v>90880</v>
      </c>
      <c r="U36" s="446" t="s">
        <v>837</v>
      </c>
      <c r="V36" s="809">
        <f>ROUND(V35*V34,0)</f>
        <v>1287</v>
      </c>
      <c r="W36" s="146"/>
    </row>
    <row r="37" spans="1:23" x14ac:dyDescent="0.25">
      <c r="A37" s="422" t="s">
        <v>835</v>
      </c>
      <c r="B37" s="416" t="s">
        <v>836</v>
      </c>
      <c r="C37" s="822">
        <f>HLOOKUP($C$6,$P$12:$S$42,26,FALSE)</f>
        <v>91342</v>
      </c>
      <c r="D37" s="825">
        <f t="shared" si="2"/>
        <v>12951.3</v>
      </c>
      <c r="E37" s="825">
        <f t="shared" si="0"/>
        <v>21721.1276</v>
      </c>
      <c r="F37" s="826">
        <f t="shared" si="1"/>
        <v>456.71000000000004</v>
      </c>
      <c r="G37" s="824">
        <f t="shared" si="5"/>
        <v>126471.1376</v>
      </c>
      <c r="H37" s="836">
        <v>1560</v>
      </c>
      <c r="I37" s="818">
        <v>1</v>
      </c>
      <c r="J37" s="579">
        <f t="shared" si="3"/>
        <v>1560</v>
      </c>
      <c r="K37" s="835">
        <f t="shared" si="4"/>
        <v>81.069999999999993</v>
      </c>
      <c r="M37" s="840">
        <v>0.3</v>
      </c>
      <c r="N37" s="546">
        <v>0.6</v>
      </c>
      <c r="P37" s="562">
        <v>91342</v>
      </c>
      <c r="Q37" s="258">
        <v>99808</v>
      </c>
      <c r="R37" s="258">
        <v>97283</v>
      </c>
      <c r="S37" s="258">
        <v>93540</v>
      </c>
      <c r="U37" s="148"/>
      <c r="V37" s="149"/>
      <c r="W37" s="150"/>
    </row>
    <row r="38" spans="1:23" x14ac:dyDescent="0.25">
      <c r="A38" s="422" t="s">
        <v>835</v>
      </c>
      <c r="B38" s="416" t="s">
        <v>838</v>
      </c>
      <c r="C38" s="822">
        <f>HLOOKUP($C$6,$P$12:$S$42,27,FALSE)</f>
        <v>96941</v>
      </c>
      <c r="D38" s="825">
        <f t="shared" si="2"/>
        <v>13791.15</v>
      </c>
      <c r="E38" s="825">
        <f t="shared" si="0"/>
        <v>23052.569800000001</v>
      </c>
      <c r="F38" s="826">
        <f t="shared" si="1"/>
        <v>484.70499999999998</v>
      </c>
      <c r="G38" s="824">
        <f t="shared" si="5"/>
        <v>134269.42479999998</v>
      </c>
      <c r="H38" s="836">
        <v>1560</v>
      </c>
      <c r="I38" s="818">
        <v>1</v>
      </c>
      <c r="J38" s="579">
        <f t="shared" si="3"/>
        <v>1560</v>
      </c>
      <c r="K38" s="835">
        <f t="shared" si="4"/>
        <v>86.07</v>
      </c>
      <c r="M38" s="840">
        <v>0.3</v>
      </c>
      <c r="N38" s="546">
        <v>0.6</v>
      </c>
      <c r="P38" s="562">
        <v>96941</v>
      </c>
      <c r="Q38" s="258">
        <v>105407</v>
      </c>
      <c r="R38" s="258">
        <v>102882</v>
      </c>
      <c r="S38" s="258">
        <v>99139</v>
      </c>
    </row>
    <row r="39" spans="1:23" x14ac:dyDescent="0.25">
      <c r="A39" s="422" t="s">
        <v>835</v>
      </c>
      <c r="B39" s="416" t="s">
        <v>839</v>
      </c>
      <c r="C39" s="822">
        <f>HLOOKUP($C$6,$P$12:$S$42,28,FALSE)</f>
        <v>105337</v>
      </c>
      <c r="D39" s="825">
        <f t="shared" si="2"/>
        <v>15050.55</v>
      </c>
      <c r="E39" s="825">
        <f t="shared" si="0"/>
        <v>25049.138600000002</v>
      </c>
      <c r="F39" s="826">
        <f t="shared" si="1"/>
        <v>526.68500000000006</v>
      </c>
      <c r="G39" s="824">
        <f t="shared" si="5"/>
        <v>145963.37359999999</v>
      </c>
      <c r="H39" s="836">
        <v>1560</v>
      </c>
      <c r="I39" s="818">
        <v>1</v>
      </c>
      <c r="J39" s="579">
        <f t="shared" si="3"/>
        <v>1560</v>
      </c>
      <c r="K39" s="835">
        <f t="shared" si="4"/>
        <v>93.57</v>
      </c>
      <c r="M39" s="840">
        <v>0.3</v>
      </c>
      <c r="N39" s="546">
        <v>0.6</v>
      </c>
      <c r="P39" s="562">
        <v>105337</v>
      </c>
      <c r="Q39" s="258">
        <v>113803</v>
      </c>
      <c r="R39" s="258">
        <v>111278</v>
      </c>
      <c r="S39" s="258">
        <v>107535</v>
      </c>
    </row>
    <row r="40" spans="1:23" x14ac:dyDescent="0.25">
      <c r="A40" s="422">
        <v>9</v>
      </c>
      <c r="B40" s="416" t="s">
        <v>840</v>
      </c>
      <c r="C40" s="822">
        <f>HLOOKUP($C$6,$P$12:$S$42,29,FALSE)</f>
        <v>109179</v>
      </c>
      <c r="D40" s="825">
        <f t="shared" si="2"/>
        <v>15626.849999999999</v>
      </c>
      <c r="E40" s="825">
        <f t="shared" si="0"/>
        <v>25962.766200000002</v>
      </c>
      <c r="F40" s="826">
        <f t="shared" si="1"/>
        <v>545.89499999999998</v>
      </c>
      <c r="G40" s="824">
        <f t="shared" si="5"/>
        <v>151314.51120000001</v>
      </c>
      <c r="H40" s="836">
        <v>1560</v>
      </c>
      <c r="I40" s="818">
        <v>1</v>
      </c>
      <c r="J40" s="579">
        <f t="shared" si="3"/>
        <v>1560</v>
      </c>
      <c r="K40" s="835">
        <f t="shared" si="4"/>
        <v>97</v>
      </c>
      <c r="M40" s="840">
        <v>0.3</v>
      </c>
      <c r="N40" s="546">
        <v>0.6</v>
      </c>
      <c r="P40" s="562">
        <v>109179</v>
      </c>
      <c r="Q40" s="258">
        <v>117645</v>
      </c>
      <c r="R40" s="258">
        <v>115120</v>
      </c>
      <c r="S40" s="258">
        <v>111377</v>
      </c>
    </row>
    <row r="41" spans="1:23" x14ac:dyDescent="0.25">
      <c r="A41" s="422">
        <v>9</v>
      </c>
      <c r="B41" s="416" t="s">
        <v>841</v>
      </c>
      <c r="C41" s="822">
        <f>HLOOKUP($C$6,$P$12:$S$42,30,FALSE)</f>
        <v>115763</v>
      </c>
      <c r="D41" s="825">
        <f t="shared" si="2"/>
        <v>16614.45</v>
      </c>
      <c r="E41" s="825">
        <f t="shared" si="0"/>
        <v>27528.4414</v>
      </c>
      <c r="F41" s="826">
        <f t="shared" si="1"/>
        <v>578.81500000000005</v>
      </c>
      <c r="G41" s="824">
        <f t="shared" si="5"/>
        <v>160484.70640000002</v>
      </c>
      <c r="H41" s="836">
        <v>1560</v>
      </c>
      <c r="I41" s="818">
        <v>1</v>
      </c>
      <c r="J41" s="579">
        <f t="shared" si="3"/>
        <v>1560</v>
      </c>
      <c r="K41" s="835">
        <f t="shared" si="4"/>
        <v>102.87</v>
      </c>
      <c r="M41" s="840">
        <v>0.3</v>
      </c>
      <c r="N41" s="546">
        <v>0.6</v>
      </c>
      <c r="P41" s="562">
        <v>115763</v>
      </c>
      <c r="Q41" s="258">
        <v>124229</v>
      </c>
      <c r="R41" s="258">
        <v>121704</v>
      </c>
      <c r="S41" s="258">
        <v>117961</v>
      </c>
    </row>
    <row r="42" spans="1:23" x14ac:dyDescent="0.25">
      <c r="A42" s="422">
        <v>9</v>
      </c>
      <c r="B42" s="416" t="s">
        <v>842</v>
      </c>
      <c r="C42" s="822">
        <f>HLOOKUP($C$6,$P$12:$S$42,31,FALSE)</f>
        <v>125637</v>
      </c>
      <c r="D42" s="825">
        <f t="shared" si="2"/>
        <v>18095.55</v>
      </c>
      <c r="E42" s="825">
        <f t="shared" si="0"/>
        <v>29876.478600000002</v>
      </c>
      <c r="F42" s="826">
        <f t="shared" si="1"/>
        <v>628.18500000000006</v>
      </c>
      <c r="G42" s="824">
        <f t="shared" si="5"/>
        <v>174237.21359999999</v>
      </c>
      <c r="H42" s="836">
        <v>1560</v>
      </c>
      <c r="I42" s="818">
        <v>1</v>
      </c>
      <c r="J42" s="579">
        <f t="shared" si="3"/>
        <v>1560</v>
      </c>
      <c r="K42" s="835">
        <f t="shared" si="4"/>
        <v>111.69</v>
      </c>
      <c r="M42" s="840">
        <v>0.3</v>
      </c>
      <c r="N42" s="546">
        <v>0.6</v>
      </c>
      <c r="P42" s="562">
        <v>125637</v>
      </c>
      <c r="Q42" s="258">
        <v>134103</v>
      </c>
      <c r="R42" s="258">
        <v>131578</v>
      </c>
      <c r="S42" s="258">
        <v>127835</v>
      </c>
    </row>
    <row r="43" spans="1:23" x14ac:dyDescent="0.25">
      <c r="A43" s="422" t="s">
        <v>826</v>
      </c>
      <c r="B43" s="137" t="s">
        <v>843</v>
      </c>
      <c r="C43" s="822">
        <v>73113</v>
      </c>
      <c r="D43" s="825">
        <f t="shared" si="2"/>
        <v>10216.949999999999</v>
      </c>
      <c r="E43" s="825">
        <f>C43*0.2068</f>
        <v>15119.768400000001</v>
      </c>
      <c r="F43" s="826">
        <f t="shared" si="1"/>
        <v>365.565</v>
      </c>
      <c r="G43" s="824">
        <f t="shared" si="5"/>
        <v>98815.2834</v>
      </c>
      <c r="H43" s="836">
        <f>V34</f>
        <v>2145.6</v>
      </c>
      <c r="I43" s="818">
        <f>V35</f>
        <v>0.6</v>
      </c>
      <c r="J43" s="579">
        <f t="shared" si="3"/>
        <v>1287.3599999999999</v>
      </c>
      <c r="K43" s="835">
        <f t="shared" si="4"/>
        <v>46.05</v>
      </c>
      <c r="M43" s="841">
        <v>0</v>
      </c>
      <c r="N43" s="547">
        <v>0</v>
      </c>
    </row>
    <row r="44" spans="1:23" x14ac:dyDescent="0.25">
      <c r="A44" s="422" t="s">
        <v>826</v>
      </c>
      <c r="B44" s="137" t="s">
        <v>844</v>
      </c>
      <c r="C44" s="822">
        <v>91722</v>
      </c>
      <c r="D44" s="825">
        <f t="shared" si="2"/>
        <v>13008.3</v>
      </c>
      <c r="E44" s="825">
        <f>C44*0.2068</f>
        <v>18968.1096</v>
      </c>
      <c r="F44" s="826">
        <f t="shared" si="1"/>
        <v>458.61</v>
      </c>
      <c r="G44" s="824">
        <f t="shared" si="5"/>
        <v>124157.0196</v>
      </c>
      <c r="H44" s="836">
        <f>V34</f>
        <v>2145.6</v>
      </c>
      <c r="I44" s="818">
        <f>V35</f>
        <v>0.6</v>
      </c>
      <c r="J44" s="579">
        <f t="shared" si="3"/>
        <v>1287.3599999999999</v>
      </c>
      <c r="K44" s="835">
        <f t="shared" si="4"/>
        <v>57.87</v>
      </c>
      <c r="M44" s="841">
        <v>0</v>
      </c>
      <c r="N44" s="547">
        <v>0</v>
      </c>
    </row>
    <row r="45" spans="1:23" x14ac:dyDescent="0.25">
      <c r="A45" s="573" t="s">
        <v>826</v>
      </c>
      <c r="B45" s="574" t="s">
        <v>844</v>
      </c>
      <c r="C45" s="822">
        <v>110330</v>
      </c>
      <c r="D45" s="825">
        <f t="shared" si="2"/>
        <v>15799.5</v>
      </c>
      <c r="E45" s="827">
        <f>C45*0.2068</f>
        <v>22816.244000000002</v>
      </c>
      <c r="F45" s="826">
        <f t="shared" si="1"/>
        <v>551.65</v>
      </c>
      <c r="G45" s="824">
        <f t="shared" si="5"/>
        <v>149497.394</v>
      </c>
      <c r="H45" s="836">
        <f>V34</f>
        <v>2145.6</v>
      </c>
      <c r="I45" s="818">
        <f>V35</f>
        <v>0.6</v>
      </c>
      <c r="J45" s="579">
        <f t="shared" si="3"/>
        <v>1287.3599999999999</v>
      </c>
      <c r="K45" s="835">
        <f t="shared" si="4"/>
        <v>69.680000000000007</v>
      </c>
      <c r="M45" s="841">
        <v>0</v>
      </c>
      <c r="N45" s="547">
        <v>0</v>
      </c>
    </row>
    <row r="46" spans="1:23" x14ac:dyDescent="0.25">
      <c r="A46" s="422" t="s">
        <v>814</v>
      </c>
      <c r="B46" s="137" t="s">
        <v>845</v>
      </c>
      <c r="C46" s="825">
        <v>109724.16</v>
      </c>
      <c r="D46" s="825">
        <f t="shared" si="2"/>
        <v>15708.624</v>
      </c>
      <c r="E46" s="825">
        <f>C46*$C$9</f>
        <v>26092.405248000003</v>
      </c>
      <c r="F46" s="826">
        <f t="shared" si="1"/>
        <v>548.62080000000003</v>
      </c>
      <c r="G46" s="824">
        <f t="shared" si="5"/>
        <v>152073.81004800001</v>
      </c>
      <c r="H46" s="836">
        <f>V28</f>
        <v>1376</v>
      </c>
      <c r="I46" s="818">
        <v>1</v>
      </c>
      <c r="J46" s="579">
        <f t="shared" si="3"/>
        <v>1376</v>
      </c>
      <c r="K46" s="835">
        <f t="shared" si="4"/>
        <v>110.52</v>
      </c>
      <c r="M46" s="841">
        <v>0</v>
      </c>
      <c r="N46" s="547">
        <v>0</v>
      </c>
    </row>
    <row r="47" spans="1:23" x14ac:dyDescent="0.25">
      <c r="A47" s="422" t="s">
        <v>814</v>
      </c>
      <c r="B47" s="137" t="s">
        <v>653</v>
      </c>
      <c r="C47" s="825">
        <v>126431.136</v>
      </c>
      <c r="D47" s="825">
        <f t="shared" si="2"/>
        <v>18214.670399999999</v>
      </c>
      <c r="E47" s="825">
        <f>C47*$C$9</f>
        <v>30065.324140799999</v>
      </c>
      <c r="F47" s="826">
        <f t="shared" si="1"/>
        <v>632.15567999999996</v>
      </c>
      <c r="G47" s="824">
        <f t="shared" si="5"/>
        <v>175343.28622079999</v>
      </c>
      <c r="H47" s="836">
        <f>V28</f>
        <v>1376</v>
      </c>
      <c r="I47" s="818">
        <v>1</v>
      </c>
      <c r="J47" s="579">
        <f t="shared" si="3"/>
        <v>1376</v>
      </c>
      <c r="K47" s="835">
        <f t="shared" si="4"/>
        <v>127.43</v>
      </c>
      <c r="M47" s="841">
        <v>0</v>
      </c>
      <c r="N47" s="547">
        <v>0</v>
      </c>
    </row>
    <row r="48" spans="1:23" ht="15.75" thickBot="1" x14ac:dyDescent="0.3">
      <c r="A48" s="423" t="s">
        <v>814</v>
      </c>
      <c r="B48" s="417" t="s">
        <v>846</v>
      </c>
      <c r="C48" s="828">
        <v>145477.28</v>
      </c>
      <c r="D48" s="828">
        <f t="shared" si="2"/>
        <v>21071.592000000001</v>
      </c>
      <c r="E48" s="828">
        <f>C48*$C$9</f>
        <v>34594.497184</v>
      </c>
      <c r="F48" s="829">
        <f t="shared" si="1"/>
        <v>727.38639999999998</v>
      </c>
      <c r="G48" s="830">
        <f t="shared" si="5"/>
        <v>201870.755584</v>
      </c>
      <c r="H48" s="837">
        <f>V28</f>
        <v>1376</v>
      </c>
      <c r="I48" s="819">
        <v>1</v>
      </c>
      <c r="J48" s="580">
        <f t="shared" si="3"/>
        <v>1376</v>
      </c>
      <c r="K48" s="838">
        <f t="shared" si="4"/>
        <v>146.71</v>
      </c>
      <c r="M48" s="842">
        <v>0</v>
      </c>
      <c r="N48" s="548">
        <v>0</v>
      </c>
    </row>
    <row r="97" ht="23.45" customHeight="1" x14ac:dyDescent="0.25"/>
    <row r="98" ht="55.7" customHeight="1" x14ac:dyDescent="0.25"/>
    <row r="99" ht="23.45" customHeight="1" x14ac:dyDescent="0.25"/>
    <row r="100" ht="23.45" customHeight="1" x14ac:dyDescent="0.25"/>
    <row r="101" ht="23.45" customHeight="1" x14ac:dyDescent="0.25"/>
    <row r="102" ht="23.45" customHeight="1" x14ac:dyDescent="0.25"/>
    <row r="103" ht="23.45" customHeight="1" x14ac:dyDescent="0.25"/>
  </sheetData>
  <sheetProtection algorithmName="SHA-512" hashValue="mHuXCAfYd2RX01FpcXkp+SMpc36/B72artyBxZofU7XG84GQ41yqe5r51vrwZ9KTZ74RRRz59EbGl7kxNIw9pg==" saltValue="c4+v6NdxSIo1NcHjUmhkSA==" spinCount="100000" sheet="1" objects="1" scenarios="1"/>
  <dataValidations disablePrompts="1" count="1">
    <dataValidation type="list" allowBlank="1" showInputMessage="1" showErrorMessage="1" sqref="C6" xr:uid="{4E4BE1D1-B6A6-4DDF-B51D-0F9E7BFED3E4}">
      <formula1>$P$5:$P$8</formula1>
    </dataValidation>
  </dataValidations>
  <pageMargins left="0.7" right="0.7" top="0.75" bottom="0.75" header="0.3" footer="0.3"/>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40625" defaultRowHeight="15" x14ac:dyDescent="0.2"/>
  <cols>
    <col min="1" max="1" width="28.85546875" style="586" customWidth="1"/>
    <col min="2" max="2" width="7.140625" style="654" customWidth="1"/>
    <col min="3" max="3" width="8.140625" style="586" customWidth="1"/>
    <col min="4" max="5" width="8.140625" style="656" customWidth="1"/>
    <col min="6" max="8" width="8.140625" style="654" customWidth="1"/>
    <col min="9" max="13" width="8.140625" style="586" customWidth="1"/>
    <col min="14" max="14" width="8.85546875" style="586" customWidth="1"/>
    <col min="15" max="24" width="8.140625" style="586" customWidth="1"/>
    <col min="25" max="25" width="12.140625" style="586" customWidth="1"/>
    <col min="26" max="43" width="8.140625" style="586" customWidth="1"/>
    <col min="44" max="16384" width="9.140625" style="586"/>
  </cols>
  <sheetData>
    <row r="1" spans="1:51" ht="30.75" customHeight="1" x14ac:dyDescent="0.2">
      <c r="A1" s="581" t="s">
        <v>507</v>
      </c>
      <c r="B1" s="582"/>
      <c r="C1" s="582"/>
      <c r="D1" s="582"/>
      <c r="E1" s="582"/>
      <c r="F1" s="582"/>
      <c r="G1" s="582"/>
      <c r="H1" s="582"/>
      <c r="I1" s="582"/>
      <c r="J1" s="582"/>
      <c r="K1" s="582"/>
      <c r="L1" s="582"/>
      <c r="M1" s="582"/>
      <c r="N1" s="582"/>
      <c r="O1" s="583"/>
      <c r="P1" s="583"/>
      <c r="Q1" s="583"/>
      <c r="R1" s="583"/>
      <c r="S1" s="583"/>
      <c r="T1" s="583"/>
      <c r="U1" s="583"/>
      <c r="V1" s="583"/>
      <c r="W1" s="583"/>
      <c r="X1" s="583"/>
      <c r="Y1" s="583"/>
      <c r="Z1" s="583"/>
      <c r="AA1" s="583"/>
      <c r="AB1" s="583"/>
      <c r="AC1" s="583"/>
      <c r="AD1" s="583"/>
      <c r="AE1" s="583"/>
      <c r="AF1" s="583"/>
      <c r="AG1" s="584"/>
      <c r="AH1" s="584"/>
      <c r="AI1" s="584"/>
      <c r="AJ1" s="584"/>
      <c r="AK1" s="584"/>
      <c r="AL1" s="584"/>
      <c r="AM1" s="585"/>
      <c r="AN1" s="585"/>
      <c r="AO1" s="585"/>
      <c r="AP1" s="585"/>
      <c r="AQ1" s="585"/>
      <c r="AR1" s="585"/>
      <c r="AS1" s="585"/>
      <c r="AT1" s="585"/>
      <c r="AU1" s="585"/>
      <c r="AV1" s="585"/>
      <c r="AW1" s="585"/>
      <c r="AX1" s="585"/>
      <c r="AY1" s="585"/>
    </row>
    <row r="2" spans="1:51" ht="15.95" customHeight="1" x14ac:dyDescent="0.25">
      <c r="A2" s="587"/>
      <c r="B2" s="588"/>
      <c r="C2" s="495"/>
      <c r="D2" s="51"/>
      <c r="E2" s="1"/>
      <c r="F2" s="1"/>
      <c r="G2" s="1"/>
      <c r="H2" s="657" t="s">
        <v>0</v>
      </c>
      <c r="I2" s="658"/>
      <c r="J2" s="658"/>
      <c r="K2" s="658"/>
      <c r="L2" s="658"/>
      <c r="M2" s="589"/>
      <c r="N2" s="589"/>
      <c r="O2" s="589"/>
      <c r="P2" s="589"/>
      <c r="Q2" s="589"/>
      <c r="R2" s="589"/>
      <c r="S2" s="589"/>
      <c r="T2" s="589"/>
      <c r="U2" s="589"/>
      <c r="V2" s="589"/>
      <c r="W2" s="589"/>
      <c r="X2" s="589"/>
      <c r="Y2" s="589"/>
      <c r="Z2" s="589"/>
      <c r="AA2" s="589"/>
      <c r="AB2" s="589"/>
      <c r="AC2" s="584"/>
      <c r="AD2" s="584"/>
      <c r="AE2" s="584"/>
      <c r="AF2" s="584"/>
      <c r="AG2" s="584"/>
      <c r="AH2" s="584"/>
      <c r="AI2" s="584"/>
      <c r="AJ2" s="584"/>
      <c r="AK2" s="584"/>
      <c r="AL2" s="584"/>
      <c r="AM2" s="585"/>
      <c r="AN2" s="585"/>
      <c r="AO2" s="585"/>
      <c r="AP2" s="585"/>
      <c r="AQ2" s="585"/>
      <c r="AR2" s="585"/>
      <c r="AS2" s="585"/>
      <c r="AT2" s="585"/>
      <c r="AU2" s="585"/>
      <c r="AV2" s="585"/>
      <c r="AW2" s="585"/>
      <c r="AX2" s="585"/>
      <c r="AY2" s="585"/>
    </row>
    <row r="3" spans="1:51" ht="15.75" x14ac:dyDescent="0.25">
      <c r="A3" s="590"/>
      <c r="B3" s="588"/>
      <c r="C3" s="591" t="s">
        <v>508</v>
      </c>
      <c r="D3" s="591"/>
      <c r="E3" s="1"/>
      <c r="F3" s="1"/>
      <c r="G3" s="1"/>
      <c r="H3" s="589"/>
      <c r="I3" s="589"/>
      <c r="J3" s="589"/>
      <c r="K3" s="589"/>
      <c r="L3" s="589"/>
      <c r="M3" s="589"/>
      <c r="N3" s="589"/>
      <c r="O3" s="589"/>
      <c r="P3" s="589"/>
      <c r="Q3" s="592" t="s">
        <v>509</v>
      </c>
      <c r="R3" s="589"/>
      <c r="S3" s="1"/>
      <c r="T3" s="1"/>
      <c r="U3" s="1"/>
      <c r="V3" s="1"/>
      <c r="W3" s="589"/>
      <c r="X3" s="589"/>
      <c r="Y3" s="589"/>
      <c r="Z3" s="589"/>
      <c r="AA3" s="589"/>
      <c r="AB3" s="589"/>
      <c r="AC3" s="584"/>
      <c r="AD3" s="584"/>
      <c r="AE3" s="584"/>
      <c r="AF3" s="584"/>
      <c r="AG3" s="584"/>
      <c r="AH3" s="584"/>
      <c r="AI3" s="584"/>
      <c r="AJ3" s="584"/>
      <c r="AK3" s="584"/>
      <c r="AL3" s="584"/>
      <c r="AM3" s="585"/>
      <c r="AN3" s="585"/>
      <c r="AO3" s="585"/>
      <c r="AP3" s="585"/>
      <c r="AQ3" s="585"/>
      <c r="AR3" s="585"/>
      <c r="AS3" s="585"/>
      <c r="AT3" s="585"/>
      <c r="AU3" s="585"/>
      <c r="AV3" s="585"/>
      <c r="AW3" s="585"/>
      <c r="AX3" s="585"/>
      <c r="AY3" s="585"/>
    </row>
    <row r="4" spans="1:51" x14ac:dyDescent="0.2">
      <c r="A4" s="590"/>
      <c r="B4" s="588"/>
      <c r="C4" s="495" t="s">
        <v>510</v>
      </c>
      <c r="D4" s="51"/>
      <c r="E4" s="1"/>
      <c r="F4" s="1"/>
      <c r="G4" s="1"/>
      <c r="H4" s="589"/>
      <c r="I4" s="589"/>
      <c r="J4" s="589"/>
      <c r="K4" s="589"/>
      <c r="L4" s="589"/>
      <c r="M4" s="589"/>
      <c r="N4" s="589"/>
      <c r="O4" s="589"/>
      <c r="P4" s="589"/>
      <c r="Q4" s="593" t="s">
        <v>511</v>
      </c>
      <c r="R4" s="589"/>
      <c r="S4" s="589"/>
      <c r="T4" s="589"/>
      <c r="U4" s="589"/>
      <c r="V4" s="589"/>
      <c r="W4" s="589"/>
      <c r="X4" s="589"/>
      <c r="Y4" s="589"/>
      <c r="Z4" s="589"/>
      <c r="AA4" s="589"/>
      <c r="AB4" s="589"/>
      <c r="AC4" s="584"/>
      <c r="AD4" s="584"/>
      <c r="AE4" s="584"/>
      <c r="AF4" s="584"/>
      <c r="AG4" s="584"/>
      <c r="AH4" s="584"/>
      <c r="AI4" s="584"/>
      <c r="AJ4" s="584"/>
      <c r="AK4" s="584"/>
      <c r="AL4" s="584"/>
      <c r="AM4" s="585"/>
      <c r="AN4" s="584"/>
      <c r="AO4" s="584"/>
      <c r="AP4" s="585"/>
      <c r="AQ4" s="585"/>
      <c r="AR4" s="585"/>
      <c r="AS4" s="585"/>
      <c r="AT4" s="585"/>
      <c r="AU4" s="585"/>
      <c r="AV4" s="585"/>
      <c r="AW4" s="585"/>
      <c r="AX4" s="585"/>
      <c r="AY4" s="585"/>
    </row>
    <row r="5" spans="1:51" ht="15.75" thickBot="1" x14ac:dyDescent="0.25">
      <c r="A5" s="594"/>
      <c r="B5" s="595"/>
      <c r="C5" s="1"/>
      <c r="D5" s="1"/>
      <c r="E5" s="1"/>
      <c r="F5" s="1"/>
      <c r="G5" s="1"/>
      <c r="H5" s="589"/>
      <c r="I5" s="589"/>
      <c r="J5" s="589"/>
      <c r="K5" s="589"/>
      <c r="L5" s="589"/>
      <c r="M5" s="589"/>
      <c r="N5" s="589"/>
      <c r="O5" s="589"/>
      <c r="P5" s="589"/>
      <c r="Q5" s="593" t="s">
        <v>512</v>
      </c>
      <c r="R5" s="589"/>
      <c r="S5" s="589"/>
      <c r="T5" s="589"/>
      <c r="U5" s="589"/>
      <c r="V5" s="589"/>
      <c r="W5" s="589"/>
      <c r="X5" s="589"/>
      <c r="Y5" s="589"/>
      <c r="Z5" s="589"/>
      <c r="AA5" s="589"/>
      <c r="AB5" s="589"/>
      <c r="AC5" s="584"/>
      <c r="AD5" s="584"/>
      <c r="AE5" s="584"/>
      <c r="AF5" s="584"/>
      <c r="AG5" s="584"/>
      <c r="AH5" s="584"/>
      <c r="AI5" s="584"/>
      <c r="AJ5" s="584"/>
      <c r="AK5" s="584"/>
      <c r="AL5" s="584"/>
      <c r="AM5" s="585"/>
      <c r="AN5" s="585"/>
      <c r="AO5" s="585"/>
      <c r="AP5" s="585"/>
      <c r="AQ5" s="585"/>
      <c r="AR5" s="585"/>
      <c r="AS5" s="585"/>
      <c r="AT5" s="585"/>
      <c r="AU5" s="585"/>
      <c r="AV5" s="585"/>
      <c r="AW5" s="585"/>
      <c r="AX5" s="585"/>
      <c r="AY5" s="585"/>
    </row>
    <row r="6" spans="1:51" ht="15.75" x14ac:dyDescent="0.25">
      <c r="A6" s="594"/>
      <c r="B6" s="595"/>
      <c r="C6" s="596"/>
      <c r="D6" s="597"/>
      <c r="E6" s="597"/>
      <c r="F6" s="597"/>
      <c r="G6" s="597"/>
      <c r="H6" s="598" t="s">
        <v>513</v>
      </c>
      <c r="I6" s="597"/>
      <c r="J6" s="597"/>
      <c r="K6" s="597"/>
      <c r="L6" s="597"/>
      <c r="M6" s="597"/>
      <c r="N6" s="599"/>
      <c r="O6" s="589"/>
      <c r="P6" s="589"/>
      <c r="Q6" s="593" t="s">
        <v>514</v>
      </c>
      <c r="R6" s="589"/>
      <c r="S6" s="589"/>
      <c r="T6" s="589"/>
      <c r="U6" s="589"/>
      <c r="V6" s="589"/>
      <c r="W6" s="589"/>
      <c r="X6" s="589"/>
      <c r="Y6" s="589"/>
      <c r="Z6" s="589"/>
      <c r="AA6" s="589"/>
      <c r="AB6" s="589"/>
      <c r="AC6" s="584"/>
      <c r="AD6" s="584"/>
      <c r="AE6" s="584"/>
      <c r="AF6" s="584"/>
      <c r="AG6" s="584"/>
      <c r="AH6" s="584"/>
      <c r="AI6" s="584"/>
      <c r="AJ6" s="584"/>
      <c r="AK6" s="584"/>
      <c r="AL6" s="584"/>
      <c r="AM6" s="585"/>
      <c r="AN6" s="585"/>
      <c r="AO6" s="585"/>
      <c r="AP6" s="585"/>
      <c r="AQ6" s="585"/>
      <c r="AR6" s="585"/>
      <c r="AS6" s="585"/>
      <c r="AT6" s="585"/>
      <c r="AU6" s="585"/>
      <c r="AV6" s="585"/>
      <c r="AW6" s="585"/>
      <c r="AX6" s="585"/>
      <c r="AY6" s="585"/>
    </row>
    <row r="7" spans="1:51" s="605" customFormat="1" ht="29.25" thickBot="1" x14ac:dyDescent="0.25">
      <c r="A7" s="594"/>
      <c r="B7" s="595"/>
      <c r="C7" s="600" t="s">
        <v>515</v>
      </c>
      <c r="D7" s="601">
        <v>2</v>
      </c>
      <c r="E7" s="602">
        <v>3</v>
      </c>
      <c r="F7" s="603">
        <v>4</v>
      </c>
      <c r="G7" s="603">
        <v>5</v>
      </c>
      <c r="H7" s="602">
        <v>6</v>
      </c>
      <c r="I7" s="603">
        <v>7</v>
      </c>
      <c r="J7" s="603">
        <v>8</v>
      </c>
      <c r="K7" s="602">
        <v>9</v>
      </c>
      <c r="L7" s="603">
        <v>10</v>
      </c>
      <c r="M7" s="603">
        <v>11</v>
      </c>
      <c r="N7" s="604">
        <v>12</v>
      </c>
      <c r="O7" s="589"/>
      <c r="P7" s="589"/>
      <c r="Q7" s="589"/>
      <c r="R7" s="589" t="s">
        <v>516</v>
      </c>
      <c r="S7" s="1"/>
      <c r="T7" s="589"/>
      <c r="U7" s="589"/>
      <c r="V7" s="589"/>
      <c r="W7" s="589"/>
      <c r="X7" s="589"/>
      <c r="Y7" s="589"/>
      <c r="Z7" s="589"/>
      <c r="AA7" s="589"/>
      <c r="AB7" s="589"/>
      <c r="AC7" s="584"/>
      <c r="AD7" s="584"/>
      <c r="AE7" s="584"/>
      <c r="AF7" s="584"/>
      <c r="AG7" s="584"/>
      <c r="AH7" s="584"/>
      <c r="AI7" s="584"/>
      <c r="AJ7" s="584"/>
      <c r="AK7" s="584"/>
      <c r="AL7" s="584"/>
      <c r="AM7" s="585"/>
      <c r="AN7" s="585"/>
      <c r="AO7" s="585"/>
      <c r="AP7" s="585"/>
      <c r="AQ7" s="585"/>
      <c r="AR7" s="585"/>
      <c r="AS7" s="585"/>
      <c r="AT7" s="585"/>
      <c r="AU7" s="594"/>
      <c r="AV7" s="594"/>
      <c r="AW7" s="594"/>
      <c r="AX7" s="594"/>
      <c r="AY7" s="594"/>
    </row>
    <row r="8" spans="1:51" s="605" customFormat="1" ht="15.75" x14ac:dyDescent="0.25">
      <c r="A8" s="594"/>
      <c r="B8" s="595"/>
      <c r="C8" s="606"/>
      <c r="D8" s="607"/>
      <c r="E8" s="608"/>
      <c r="F8" s="606"/>
      <c r="G8" s="607"/>
      <c r="H8" s="608"/>
      <c r="I8" s="609"/>
      <c r="J8" s="610"/>
      <c r="K8" s="611"/>
      <c r="L8" s="609"/>
      <c r="M8" s="610"/>
      <c r="N8" s="612">
        <v>90</v>
      </c>
      <c r="O8" s="589"/>
      <c r="P8" s="589"/>
      <c r="Q8" s="589"/>
      <c r="R8" s="589" t="s">
        <v>517</v>
      </c>
      <c r="S8" s="1"/>
      <c r="T8" s="589"/>
      <c r="U8" s="589"/>
      <c r="V8" s="589"/>
      <c r="W8" s="589"/>
      <c r="X8" s="589"/>
      <c r="Y8" s="589"/>
      <c r="Z8" s="589"/>
      <c r="AA8" s="589"/>
      <c r="AB8" s="589"/>
      <c r="AC8" s="584"/>
      <c r="AD8" s="584"/>
      <c r="AE8" s="584"/>
      <c r="AF8" s="584"/>
      <c r="AG8" s="584"/>
      <c r="AH8" s="584"/>
      <c r="AI8" s="584"/>
      <c r="AJ8" s="584"/>
      <c r="AK8" s="584"/>
      <c r="AL8" s="584"/>
      <c r="AM8" s="585"/>
      <c r="AN8" s="585"/>
      <c r="AO8" s="585"/>
      <c r="AP8" s="585"/>
      <c r="AQ8" s="585"/>
      <c r="AR8" s="585"/>
      <c r="AS8" s="585"/>
      <c r="AT8" s="585"/>
      <c r="AU8" s="594"/>
      <c r="AV8" s="594"/>
      <c r="AW8" s="594"/>
      <c r="AX8" s="594"/>
      <c r="AY8" s="594"/>
    </row>
    <row r="9" spans="1:51" s="6" customFormat="1" ht="15.6" customHeight="1" x14ac:dyDescent="0.2">
      <c r="A9" s="594"/>
      <c r="B9" s="595"/>
      <c r="C9" s="613"/>
      <c r="D9" s="613"/>
      <c r="E9" s="613"/>
      <c r="F9" s="614"/>
      <c r="G9" s="614"/>
      <c r="H9" s="614"/>
      <c r="I9" s="615"/>
      <c r="J9" s="615"/>
      <c r="K9" s="615"/>
      <c r="L9" s="616"/>
      <c r="M9" s="617">
        <v>90</v>
      </c>
      <c r="N9" s="617">
        <v>90</v>
      </c>
      <c r="O9" s="589"/>
      <c r="P9" s="589"/>
      <c r="Q9" s="589"/>
      <c r="R9" s="589" t="s">
        <v>518</v>
      </c>
      <c r="S9" s="1"/>
      <c r="T9" s="589"/>
      <c r="U9" s="589"/>
      <c r="V9" s="589"/>
      <c r="W9" s="589"/>
      <c r="X9" s="589"/>
      <c r="Y9" s="589"/>
      <c r="Z9" s="589"/>
      <c r="AA9" s="589"/>
      <c r="AB9" s="589"/>
      <c r="AC9" s="584"/>
      <c r="AD9" s="584"/>
      <c r="AE9" s="584"/>
      <c r="AF9" s="584"/>
      <c r="AG9" s="584"/>
      <c r="AH9" s="584"/>
      <c r="AI9" s="584"/>
      <c r="AJ9" s="584"/>
      <c r="AK9" s="584"/>
      <c r="AL9" s="584"/>
      <c r="AM9" s="585"/>
      <c r="AN9" s="585"/>
      <c r="AO9" s="585"/>
      <c r="AP9" s="585"/>
      <c r="AQ9" s="585"/>
      <c r="AR9" s="585"/>
      <c r="AS9" s="585"/>
      <c r="AT9" s="585"/>
      <c r="AU9" s="1"/>
      <c r="AV9" s="1"/>
      <c r="AW9" s="1"/>
      <c r="AX9" s="1"/>
      <c r="AY9" s="1"/>
    </row>
    <row r="10" spans="1:51" s="6" customFormat="1" ht="15.6" customHeight="1" x14ac:dyDescent="0.2">
      <c r="A10" s="594"/>
      <c r="B10" s="595"/>
      <c r="C10" s="613"/>
      <c r="D10" s="613"/>
      <c r="E10" s="613"/>
      <c r="F10" s="614"/>
      <c r="G10" s="614"/>
      <c r="H10" s="614"/>
      <c r="I10" s="615"/>
      <c r="J10" s="615"/>
      <c r="K10" s="615"/>
      <c r="L10" s="617">
        <v>90</v>
      </c>
      <c r="M10" s="617">
        <v>90</v>
      </c>
      <c r="N10" s="617">
        <v>90</v>
      </c>
      <c r="O10" s="589"/>
      <c r="P10" s="589"/>
      <c r="Q10" s="593" t="s">
        <v>519</v>
      </c>
      <c r="R10" s="589"/>
      <c r="S10" s="589"/>
      <c r="T10" s="589"/>
      <c r="U10" s="589"/>
      <c r="V10" s="589"/>
      <c r="W10" s="589"/>
      <c r="X10" s="589"/>
      <c r="Y10" s="589"/>
      <c r="Z10" s="589"/>
      <c r="AA10" s="589"/>
      <c r="AB10" s="589"/>
      <c r="AC10" s="584"/>
      <c r="AD10" s="584"/>
      <c r="AE10" s="584"/>
      <c r="AF10" s="584"/>
      <c r="AG10" s="584"/>
      <c r="AH10" s="584"/>
      <c r="AI10" s="584"/>
      <c r="AJ10" s="584"/>
      <c r="AK10" s="584"/>
      <c r="AL10" s="584"/>
      <c r="AM10" s="585"/>
      <c r="AN10" s="585"/>
      <c r="AO10" s="585"/>
      <c r="AP10" s="585"/>
      <c r="AQ10" s="585"/>
      <c r="AR10" s="585"/>
      <c r="AS10" s="585"/>
      <c r="AT10" s="585"/>
      <c r="AU10" s="1"/>
      <c r="AV10" s="1"/>
      <c r="AW10" s="1"/>
      <c r="AX10" s="1"/>
      <c r="AY10" s="1"/>
    </row>
    <row r="11" spans="1:51" s="6" customFormat="1" ht="15.6" customHeight="1" x14ac:dyDescent="0.2">
      <c r="A11" s="594"/>
      <c r="B11" s="595"/>
      <c r="C11" s="613"/>
      <c r="D11" s="613"/>
      <c r="E11" s="613"/>
      <c r="F11" s="614"/>
      <c r="G11" s="614"/>
      <c r="H11" s="614"/>
      <c r="I11" s="615"/>
      <c r="J11" s="615"/>
      <c r="K11" s="617">
        <v>90</v>
      </c>
      <c r="L11" s="617">
        <v>90</v>
      </c>
      <c r="M11" s="617">
        <v>90</v>
      </c>
      <c r="N11" s="617">
        <v>90</v>
      </c>
      <c r="O11" s="589"/>
      <c r="P11" s="589"/>
      <c r="Q11" s="593" t="s">
        <v>520</v>
      </c>
      <c r="R11" s="589"/>
      <c r="S11" s="589"/>
      <c r="T11" s="589"/>
      <c r="U11" s="589"/>
      <c r="V11" s="589"/>
      <c r="W11" s="589"/>
      <c r="X11" s="589"/>
      <c r="Y11" s="589"/>
      <c r="Z11" s="589"/>
      <c r="AA11" s="589"/>
      <c r="AB11" s="589"/>
      <c r="AC11" s="584"/>
      <c r="AD11" s="584"/>
      <c r="AE11" s="584"/>
      <c r="AF11" s="584"/>
      <c r="AG11" s="584"/>
      <c r="AH11" s="584"/>
      <c r="AI11" s="584"/>
      <c r="AJ11" s="584"/>
      <c r="AK11" s="584"/>
      <c r="AL11" s="584"/>
      <c r="AM11" s="585"/>
      <c r="AN11" s="585"/>
      <c r="AO11" s="585"/>
      <c r="AP11" s="585"/>
      <c r="AQ11" s="585"/>
      <c r="AR11" s="585"/>
      <c r="AS11" s="585"/>
      <c r="AT11" s="585"/>
      <c r="AU11" s="1"/>
      <c r="AV11" s="1"/>
      <c r="AW11" s="1"/>
      <c r="AX11" s="1"/>
      <c r="AY11" s="1"/>
    </row>
    <row r="12" spans="1:51" s="6" customFormat="1" ht="15.6" customHeight="1" x14ac:dyDescent="0.25">
      <c r="A12" s="594"/>
      <c r="B12" s="595"/>
      <c r="C12" s="618"/>
      <c r="D12" s="618"/>
      <c r="E12" s="618"/>
      <c r="F12" s="619"/>
      <c r="G12" s="619"/>
      <c r="H12" s="619"/>
      <c r="I12" s="620"/>
      <c r="J12" s="617">
        <v>90</v>
      </c>
      <c r="K12" s="617">
        <v>90</v>
      </c>
      <c r="L12" s="617">
        <v>90</v>
      </c>
      <c r="M12" s="617">
        <v>90</v>
      </c>
      <c r="N12" s="617">
        <v>90</v>
      </c>
      <c r="O12" s="589"/>
      <c r="P12" s="589"/>
      <c r="Q12" s="593" t="s">
        <v>521</v>
      </c>
      <c r="R12" s="589"/>
      <c r="S12" s="589"/>
      <c r="T12" s="589"/>
      <c r="U12" s="589"/>
      <c r="V12" s="589"/>
      <c r="W12" s="589"/>
      <c r="X12" s="589"/>
      <c r="Y12" s="589"/>
      <c r="Z12" s="589"/>
      <c r="AA12" s="589"/>
      <c r="AB12" s="589"/>
      <c r="AC12" s="584"/>
      <c r="AD12" s="584"/>
      <c r="AE12" s="584"/>
      <c r="AF12" s="584"/>
      <c r="AG12" s="584"/>
      <c r="AH12" s="584"/>
      <c r="AI12" s="584"/>
      <c r="AJ12" s="584"/>
      <c r="AK12" s="584"/>
      <c r="AL12" s="584"/>
      <c r="AM12" s="585"/>
      <c r="AN12" s="585"/>
      <c r="AO12" s="585"/>
      <c r="AP12" s="585"/>
      <c r="AQ12" s="585"/>
      <c r="AR12" s="585"/>
      <c r="AS12" s="585"/>
      <c r="AT12" s="585"/>
      <c r="AU12" s="1"/>
      <c r="AV12" s="1"/>
      <c r="AW12" s="1"/>
      <c r="AX12" s="1"/>
      <c r="AY12" s="1"/>
    </row>
    <row r="13" spans="1:51" s="6" customFormat="1" ht="15.6" customHeight="1" x14ac:dyDescent="0.2">
      <c r="A13" s="594"/>
      <c r="B13" s="595"/>
      <c r="C13" s="621"/>
      <c r="D13" s="622"/>
      <c r="E13" s="623"/>
      <c r="F13" s="624"/>
      <c r="G13" s="622"/>
      <c r="H13" s="623"/>
      <c r="I13" s="617">
        <v>90</v>
      </c>
      <c r="J13" s="617">
        <v>90</v>
      </c>
      <c r="K13" s="617">
        <v>90</v>
      </c>
      <c r="L13" s="617">
        <v>90</v>
      </c>
      <c r="M13" s="617">
        <v>90</v>
      </c>
      <c r="N13" s="617">
        <v>90</v>
      </c>
      <c r="O13" s="589"/>
      <c r="P13" s="589"/>
      <c r="Q13" s="593" t="s">
        <v>522</v>
      </c>
      <c r="R13" s="589"/>
      <c r="S13" s="589"/>
      <c r="T13" s="589"/>
      <c r="U13" s="589"/>
      <c r="V13" s="589"/>
      <c r="W13" s="589"/>
      <c r="X13" s="589"/>
      <c r="Y13" s="589"/>
      <c r="Z13" s="589"/>
      <c r="AA13" s="589"/>
      <c r="AB13" s="589"/>
      <c r="AC13" s="584"/>
      <c r="AD13" s="584"/>
      <c r="AE13" s="584"/>
      <c r="AF13" s="584"/>
      <c r="AG13" s="584"/>
      <c r="AH13" s="584"/>
      <c r="AI13" s="584"/>
      <c r="AJ13" s="584"/>
      <c r="AK13" s="584"/>
      <c r="AL13" s="584"/>
      <c r="AM13" s="585"/>
      <c r="AN13" s="585"/>
      <c r="AO13" s="585"/>
      <c r="AP13" s="585"/>
      <c r="AQ13" s="585"/>
      <c r="AR13" s="585"/>
      <c r="AS13" s="585"/>
      <c r="AT13" s="585"/>
      <c r="AU13" s="1"/>
      <c r="AV13" s="1"/>
      <c r="AW13" s="1"/>
      <c r="AX13" s="1"/>
      <c r="AY13" s="1"/>
    </row>
    <row r="14" spans="1:51" s="6" customFormat="1" ht="15.6" customHeight="1" x14ac:dyDescent="0.2">
      <c r="A14" s="594"/>
      <c r="B14" s="595"/>
      <c r="C14" s="615"/>
      <c r="D14" s="615"/>
      <c r="E14" s="615"/>
      <c r="F14" s="616"/>
      <c r="G14" s="616"/>
      <c r="H14" s="617">
        <v>90</v>
      </c>
      <c r="I14" s="617">
        <v>90</v>
      </c>
      <c r="J14" s="617">
        <v>90</v>
      </c>
      <c r="K14" s="617">
        <v>90</v>
      </c>
      <c r="L14" s="617">
        <v>90</v>
      </c>
      <c r="M14" s="617">
        <v>90</v>
      </c>
      <c r="N14" s="617">
        <v>90</v>
      </c>
      <c r="O14" s="589"/>
      <c r="P14" s="589"/>
      <c r="Q14" s="593" t="s">
        <v>523</v>
      </c>
      <c r="R14" s="589"/>
      <c r="S14" s="589"/>
      <c r="T14" s="589"/>
      <c r="U14" s="589"/>
      <c r="V14" s="589"/>
      <c r="W14" s="589"/>
      <c r="X14" s="589"/>
      <c r="Y14" s="589"/>
      <c r="Z14" s="589"/>
      <c r="AA14" s="589"/>
      <c r="AB14" s="589"/>
      <c r="AC14" s="584"/>
      <c r="AD14" s="584"/>
      <c r="AE14" s="584"/>
      <c r="AF14" s="584"/>
      <c r="AG14" s="584"/>
      <c r="AH14" s="584"/>
      <c r="AI14" s="584"/>
      <c r="AJ14" s="584"/>
      <c r="AK14" s="584"/>
      <c r="AL14" s="584"/>
      <c r="AM14" s="585"/>
      <c r="AN14" s="585"/>
      <c r="AO14" s="585"/>
      <c r="AP14" s="585"/>
      <c r="AQ14" s="585"/>
      <c r="AR14" s="585"/>
      <c r="AS14" s="585"/>
      <c r="AT14" s="585"/>
      <c r="AU14" s="1"/>
      <c r="AV14" s="1"/>
      <c r="AW14" s="1"/>
      <c r="AX14" s="1"/>
      <c r="AY14" s="1"/>
    </row>
    <row r="15" spans="1:51" s="6" customFormat="1" ht="15.6" customHeight="1" x14ac:dyDescent="0.2">
      <c r="A15" s="594"/>
      <c r="B15" s="595"/>
      <c r="C15" s="615"/>
      <c r="D15" s="615"/>
      <c r="E15" s="615"/>
      <c r="F15" s="616"/>
      <c r="G15" s="617">
        <v>90</v>
      </c>
      <c r="H15" s="617">
        <v>90</v>
      </c>
      <c r="I15" s="617">
        <v>90</v>
      </c>
      <c r="J15" s="617">
        <v>90</v>
      </c>
      <c r="K15" s="617">
        <v>90</v>
      </c>
      <c r="L15" s="617">
        <v>90</v>
      </c>
      <c r="M15" s="617">
        <v>90</v>
      </c>
      <c r="N15" s="617">
        <v>90</v>
      </c>
      <c r="O15" s="589"/>
      <c r="P15" s="589"/>
      <c r="Q15" s="589"/>
      <c r="R15" s="589"/>
      <c r="S15" s="589"/>
      <c r="T15" s="589"/>
      <c r="U15" s="589"/>
      <c r="V15" s="589"/>
      <c r="W15" s="589"/>
      <c r="X15" s="589"/>
      <c r="Y15" s="589"/>
      <c r="Z15" s="589"/>
      <c r="AA15" s="589"/>
      <c r="AB15" s="589"/>
      <c r="AC15" s="584"/>
      <c r="AD15" s="584"/>
      <c r="AE15" s="584"/>
      <c r="AF15" s="584"/>
      <c r="AG15" s="584"/>
      <c r="AH15" s="584"/>
      <c r="AI15" s="584"/>
      <c r="AJ15" s="584"/>
      <c r="AK15" s="584"/>
      <c r="AL15" s="584"/>
      <c r="AM15" s="585"/>
      <c r="AN15" s="585"/>
      <c r="AO15" s="585"/>
      <c r="AP15" s="585"/>
      <c r="AQ15" s="585"/>
      <c r="AR15" s="585"/>
      <c r="AS15" s="585"/>
      <c r="AT15" s="585"/>
      <c r="AU15" s="1"/>
      <c r="AV15" s="1"/>
      <c r="AW15" s="1"/>
      <c r="AX15" s="1"/>
      <c r="AY15" s="1"/>
    </row>
    <row r="16" spans="1:51" s="6" customFormat="1" ht="15.6" customHeight="1" x14ac:dyDescent="0.25">
      <c r="A16" s="594"/>
      <c r="B16" s="595"/>
      <c r="C16" s="615"/>
      <c r="D16" s="615"/>
      <c r="E16" s="615"/>
      <c r="F16" s="617">
        <v>90</v>
      </c>
      <c r="G16" s="617">
        <v>90</v>
      </c>
      <c r="H16" s="617">
        <v>90</v>
      </c>
      <c r="I16" s="617">
        <v>90</v>
      </c>
      <c r="J16" s="617">
        <v>90</v>
      </c>
      <c r="K16" s="617">
        <v>90</v>
      </c>
      <c r="L16" s="617">
        <v>90</v>
      </c>
      <c r="M16" s="617">
        <v>90</v>
      </c>
      <c r="N16" s="617">
        <v>90</v>
      </c>
      <c r="O16" s="589"/>
      <c r="P16" s="589"/>
      <c r="Q16" s="589"/>
      <c r="R16" s="589"/>
      <c r="S16" s="589"/>
      <c r="T16" s="589"/>
      <c r="U16" s="589"/>
      <c r="V16" s="589"/>
      <c r="W16" s="592" t="s">
        <v>524</v>
      </c>
      <c r="X16" s="589"/>
      <c r="Y16" s="589"/>
      <c r="Z16" s="589"/>
      <c r="AA16" s="589"/>
      <c r="AB16" s="589"/>
      <c r="AC16" s="584"/>
      <c r="AD16" s="584"/>
      <c r="AE16" s="584"/>
      <c r="AF16" s="584"/>
      <c r="AG16" s="584"/>
      <c r="AH16" s="584"/>
      <c r="AI16" s="584"/>
      <c r="AJ16" s="584"/>
      <c r="AK16" s="584"/>
      <c r="AL16" s="584"/>
      <c r="AM16" s="585"/>
      <c r="AN16" s="585"/>
      <c r="AO16" s="585"/>
      <c r="AP16" s="585"/>
      <c r="AQ16" s="585"/>
      <c r="AR16" s="585"/>
      <c r="AS16" s="585"/>
      <c r="AT16" s="585"/>
      <c r="AU16" s="1"/>
      <c r="AV16" s="1"/>
      <c r="AW16" s="1"/>
      <c r="AX16" s="1"/>
      <c r="AY16" s="1"/>
    </row>
    <row r="17" spans="1:51" s="6" customFormat="1" ht="15.6" customHeight="1" x14ac:dyDescent="0.2">
      <c r="A17" s="594"/>
      <c r="B17" s="595"/>
      <c r="C17" s="615"/>
      <c r="D17" s="615"/>
      <c r="E17" s="617">
        <v>90</v>
      </c>
      <c r="F17" s="617">
        <v>90</v>
      </c>
      <c r="G17" s="617">
        <v>90</v>
      </c>
      <c r="H17" s="617">
        <v>90</v>
      </c>
      <c r="I17" s="617">
        <v>90</v>
      </c>
      <c r="J17" s="617">
        <v>90</v>
      </c>
      <c r="K17" s="617">
        <v>90</v>
      </c>
      <c r="L17" s="617">
        <v>90</v>
      </c>
      <c r="M17" s="617">
        <v>90</v>
      </c>
      <c r="N17" s="617">
        <v>90</v>
      </c>
      <c r="O17" s="589"/>
      <c r="P17" s="589"/>
      <c r="Q17" s="589"/>
      <c r="R17" s="589"/>
      <c r="S17" s="589"/>
      <c r="T17" s="589"/>
      <c r="U17" s="589"/>
      <c r="V17" s="589"/>
      <c r="W17" s="625" t="s">
        <v>525</v>
      </c>
      <c r="X17" s="625" t="s">
        <v>526</v>
      </c>
      <c r="Y17" s="625" t="s">
        <v>527</v>
      </c>
      <c r="Z17" s="589"/>
      <c r="AA17" s="589"/>
      <c r="AB17" s="589"/>
      <c r="AC17" s="584"/>
      <c r="AD17" s="584"/>
      <c r="AE17" s="584"/>
      <c r="AF17" s="584"/>
      <c r="AG17" s="584"/>
      <c r="AH17" s="584"/>
      <c r="AI17" s="584"/>
      <c r="AJ17" s="584"/>
      <c r="AK17" s="584"/>
      <c r="AL17" s="584"/>
      <c r="AM17" s="585"/>
      <c r="AN17" s="585"/>
      <c r="AO17" s="585"/>
      <c r="AP17" s="585"/>
      <c r="AQ17" s="585"/>
      <c r="AR17" s="585"/>
      <c r="AS17" s="585"/>
      <c r="AT17" s="585"/>
      <c r="AU17" s="1"/>
      <c r="AV17" s="1"/>
      <c r="AW17" s="1"/>
      <c r="AX17" s="1"/>
      <c r="AY17" s="1"/>
    </row>
    <row r="18" spans="1:51" s="605" customFormat="1" ht="15.6" customHeight="1" x14ac:dyDescent="0.2">
      <c r="A18" s="594"/>
      <c r="B18" s="595"/>
      <c r="C18" s="615"/>
      <c r="D18" s="617">
        <v>90</v>
      </c>
      <c r="E18" s="617">
        <v>90</v>
      </c>
      <c r="F18" s="617">
        <v>90</v>
      </c>
      <c r="G18" s="617">
        <v>90</v>
      </c>
      <c r="H18" s="617">
        <v>90</v>
      </c>
      <c r="I18" s="617">
        <v>90</v>
      </c>
      <c r="J18" s="617">
        <v>90</v>
      </c>
      <c r="K18" s="617">
        <v>90</v>
      </c>
      <c r="L18" s="617">
        <v>90</v>
      </c>
      <c r="M18" s="617">
        <v>90</v>
      </c>
      <c r="N18" s="617">
        <v>90</v>
      </c>
      <c r="O18" s="589"/>
      <c r="P18" s="589"/>
      <c r="Q18" s="589"/>
      <c r="R18" s="589"/>
      <c r="S18" s="589"/>
      <c r="T18" s="589"/>
      <c r="U18" s="589"/>
      <c r="V18" s="589"/>
      <c r="W18" s="626">
        <v>0.5</v>
      </c>
      <c r="X18" s="627">
        <v>9</v>
      </c>
      <c r="Y18" s="628">
        <f>X18/12*W18</f>
        <v>0.375</v>
      </c>
      <c r="Z18" s="589"/>
      <c r="AA18" s="589"/>
      <c r="AB18" s="589"/>
      <c r="AC18" s="584"/>
      <c r="AD18" s="584"/>
      <c r="AE18" s="584"/>
      <c r="AF18" s="584"/>
      <c r="AG18" s="584"/>
      <c r="AH18" s="584"/>
      <c r="AI18" s="584"/>
      <c r="AJ18" s="584"/>
      <c r="AK18" s="584"/>
      <c r="AL18" s="584"/>
      <c r="AM18" s="585"/>
      <c r="AN18" s="585"/>
      <c r="AO18" s="585"/>
      <c r="AP18" s="585"/>
      <c r="AQ18" s="585"/>
      <c r="AR18" s="585"/>
      <c r="AS18" s="585"/>
      <c r="AT18" s="585"/>
      <c r="AU18" s="594"/>
      <c r="AV18" s="594"/>
      <c r="AW18" s="594"/>
      <c r="AX18" s="594"/>
      <c r="AY18" s="594"/>
    </row>
    <row r="19" spans="1:51" s="629" customFormat="1" ht="15.6" customHeight="1" x14ac:dyDescent="0.25">
      <c r="A19" s="594"/>
      <c r="B19" s="595"/>
      <c r="C19" s="617">
        <v>90</v>
      </c>
      <c r="D19" s="617">
        <v>90</v>
      </c>
      <c r="E19" s="617">
        <v>90</v>
      </c>
      <c r="F19" s="617">
        <v>90</v>
      </c>
      <c r="G19" s="617">
        <v>90</v>
      </c>
      <c r="H19" s="617">
        <v>90</v>
      </c>
      <c r="I19" s="617">
        <v>90</v>
      </c>
      <c r="J19" s="617">
        <v>90</v>
      </c>
      <c r="K19" s="617">
        <v>90</v>
      </c>
      <c r="L19" s="617">
        <v>90</v>
      </c>
      <c r="M19" s="617">
        <v>90</v>
      </c>
      <c r="N19" s="617">
        <v>90</v>
      </c>
      <c r="O19" s="589"/>
      <c r="P19" s="589"/>
      <c r="Q19" s="589"/>
      <c r="R19" s="589"/>
      <c r="S19" s="589"/>
      <c r="T19" s="589"/>
      <c r="U19" s="589"/>
      <c r="V19" s="589"/>
      <c r="W19" s="626">
        <v>0.9</v>
      </c>
      <c r="X19" s="627">
        <v>3</v>
      </c>
      <c r="Y19" s="628">
        <f>X19/12*W19</f>
        <v>0.22500000000000001</v>
      </c>
      <c r="Z19" s="589"/>
      <c r="AA19" s="589"/>
      <c r="AB19" s="589"/>
      <c r="AC19" s="584"/>
      <c r="AD19" s="584"/>
      <c r="AE19" s="584"/>
      <c r="AF19" s="584"/>
      <c r="AG19" s="584"/>
      <c r="AH19" s="584"/>
      <c r="AI19" s="584"/>
      <c r="AJ19" s="584"/>
      <c r="AK19" s="584"/>
      <c r="AL19" s="584"/>
      <c r="AM19" s="585"/>
      <c r="AN19" s="585"/>
      <c r="AO19" s="585"/>
      <c r="AP19" s="585"/>
      <c r="AQ19" s="585"/>
      <c r="AR19" s="585"/>
      <c r="AS19" s="585"/>
      <c r="AT19" s="585"/>
      <c r="AU19" s="8"/>
      <c r="AV19" s="8"/>
      <c r="AW19" s="8"/>
      <c r="AX19" s="8"/>
      <c r="AY19" s="8"/>
    </row>
    <row r="20" spans="1:51" s="629" customFormat="1" ht="15.75" x14ac:dyDescent="0.25">
      <c r="A20" s="594"/>
      <c r="B20" s="595"/>
      <c r="C20" s="595"/>
      <c r="D20" s="595"/>
      <c r="E20" s="595"/>
      <c r="F20" s="595"/>
      <c r="G20" s="595"/>
      <c r="H20" s="595"/>
      <c r="I20" s="595"/>
      <c r="J20" s="595"/>
      <c r="K20" s="595"/>
      <c r="L20" s="595"/>
      <c r="M20" s="595"/>
      <c r="N20" s="595"/>
      <c r="O20" s="595"/>
      <c r="P20" s="595"/>
      <c r="Q20" s="595"/>
      <c r="R20" s="589"/>
      <c r="S20" s="589"/>
      <c r="T20" s="589"/>
      <c r="U20" s="589"/>
      <c r="V20" s="589"/>
      <c r="W20" s="589"/>
      <c r="X20" s="589"/>
      <c r="Y20" s="799">
        <f>SUM(Y18:Y19)</f>
        <v>0.6</v>
      </c>
      <c r="Z20" s="589"/>
      <c r="AA20" s="589"/>
      <c r="AB20" s="589"/>
      <c r="AC20" s="584"/>
      <c r="AD20" s="584"/>
      <c r="AE20" s="584"/>
      <c r="AF20" s="584"/>
      <c r="AG20" s="584"/>
      <c r="AH20" s="584"/>
      <c r="AI20" s="584"/>
      <c r="AJ20" s="584"/>
      <c r="AK20" s="584"/>
      <c r="AL20" s="584"/>
      <c r="AM20" s="585"/>
      <c r="AN20" s="585"/>
      <c r="AO20" s="585"/>
      <c r="AP20" s="585"/>
      <c r="AQ20" s="585"/>
      <c r="AR20" s="585"/>
      <c r="AS20" s="585"/>
      <c r="AT20" s="585"/>
      <c r="AU20" s="8"/>
      <c r="AV20" s="8"/>
      <c r="AW20" s="8"/>
      <c r="AX20" s="8"/>
      <c r="AY20" s="8"/>
    </row>
    <row r="21" spans="1:51" s="629" customFormat="1" ht="15.75" x14ac:dyDescent="0.25">
      <c r="A21" s="594" t="s">
        <v>528</v>
      </c>
      <c r="B21" s="630">
        <v>1200</v>
      </c>
      <c r="C21" s="631">
        <f>$B$21/12</f>
        <v>100</v>
      </c>
      <c r="D21" s="631">
        <f t="shared" ref="D21:M21" si="0">$B$21/12</f>
        <v>100</v>
      </c>
      <c r="E21" s="631">
        <f t="shared" si="0"/>
        <v>100</v>
      </c>
      <c r="F21" s="631">
        <f t="shared" si="0"/>
        <v>100</v>
      </c>
      <c r="G21" s="631">
        <f t="shared" si="0"/>
        <v>100</v>
      </c>
      <c r="H21" s="631">
        <f t="shared" si="0"/>
        <v>100</v>
      </c>
      <c r="I21" s="631">
        <f t="shared" si="0"/>
        <v>100</v>
      </c>
      <c r="J21" s="631">
        <f t="shared" si="0"/>
        <v>100</v>
      </c>
      <c r="K21" s="631">
        <f t="shared" si="0"/>
        <v>100</v>
      </c>
      <c r="L21" s="631">
        <f t="shared" si="0"/>
        <v>100</v>
      </c>
      <c r="M21" s="631">
        <f t="shared" si="0"/>
        <v>100</v>
      </c>
      <c r="N21" s="631">
        <f>$B$21/12</f>
        <v>100</v>
      </c>
      <c r="O21" s="589"/>
      <c r="P21" s="589"/>
      <c r="Q21" s="589"/>
      <c r="R21" s="589"/>
      <c r="S21" s="589"/>
      <c r="T21" s="589"/>
      <c r="U21" s="589"/>
      <c r="V21" s="589"/>
      <c r="W21" s="589"/>
      <c r="X21" s="589"/>
      <c r="Y21" s="589"/>
      <c r="Z21" s="589"/>
      <c r="AA21" s="589"/>
      <c r="AB21" s="589"/>
      <c r="AC21" s="584"/>
      <c r="AD21" s="584"/>
      <c r="AE21" s="584"/>
      <c r="AF21" s="584"/>
      <c r="AG21" s="584"/>
      <c r="AH21" s="584"/>
      <c r="AI21" s="584"/>
      <c r="AJ21" s="584"/>
      <c r="AK21" s="584"/>
      <c r="AL21" s="584"/>
      <c r="AM21" s="585"/>
      <c r="AN21" s="585"/>
      <c r="AO21" s="585"/>
      <c r="AP21" s="585"/>
      <c r="AQ21" s="585"/>
      <c r="AR21" s="585"/>
      <c r="AS21" s="585"/>
      <c r="AT21" s="585"/>
      <c r="AU21" s="8"/>
      <c r="AV21" s="8"/>
      <c r="AW21" s="8"/>
      <c r="AX21" s="8"/>
      <c r="AY21" s="8"/>
    </row>
    <row r="22" spans="1:51" s="629" customFormat="1" ht="15.75" x14ac:dyDescent="0.25">
      <c r="A22" s="594" t="s">
        <v>529</v>
      </c>
      <c r="B22" s="632">
        <v>0.9</v>
      </c>
      <c r="C22" s="633"/>
      <c r="D22" s="633"/>
      <c r="E22" s="633"/>
      <c r="F22" s="633"/>
      <c r="G22" s="633"/>
      <c r="H22" s="633"/>
      <c r="I22" s="633"/>
      <c r="J22" s="633"/>
      <c r="K22" s="633"/>
      <c r="L22" s="633"/>
      <c r="M22" s="633"/>
      <c r="N22" s="633"/>
      <c r="O22" s="589"/>
      <c r="P22" s="589"/>
      <c r="Q22" s="589"/>
      <c r="R22" s="589"/>
      <c r="S22" s="589"/>
      <c r="T22" s="589"/>
      <c r="U22" s="589"/>
      <c r="V22" s="589"/>
      <c r="W22" s="589"/>
      <c r="X22" s="589"/>
      <c r="Y22" s="589"/>
      <c r="Z22" s="589"/>
      <c r="AA22" s="589"/>
      <c r="AB22" s="589"/>
      <c r="AC22" s="584"/>
      <c r="AD22" s="584"/>
      <c r="AE22" s="584"/>
      <c r="AF22" s="584"/>
      <c r="AG22" s="584"/>
      <c r="AH22" s="584"/>
      <c r="AI22" s="584"/>
      <c r="AJ22" s="584"/>
      <c r="AK22" s="584"/>
      <c r="AL22" s="584"/>
      <c r="AM22" s="585"/>
      <c r="AN22" s="585"/>
      <c r="AO22" s="585"/>
      <c r="AP22" s="585"/>
      <c r="AQ22" s="585"/>
      <c r="AR22" s="585"/>
      <c r="AS22" s="585"/>
      <c r="AT22" s="585"/>
      <c r="AU22" s="8"/>
      <c r="AV22" s="8"/>
      <c r="AW22" s="8"/>
      <c r="AX22" s="8"/>
      <c r="AY22" s="8"/>
    </row>
    <row r="23" spans="1:51" s="6" customFormat="1" x14ac:dyDescent="0.25">
      <c r="A23" s="594" t="s">
        <v>530</v>
      </c>
      <c r="B23" s="595"/>
      <c r="C23" s="634">
        <f>SUM(C8:C19)</f>
        <v>90</v>
      </c>
      <c r="D23" s="634">
        <f t="shared" ref="D23:N23" si="1">SUM(D8:D19)</f>
        <v>180</v>
      </c>
      <c r="E23" s="634">
        <f t="shared" si="1"/>
        <v>270</v>
      </c>
      <c r="F23" s="634">
        <f t="shared" si="1"/>
        <v>360</v>
      </c>
      <c r="G23" s="634">
        <f t="shared" si="1"/>
        <v>450</v>
      </c>
      <c r="H23" s="634">
        <f t="shared" si="1"/>
        <v>540</v>
      </c>
      <c r="I23" s="634">
        <f t="shared" si="1"/>
        <v>630</v>
      </c>
      <c r="J23" s="634">
        <f t="shared" si="1"/>
        <v>720</v>
      </c>
      <c r="K23" s="634">
        <f t="shared" si="1"/>
        <v>810</v>
      </c>
      <c r="L23" s="634">
        <f t="shared" si="1"/>
        <v>900</v>
      </c>
      <c r="M23" s="634">
        <f t="shared" si="1"/>
        <v>990</v>
      </c>
      <c r="N23" s="635">
        <f t="shared" si="1"/>
        <v>1080</v>
      </c>
      <c r="O23" s="636" t="s">
        <v>531</v>
      </c>
      <c r="P23" s="589"/>
      <c r="Q23" s="589"/>
      <c r="R23" s="589"/>
      <c r="S23" s="589"/>
      <c r="T23" s="589"/>
      <c r="U23" s="589"/>
      <c r="V23" s="589"/>
      <c r="W23" s="589"/>
      <c r="X23" s="589"/>
      <c r="Y23" s="589"/>
      <c r="Z23" s="589"/>
      <c r="AA23" s="589"/>
      <c r="AB23" s="589"/>
      <c r="AC23" s="589"/>
      <c r="AD23" s="589"/>
      <c r="AE23" s="589"/>
      <c r="AF23" s="589"/>
      <c r="AG23" s="589"/>
      <c r="AH23" s="589"/>
      <c r="AI23" s="589"/>
      <c r="AJ23" s="589"/>
      <c r="AK23" s="589"/>
      <c r="AL23" s="589"/>
      <c r="AM23" s="589"/>
      <c r="AN23" s="589"/>
      <c r="AO23" s="589"/>
      <c r="AP23" s="589"/>
      <c r="AQ23" s="1"/>
      <c r="AR23" s="1"/>
      <c r="AS23" s="1"/>
      <c r="AT23" s="1"/>
      <c r="AU23" s="1"/>
      <c r="AV23" s="1"/>
      <c r="AW23" s="1"/>
      <c r="AX23" s="1"/>
      <c r="AY23" s="1"/>
    </row>
    <row r="24" spans="1:51" x14ac:dyDescent="0.2">
      <c r="A24" s="594" t="s">
        <v>532</v>
      </c>
      <c r="B24" s="595"/>
      <c r="C24" s="637">
        <f>C23/$B$21</f>
        <v>7.4999999999999997E-2</v>
      </c>
      <c r="D24" s="637">
        <f t="shared" ref="D24:N24" si="2">D23/$B$21</f>
        <v>0.15</v>
      </c>
      <c r="E24" s="637">
        <f t="shared" si="2"/>
        <v>0.22500000000000001</v>
      </c>
      <c r="F24" s="637">
        <f t="shared" si="2"/>
        <v>0.3</v>
      </c>
      <c r="G24" s="637">
        <f t="shared" si="2"/>
        <v>0.375</v>
      </c>
      <c r="H24" s="637">
        <f t="shared" si="2"/>
        <v>0.45</v>
      </c>
      <c r="I24" s="637">
        <f t="shared" si="2"/>
        <v>0.52500000000000002</v>
      </c>
      <c r="J24" s="637">
        <f t="shared" si="2"/>
        <v>0.6</v>
      </c>
      <c r="K24" s="637">
        <f t="shared" si="2"/>
        <v>0.67500000000000004</v>
      </c>
      <c r="L24" s="637">
        <f t="shared" si="2"/>
        <v>0.75</v>
      </c>
      <c r="M24" s="637">
        <f t="shared" si="2"/>
        <v>0.82499999999999996</v>
      </c>
      <c r="N24" s="637">
        <f t="shared" si="2"/>
        <v>0.9</v>
      </c>
      <c r="O24" s="636" t="s">
        <v>533</v>
      </c>
      <c r="P24" s="589"/>
      <c r="Q24" s="589"/>
      <c r="R24" s="589"/>
      <c r="S24" s="589"/>
      <c r="T24" s="589"/>
      <c r="U24" s="589"/>
      <c r="V24" s="589"/>
      <c r="W24" s="589"/>
      <c r="X24" s="589"/>
      <c r="Y24" s="589"/>
      <c r="Z24" s="589"/>
      <c r="AA24" s="589"/>
      <c r="AB24" s="638"/>
      <c r="AC24" s="639"/>
      <c r="AD24" s="639"/>
      <c r="AE24" s="639"/>
      <c r="AF24" s="639"/>
      <c r="AG24" s="639"/>
      <c r="AH24" s="639"/>
      <c r="AI24" s="639"/>
      <c r="AJ24" s="639"/>
      <c r="AK24" s="639"/>
      <c r="AL24" s="639"/>
      <c r="AM24" s="639"/>
      <c r="AN24" s="639"/>
      <c r="AO24" s="639"/>
      <c r="AP24" s="639"/>
      <c r="AQ24" s="585"/>
      <c r="AR24" s="585"/>
      <c r="AS24" s="585"/>
      <c r="AT24" s="585"/>
      <c r="AU24" s="585"/>
      <c r="AV24" s="585"/>
      <c r="AW24" s="585"/>
      <c r="AX24" s="585"/>
      <c r="AY24" s="585"/>
    </row>
    <row r="25" spans="1:51" x14ac:dyDescent="0.2">
      <c r="A25" s="640"/>
      <c r="B25" s="595"/>
      <c r="C25" s="589"/>
      <c r="D25" s="641"/>
      <c r="E25" s="641"/>
      <c r="F25" s="642"/>
      <c r="G25" s="642"/>
      <c r="H25" s="642"/>
      <c r="I25" s="589"/>
      <c r="J25" s="589"/>
      <c r="K25" s="589"/>
      <c r="L25" s="589"/>
      <c r="M25" s="589"/>
      <c r="N25" s="643" t="s">
        <v>534</v>
      </c>
      <c r="O25" s="1"/>
      <c r="P25" s="589"/>
      <c r="Q25" s="589"/>
      <c r="R25" s="589"/>
      <c r="S25" s="589"/>
      <c r="T25" s="589"/>
      <c r="U25" s="589"/>
      <c r="V25" s="589"/>
      <c r="W25" s="589"/>
      <c r="X25" s="589"/>
      <c r="Y25" s="589"/>
      <c r="Z25" s="589"/>
      <c r="AA25" s="589"/>
      <c r="AB25" s="589"/>
      <c r="AC25" s="584"/>
      <c r="AD25" s="644"/>
      <c r="AE25" s="584"/>
      <c r="AF25" s="584"/>
      <c r="AG25" s="584"/>
      <c r="AH25" s="584"/>
      <c r="AI25" s="584"/>
      <c r="AJ25" s="584"/>
      <c r="AK25" s="584"/>
      <c r="AL25" s="584"/>
      <c r="AM25" s="584"/>
      <c r="AN25" s="584"/>
      <c r="AO25" s="584"/>
      <c r="AP25" s="644"/>
      <c r="AQ25" s="585"/>
      <c r="AR25" s="585"/>
      <c r="AS25" s="585"/>
      <c r="AT25" s="585"/>
      <c r="AU25" s="585"/>
      <c r="AV25" s="585"/>
      <c r="AW25" s="585"/>
      <c r="AX25" s="585"/>
      <c r="AY25" s="585"/>
    </row>
    <row r="26" spans="1:51" x14ac:dyDescent="0.2">
      <c r="A26" s="640"/>
      <c r="B26" s="595"/>
      <c r="C26" s="589"/>
      <c r="D26" s="641"/>
      <c r="E26" s="641"/>
      <c r="F26" s="642"/>
      <c r="G26" s="642"/>
      <c r="H26" s="642"/>
      <c r="I26" s="589"/>
      <c r="J26" s="589"/>
      <c r="K26" s="589"/>
      <c r="L26" s="589"/>
      <c r="M26" s="589"/>
      <c r="N26" s="645"/>
      <c r="O26" s="589"/>
      <c r="P26" s="589"/>
      <c r="Q26" s="589"/>
      <c r="R26" s="589"/>
      <c r="S26" s="589"/>
      <c r="T26" s="589"/>
      <c r="U26" s="589"/>
      <c r="V26" s="589"/>
      <c r="W26" s="589"/>
      <c r="X26" s="589"/>
      <c r="Y26" s="589"/>
      <c r="Z26" s="589"/>
      <c r="AA26" s="589"/>
      <c r="AB26" s="589"/>
      <c r="AC26" s="584"/>
      <c r="AD26" s="646"/>
      <c r="AE26" s="584"/>
      <c r="AF26" s="584"/>
      <c r="AG26" s="584"/>
      <c r="AH26" s="584"/>
      <c r="AI26" s="584"/>
      <c r="AJ26" s="584"/>
      <c r="AK26" s="584"/>
      <c r="AL26" s="584"/>
      <c r="AM26" s="584"/>
      <c r="AN26" s="584"/>
      <c r="AO26" s="584"/>
      <c r="AP26" s="646"/>
      <c r="AQ26" s="585"/>
      <c r="AR26" s="585"/>
      <c r="AS26" s="585"/>
      <c r="AT26" s="585"/>
      <c r="AU26" s="585"/>
      <c r="AV26" s="585"/>
      <c r="AW26" s="585"/>
      <c r="AX26" s="585"/>
      <c r="AY26" s="585"/>
    </row>
    <row r="27" spans="1:51" ht="15.75" x14ac:dyDescent="0.25">
      <c r="A27" s="640"/>
      <c r="B27" s="642"/>
      <c r="C27" s="589"/>
      <c r="D27" s="641"/>
      <c r="E27" s="641"/>
      <c r="F27" s="642"/>
      <c r="G27" s="642"/>
      <c r="H27" s="642"/>
      <c r="I27" s="589"/>
      <c r="J27" s="589"/>
      <c r="K27" s="589"/>
      <c r="L27" s="589"/>
      <c r="M27" s="645" t="s">
        <v>535</v>
      </c>
      <c r="N27" s="647">
        <f>ROUNDUP((C23+D23+E23+F23+G23+H23+I23+J23+K23+L23+M23+N23)/(12*1200),1)</f>
        <v>0.5</v>
      </c>
      <c r="O27" s="592"/>
      <c r="P27" s="589"/>
      <c r="Q27" s="589"/>
      <c r="R27" s="589"/>
      <c r="S27" s="589"/>
      <c r="T27" s="589"/>
      <c r="U27" s="589"/>
      <c r="V27" s="589"/>
      <c r="W27" s="589"/>
      <c r="X27" s="589"/>
      <c r="Y27" s="589"/>
      <c r="Z27" s="589"/>
      <c r="AA27" s="589"/>
      <c r="AB27" s="589"/>
      <c r="AC27" s="584"/>
      <c r="AD27" s="648"/>
      <c r="AE27" s="584"/>
      <c r="AF27" s="584"/>
      <c r="AG27" s="584"/>
      <c r="AH27" s="584"/>
      <c r="AI27" s="584"/>
      <c r="AJ27" s="584"/>
      <c r="AK27" s="584"/>
      <c r="AL27" s="584"/>
      <c r="AM27" s="584"/>
      <c r="AN27" s="584"/>
      <c r="AO27" s="584"/>
      <c r="AP27" s="649"/>
      <c r="AQ27" s="585"/>
      <c r="AR27" s="585"/>
      <c r="AS27" s="585"/>
      <c r="AT27" s="585"/>
      <c r="AU27" s="585"/>
      <c r="AV27" s="585"/>
      <c r="AW27" s="585"/>
      <c r="AX27" s="585"/>
      <c r="AY27" s="585"/>
    </row>
    <row r="28" spans="1:51" ht="15.75" x14ac:dyDescent="0.25">
      <c r="A28" s="640"/>
      <c r="B28" s="642"/>
      <c r="C28" s="589"/>
      <c r="D28" s="641"/>
      <c r="E28" s="641"/>
      <c r="F28" s="642"/>
      <c r="G28" s="642"/>
      <c r="H28" s="642"/>
      <c r="I28" s="589"/>
      <c r="J28" s="589"/>
      <c r="K28" s="589"/>
      <c r="L28" s="589"/>
      <c r="M28" s="589"/>
      <c r="N28" s="645"/>
      <c r="O28" s="589"/>
      <c r="P28" s="589"/>
      <c r="Q28" s="589"/>
      <c r="R28" s="589"/>
      <c r="S28" s="589"/>
      <c r="T28" s="589"/>
      <c r="U28" s="589"/>
      <c r="V28" s="589"/>
      <c r="W28" s="589"/>
      <c r="X28" s="589"/>
      <c r="Y28" s="589"/>
      <c r="Z28" s="589"/>
      <c r="AA28" s="589"/>
      <c r="AB28" s="589"/>
      <c r="AC28" s="584"/>
      <c r="AD28" s="650"/>
      <c r="AE28" s="584"/>
      <c r="AF28" s="584"/>
      <c r="AG28" s="584"/>
      <c r="AH28" s="584"/>
      <c r="AI28" s="584"/>
      <c r="AJ28" s="584"/>
      <c r="AK28" s="584"/>
      <c r="AL28" s="584"/>
      <c r="AM28" s="584"/>
      <c r="AN28" s="584"/>
      <c r="AO28" s="584"/>
      <c r="AP28" s="650"/>
      <c r="AQ28" s="585"/>
      <c r="AR28" s="585"/>
      <c r="AS28" s="585"/>
      <c r="AT28" s="585"/>
      <c r="AU28" s="585"/>
      <c r="AV28" s="585"/>
      <c r="AW28" s="585"/>
      <c r="AX28" s="585"/>
      <c r="AY28" s="585"/>
    </row>
    <row r="29" spans="1:51" ht="15.75" x14ac:dyDescent="0.25">
      <c r="A29" s="640"/>
      <c r="B29" s="642"/>
      <c r="C29" s="589"/>
      <c r="D29" s="641"/>
      <c r="E29" s="641"/>
      <c r="F29" s="642"/>
      <c r="G29" s="642"/>
      <c r="H29" s="642"/>
      <c r="I29" s="589"/>
      <c r="J29" s="589"/>
      <c r="K29" s="589"/>
      <c r="L29" s="589"/>
      <c r="M29" s="589"/>
      <c r="N29" s="651" t="s">
        <v>536</v>
      </c>
      <c r="O29" s="589"/>
      <c r="P29" s="589"/>
      <c r="Q29" s="589"/>
      <c r="R29" s="589"/>
      <c r="S29" s="589"/>
      <c r="T29" s="589"/>
      <c r="U29" s="589"/>
      <c r="V29" s="589"/>
      <c r="W29" s="589"/>
      <c r="X29" s="589"/>
      <c r="Y29" s="589"/>
      <c r="Z29" s="589"/>
      <c r="AA29" s="589"/>
      <c r="AB29" s="589"/>
      <c r="AC29" s="584"/>
      <c r="AD29" s="650"/>
      <c r="AE29" s="584"/>
      <c r="AF29" s="584"/>
      <c r="AG29" s="584"/>
      <c r="AH29" s="584"/>
      <c r="AI29" s="584"/>
      <c r="AJ29" s="584"/>
      <c r="AK29" s="584"/>
      <c r="AL29" s="584"/>
      <c r="AM29" s="584"/>
      <c r="AN29" s="584"/>
      <c r="AO29" s="584"/>
      <c r="AP29" s="650"/>
      <c r="AQ29" s="585"/>
      <c r="AR29" s="585"/>
      <c r="AS29" s="585"/>
      <c r="AT29" s="585"/>
      <c r="AU29" s="585"/>
      <c r="AV29" s="585"/>
      <c r="AW29" s="585"/>
      <c r="AX29" s="585"/>
      <c r="AY29" s="585"/>
    </row>
    <row r="30" spans="1:51" ht="15.75" x14ac:dyDescent="0.25">
      <c r="A30" s="640"/>
      <c r="B30" s="642"/>
      <c r="C30" s="589"/>
      <c r="D30" s="641"/>
      <c r="E30" s="641"/>
      <c r="F30" s="642"/>
      <c r="G30" s="642"/>
      <c r="H30" s="642"/>
      <c r="I30" s="589"/>
      <c r="J30" s="589"/>
      <c r="K30" s="589"/>
      <c r="L30" s="589"/>
      <c r="M30" s="589"/>
      <c r="N30" s="645" t="s">
        <v>537</v>
      </c>
      <c r="O30" s="589"/>
      <c r="P30" s="589"/>
      <c r="Q30" s="589"/>
      <c r="R30" s="589"/>
      <c r="S30" s="589"/>
      <c r="T30" s="589"/>
      <c r="U30" s="589"/>
      <c r="V30" s="589"/>
      <c r="W30" s="589"/>
      <c r="X30" s="589"/>
      <c r="Y30" s="589"/>
      <c r="Z30" s="589"/>
      <c r="AA30" s="589"/>
      <c r="AB30" s="589"/>
      <c r="AC30" s="584"/>
      <c r="AD30" s="648"/>
      <c r="AE30" s="584"/>
      <c r="AF30" s="584"/>
      <c r="AG30" s="584"/>
      <c r="AH30" s="584"/>
      <c r="AI30" s="584"/>
      <c r="AJ30" s="584"/>
      <c r="AK30" s="584"/>
      <c r="AL30" s="584"/>
      <c r="AM30" s="584"/>
      <c r="AN30" s="584"/>
      <c r="AO30" s="584"/>
      <c r="AP30" s="649"/>
      <c r="AQ30" s="585"/>
      <c r="AR30" s="585"/>
      <c r="AS30" s="585"/>
      <c r="AT30" s="585"/>
      <c r="AU30" s="585"/>
      <c r="AV30" s="585"/>
      <c r="AW30" s="585"/>
      <c r="AX30" s="585"/>
      <c r="AY30" s="585"/>
    </row>
    <row r="31" spans="1:51" s="654" customFormat="1" x14ac:dyDescent="0.2">
      <c r="A31" s="652"/>
      <c r="B31" s="595"/>
      <c r="C31" s="1"/>
      <c r="D31" s="51"/>
      <c r="E31" s="51"/>
      <c r="F31" s="51"/>
      <c r="G31" s="51"/>
      <c r="H31" s="51"/>
      <c r="I31" s="51"/>
      <c r="J31" s="51"/>
      <c r="K31" s="51"/>
      <c r="L31" s="51"/>
      <c r="M31" s="51"/>
      <c r="N31" s="645" t="s">
        <v>538</v>
      </c>
      <c r="O31" s="595"/>
      <c r="P31" s="595"/>
      <c r="Q31" s="595"/>
      <c r="R31" s="595"/>
      <c r="S31" s="595"/>
      <c r="T31" s="595"/>
      <c r="U31" s="595"/>
      <c r="V31" s="595"/>
      <c r="W31" s="595"/>
      <c r="X31" s="595"/>
      <c r="Y31" s="595"/>
      <c r="Z31" s="595"/>
      <c r="AA31" s="595"/>
      <c r="AB31" s="595"/>
      <c r="AC31" s="653"/>
      <c r="AD31" s="653"/>
      <c r="AE31" s="653"/>
      <c r="AF31" s="653"/>
      <c r="AG31" s="653"/>
      <c r="AH31" s="653"/>
      <c r="AI31" s="653"/>
      <c r="AJ31" s="653"/>
      <c r="AK31" s="653"/>
      <c r="AL31" s="653"/>
      <c r="AM31" s="653"/>
      <c r="AN31" s="653"/>
      <c r="AO31" s="653"/>
      <c r="AP31" s="653"/>
      <c r="AQ31" s="653"/>
      <c r="AR31" s="653"/>
      <c r="AS31" s="653"/>
      <c r="AT31" s="653"/>
      <c r="AU31" s="653"/>
      <c r="AV31" s="653"/>
      <c r="AW31" s="653"/>
      <c r="AX31" s="653"/>
      <c r="AY31" s="653"/>
    </row>
    <row r="32" spans="1:51" s="654" customFormat="1" x14ac:dyDescent="0.2">
      <c r="A32" s="652"/>
      <c r="B32" s="595"/>
      <c r="C32" s="1"/>
      <c r="D32" s="51"/>
      <c r="E32" s="51"/>
      <c r="F32" s="51"/>
      <c r="G32" s="51"/>
      <c r="H32" s="51"/>
      <c r="I32" s="51"/>
      <c r="J32" s="51"/>
      <c r="K32" s="51"/>
      <c r="L32" s="51"/>
      <c r="M32" s="51"/>
      <c r="N32" s="645" t="s">
        <v>539</v>
      </c>
      <c r="O32" s="595"/>
      <c r="P32" s="595"/>
      <c r="Q32" s="595"/>
      <c r="R32" s="595"/>
      <c r="S32" s="595"/>
      <c r="T32" s="595"/>
      <c r="U32" s="595"/>
      <c r="V32" s="595"/>
      <c r="W32" s="595"/>
      <c r="X32" s="595"/>
      <c r="Y32" s="595"/>
      <c r="Z32" s="595"/>
      <c r="AA32" s="595"/>
      <c r="AB32" s="595"/>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row>
    <row r="33" spans="1:5" s="654" customFormat="1" ht="15.75" x14ac:dyDescent="0.2">
      <c r="A33" s="655"/>
      <c r="C33" s="586"/>
      <c r="D33" s="656"/>
      <c r="E33" s="656"/>
    </row>
    <row r="34" spans="1:5" s="654" customFormat="1" ht="15.75" x14ac:dyDescent="0.2">
      <c r="A34" s="655"/>
      <c r="C34" s="586"/>
      <c r="D34" s="656"/>
      <c r="E34" s="656"/>
    </row>
    <row r="35" spans="1:5" s="654" customFormat="1" ht="15.75" x14ac:dyDescent="0.2">
      <c r="A35" s="655"/>
      <c r="C35" s="586"/>
      <c r="D35" s="656"/>
      <c r="E35" s="656"/>
    </row>
    <row r="36" spans="1:5" s="654" customFormat="1" ht="15.75" x14ac:dyDescent="0.2">
      <c r="A36" s="655"/>
      <c r="C36" s="586"/>
      <c r="D36" s="656"/>
      <c r="E36" s="656"/>
    </row>
    <row r="37" spans="1:5" s="654" customFormat="1" ht="15.75" x14ac:dyDescent="0.2">
      <c r="A37" s="655"/>
      <c r="C37" s="586"/>
      <c r="D37" s="656"/>
      <c r="E37" s="656"/>
    </row>
    <row r="38" spans="1:5" s="654" customFormat="1" ht="15.75" x14ac:dyDescent="0.2">
      <c r="A38" s="655"/>
      <c r="C38" s="586"/>
      <c r="D38" s="656"/>
      <c r="E38" s="656"/>
    </row>
    <row r="39" spans="1:5" s="654" customFormat="1" ht="15.75" x14ac:dyDescent="0.2">
      <c r="A39" s="655"/>
      <c r="C39" s="586"/>
      <c r="D39" s="656"/>
      <c r="E39" s="656"/>
    </row>
    <row r="40" spans="1:5" s="654" customFormat="1" ht="15.75" x14ac:dyDescent="0.2">
      <c r="A40" s="655"/>
      <c r="C40" s="586"/>
      <c r="D40" s="656"/>
      <c r="E40" s="656"/>
    </row>
    <row r="41" spans="1:5" s="654" customFormat="1" ht="15.75" x14ac:dyDescent="0.2">
      <c r="A41" s="655"/>
      <c r="C41" s="586"/>
      <c r="D41" s="656"/>
      <c r="E41" s="656"/>
    </row>
    <row r="42" spans="1:5" s="654" customFormat="1" ht="15.75" x14ac:dyDescent="0.2">
      <c r="A42" s="655"/>
      <c r="C42" s="586"/>
      <c r="D42" s="656"/>
      <c r="E42" s="656"/>
    </row>
    <row r="43" spans="1:5" s="654" customFormat="1" ht="15.75" x14ac:dyDescent="0.2">
      <c r="A43" s="655"/>
      <c r="C43" s="586"/>
      <c r="D43" s="656"/>
      <c r="E43" s="656"/>
    </row>
    <row r="44" spans="1:5" s="654" customFormat="1" ht="15.75" x14ac:dyDescent="0.2">
      <c r="A44" s="655"/>
      <c r="C44" s="586"/>
      <c r="D44" s="656"/>
      <c r="E44" s="656"/>
    </row>
    <row r="45" spans="1:5" s="654" customFormat="1" ht="15.75" x14ac:dyDescent="0.2">
      <c r="A45" s="655"/>
      <c r="C45" s="586"/>
      <c r="D45" s="656"/>
      <c r="E45" s="656"/>
    </row>
    <row r="46" spans="1:5" s="654" customFormat="1" ht="15.75" x14ac:dyDescent="0.2">
      <c r="A46" s="655"/>
      <c r="C46" s="586"/>
      <c r="D46" s="656"/>
      <c r="E46" s="656"/>
    </row>
    <row r="47" spans="1:5" s="654" customFormat="1" ht="15.75" x14ac:dyDescent="0.2">
      <c r="A47" s="655"/>
      <c r="C47" s="586"/>
      <c r="D47" s="656"/>
      <c r="E47" s="656"/>
    </row>
    <row r="48" spans="1:5" s="654" customFormat="1" ht="15.75" x14ac:dyDescent="0.2">
      <c r="A48" s="655"/>
      <c r="C48" s="586"/>
      <c r="D48" s="656"/>
      <c r="E48" s="656"/>
    </row>
    <row r="49" spans="1:5" s="654" customFormat="1" ht="15.75" x14ac:dyDescent="0.2">
      <c r="A49" s="655"/>
      <c r="C49" s="586"/>
      <c r="D49" s="656"/>
      <c r="E49" s="656"/>
    </row>
    <row r="50" spans="1:5" s="654" customFormat="1" ht="15.75" x14ac:dyDescent="0.2">
      <c r="A50" s="655"/>
      <c r="C50" s="586"/>
      <c r="D50" s="656"/>
      <c r="E50" s="656"/>
    </row>
    <row r="51" spans="1:5" s="654" customFormat="1" ht="15.75" x14ac:dyDescent="0.2">
      <c r="A51" s="655"/>
      <c r="C51" s="586"/>
      <c r="D51" s="656"/>
      <c r="E51" s="656"/>
    </row>
    <row r="52" spans="1:5" s="654" customFormat="1" ht="15.75" x14ac:dyDescent="0.2">
      <c r="A52" s="655"/>
      <c r="C52" s="586"/>
      <c r="D52" s="656"/>
      <c r="E52" s="656"/>
    </row>
    <row r="53" spans="1:5" s="654" customFormat="1" ht="15.75" x14ac:dyDescent="0.2">
      <c r="A53" s="655"/>
      <c r="C53" s="586"/>
      <c r="D53" s="656"/>
      <c r="E53" s="656"/>
    </row>
    <row r="54" spans="1:5" s="654" customFormat="1" ht="15.75" x14ac:dyDescent="0.2">
      <c r="A54" s="655"/>
      <c r="C54" s="586"/>
      <c r="D54" s="656"/>
      <c r="E54" s="656"/>
    </row>
    <row r="55" spans="1:5" s="654" customFormat="1" ht="15.75" x14ac:dyDescent="0.2">
      <c r="A55" s="655"/>
      <c r="C55" s="586"/>
      <c r="D55" s="656"/>
      <c r="E55" s="656"/>
    </row>
    <row r="56" spans="1:5" s="654" customFormat="1" ht="15.75" x14ac:dyDescent="0.2">
      <c r="A56" s="655"/>
      <c r="C56" s="586"/>
      <c r="D56" s="656"/>
      <c r="E56" s="656"/>
    </row>
    <row r="57" spans="1:5" s="654" customFormat="1" ht="15.75" x14ac:dyDescent="0.2">
      <c r="A57" s="655"/>
      <c r="C57" s="586"/>
      <c r="D57" s="656"/>
      <c r="E57" s="656"/>
    </row>
    <row r="58" spans="1:5" s="654" customFormat="1" ht="15.75" x14ac:dyDescent="0.2">
      <c r="A58" s="655"/>
      <c r="C58" s="586"/>
      <c r="D58" s="656"/>
      <c r="E58" s="656"/>
    </row>
    <row r="59" spans="1:5" s="654" customFormat="1" ht="15.75" x14ac:dyDescent="0.2">
      <c r="A59" s="655"/>
      <c r="C59" s="586"/>
      <c r="D59" s="656"/>
      <c r="E59" s="656"/>
    </row>
    <row r="60" spans="1:5" s="654" customFormat="1" ht="15.75" x14ac:dyDescent="0.2">
      <c r="A60" s="655"/>
      <c r="C60" s="586"/>
      <c r="D60" s="656"/>
      <c r="E60" s="656"/>
    </row>
    <row r="61" spans="1:5" s="654" customFormat="1" ht="15.75" x14ac:dyDescent="0.2">
      <c r="A61" s="655"/>
      <c r="C61" s="586"/>
      <c r="D61" s="656"/>
      <c r="E61" s="656"/>
    </row>
    <row r="62" spans="1:5" s="654" customFormat="1" ht="15.75" x14ac:dyDescent="0.2">
      <c r="A62" s="655"/>
      <c r="C62" s="586"/>
      <c r="D62" s="656"/>
      <c r="E62" s="656"/>
    </row>
    <row r="63" spans="1:5" s="654" customFormat="1" ht="15.75" x14ac:dyDescent="0.2">
      <c r="A63" s="655"/>
      <c r="C63" s="586"/>
      <c r="D63" s="656"/>
      <c r="E63" s="656"/>
    </row>
    <row r="64" spans="1:5" s="654" customFormat="1" ht="15.75" x14ac:dyDescent="0.2">
      <c r="A64" s="655"/>
      <c r="C64" s="586"/>
      <c r="D64" s="656"/>
      <c r="E64" s="656"/>
    </row>
    <row r="65" spans="1:5" s="654" customFormat="1" ht="15.75" x14ac:dyDescent="0.2">
      <c r="A65" s="655"/>
      <c r="C65" s="586"/>
      <c r="D65" s="656"/>
      <c r="E65" s="656"/>
    </row>
    <row r="66" spans="1:5" s="654" customFormat="1" ht="15.75" x14ac:dyDescent="0.2">
      <c r="A66" s="655"/>
      <c r="C66" s="586"/>
      <c r="D66" s="656"/>
      <c r="E66" s="656"/>
    </row>
    <row r="67" spans="1:5" s="654" customFormat="1" ht="15.75" x14ac:dyDescent="0.2">
      <c r="A67" s="655"/>
      <c r="C67" s="586"/>
      <c r="D67" s="656"/>
      <c r="E67" s="656"/>
    </row>
    <row r="68" spans="1:5" s="654" customFormat="1" ht="15.75" x14ac:dyDescent="0.2">
      <c r="A68" s="655"/>
      <c r="C68" s="586"/>
      <c r="D68" s="656"/>
      <c r="E68" s="656"/>
    </row>
    <row r="69" spans="1:5" s="654" customFormat="1" ht="15.75" x14ac:dyDescent="0.2">
      <c r="A69" s="655"/>
      <c r="C69" s="586"/>
      <c r="D69" s="656"/>
      <c r="E69" s="656"/>
    </row>
    <row r="70" spans="1:5" s="654" customFormat="1" ht="15.75" x14ac:dyDescent="0.2">
      <c r="A70" s="655"/>
      <c r="C70" s="586"/>
      <c r="D70" s="656"/>
      <c r="E70" s="656"/>
    </row>
    <row r="71" spans="1:5" s="654" customFormat="1" ht="15.75" x14ac:dyDescent="0.2">
      <c r="A71" s="655"/>
      <c r="C71" s="586"/>
      <c r="D71" s="656"/>
      <c r="E71" s="656"/>
    </row>
    <row r="72" spans="1:5" s="654" customFormat="1" ht="15.75" x14ac:dyDescent="0.2">
      <c r="A72" s="655"/>
      <c r="C72" s="586"/>
      <c r="D72" s="656"/>
      <c r="E72" s="656"/>
    </row>
    <row r="73" spans="1:5" s="654" customFormat="1" ht="15.75" x14ac:dyDescent="0.2">
      <c r="A73" s="655"/>
      <c r="C73" s="586"/>
      <c r="D73" s="656"/>
      <c r="E73" s="656"/>
    </row>
    <row r="74" spans="1:5" s="654" customFormat="1" ht="15.75" x14ac:dyDescent="0.2">
      <c r="A74" s="655"/>
      <c r="C74" s="586"/>
      <c r="D74" s="656"/>
      <c r="E74" s="656"/>
    </row>
    <row r="75" spans="1:5" s="654" customFormat="1" ht="15.75" x14ac:dyDescent="0.2">
      <c r="A75" s="655"/>
      <c r="C75" s="586"/>
      <c r="D75" s="656"/>
      <c r="E75" s="656"/>
    </row>
    <row r="76" spans="1:5" s="654" customFormat="1" ht="15.75" x14ac:dyDescent="0.2">
      <c r="A76" s="655"/>
      <c r="C76" s="586"/>
      <c r="D76" s="656"/>
      <c r="E76" s="656"/>
    </row>
    <row r="77" spans="1:5" s="654" customFormat="1" ht="15.75" x14ac:dyDescent="0.2">
      <c r="A77" s="655"/>
      <c r="C77" s="586"/>
      <c r="D77" s="656"/>
      <c r="E77" s="656"/>
    </row>
    <row r="78" spans="1:5" s="654" customFormat="1" ht="15.75" x14ac:dyDescent="0.2">
      <c r="A78" s="655"/>
      <c r="C78" s="586"/>
      <c r="D78" s="656"/>
      <c r="E78" s="656"/>
    </row>
    <row r="79" spans="1:5" s="654" customFormat="1" ht="15.75" x14ac:dyDescent="0.2">
      <c r="A79" s="655"/>
      <c r="C79" s="586"/>
      <c r="D79" s="656"/>
      <c r="E79" s="656"/>
    </row>
    <row r="80" spans="1:5" s="654" customFormat="1" ht="15.75" x14ac:dyDescent="0.2">
      <c r="A80" s="655"/>
      <c r="C80" s="586"/>
      <c r="D80" s="656"/>
      <c r="E80" s="656"/>
    </row>
    <row r="81" spans="1:5" s="654" customFormat="1" ht="15.75" x14ac:dyDescent="0.2">
      <c r="A81" s="655"/>
      <c r="C81" s="586"/>
      <c r="D81" s="656"/>
      <c r="E81" s="656"/>
    </row>
    <row r="82" spans="1:5" s="654" customFormat="1" ht="15.75" x14ac:dyDescent="0.2">
      <c r="A82" s="655"/>
      <c r="C82" s="586"/>
      <c r="D82" s="656"/>
      <c r="E82" s="656"/>
    </row>
    <row r="83" spans="1:5" s="654" customFormat="1" ht="15.75" x14ac:dyDescent="0.2">
      <c r="A83" s="655"/>
      <c r="C83" s="586"/>
      <c r="D83" s="656"/>
      <c r="E83" s="656"/>
    </row>
    <row r="84" spans="1:5" s="654" customFormat="1" ht="15.75" x14ac:dyDescent="0.2">
      <c r="A84" s="655"/>
      <c r="C84" s="586"/>
      <c r="D84" s="656"/>
      <c r="E84" s="656"/>
    </row>
    <row r="85" spans="1:5" s="654" customFormat="1" ht="15.75" x14ac:dyDescent="0.2">
      <c r="A85" s="655"/>
      <c r="C85" s="586"/>
      <c r="D85" s="656"/>
      <c r="E85" s="656"/>
    </row>
    <row r="86" spans="1:5" s="654" customFormat="1" ht="15.75" x14ac:dyDescent="0.2">
      <c r="A86" s="655"/>
      <c r="C86" s="586"/>
      <c r="D86" s="656"/>
      <c r="E86" s="656"/>
    </row>
    <row r="87" spans="1:5" s="654" customFormat="1" ht="15.75" x14ac:dyDescent="0.2">
      <c r="A87" s="655"/>
      <c r="C87" s="586"/>
      <c r="D87" s="656"/>
      <c r="E87" s="656"/>
    </row>
    <row r="88" spans="1:5" s="654" customFormat="1" ht="15.75" x14ac:dyDescent="0.2">
      <c r="A88" s="655"/>
      <c r="C88" s="586"/>
      <c r="D88" s="656"/>
      <c r="E88" s="656"/>
    </row>
    <row r="89" spans="1:5" s="654" customFormat="1" ht="15.75" x14ac:dyDescent="0.2">
      <c r="A89" s="655"/>
      <c r="C89" s="586"/>
      <c r="D89" s="656"/>
      <c r="E89" s="656"/>
    </row>
    <row r="90" spans="1:5" s="654" customFormat="1" ht="15.75" x14ac:dyDescent="0.2">
      <c r="A90" s="655"/>
      <c r="C90" s="586"/>
      <c r="D90" s="656"/>
      <c r="E90" s="656"/>
    </row>
    <row r="91" spans="1:5" s="654" customFormat="1" ht="15.75" x14ac:dyDescent="0.2">
      <c r="A91" s="655"/>
      <c r="C91" s="586"/>
      <c r="D91" s="656"/>
      <c r="E91" s="656"/>
    </row>
    <row r="92" spans="1:5" s="654" customFormat="1" ht="15.75" x14ac:dyDescent="0.2">
      <c r="A92" s="655"/>
      <c r="C92" s="586"/>
      <c r="D92" s="656"/>
      <c r="E92" s="656"/>
    </row>
    <row r="93" spans="1:5" s="654" customFormat="1" ht="15.75" x14ac:dyDescent="0.2">
      <c r="A93" s="655"/>
      <c r="C93" s="586"/>
      <c r="D93" s="656"/>
      <c r="E93" s="656"/>
    </row>
    <row r="94" spans="1:5" s="654" customFormat="1" ht="15.75" x14ac:dyDescent="0.2">
      <c r="A94" s="655"/>
      <c r="C94" s="586"/>
      <c r="D94" s="656"/>
      <c r="E94" s="656"/>
    </row>
    <row r="95" spans="1:5" s="654" customFormat="1" ht="15.75" x14ac:dyDescent="0.2">
      <c r="A95" s="655"/>
      <c r="C95" s="586"/>
      <c r="D95" s="656"/>
      <c r="E95" s="656"/>
    </row>
    <row r="96" spans="1:5" s="654" customFormat="1" ht="15.75" x14ac:dyDescent="0.2">
      <c r="A96" s="655"/>
      <c r="C96" s="586"/>
      <c r="D96" s="656"/>
      <c r="E96" s="656"/>
    </row>
    <row r="97" spans="1:5" s="654" customFormat="1" ht="15.75" x14ac:dyDescent="0.2">
      <c r="A97" s="655"/>
      <c r="C97" s="586"/>
      <c r="D97" s="656"/>
      <c r="E97" s="656"/>
    </row>
    <row r="98" spans="1:5" s="654" customFormat="1" ht="15.75" x14ac:dyDescent="0.2">
      <c r="A98" s="655"/>
      <c r="C98" s="586"/>
      <c r="D98" s="656"/>
      <c r="E98" s="656"/>
    </row>
    <row r="99" spans="1:5" s="654" customFormat="1" ht="15.75" x14ac:dyDescent="0.2">
      <c r="A99" s="655"/>
      <c r="C99" s="586"/>
      <c r="D99" s="656"/>
      <c r="E99" s="656"/>
    </row>
    <row r="100" spans="1:5" s="654" customFormat="1" ht="15.75" x14ac:dyDescent="0.2">
      <c r="A100" s="655"/>
      <c r="C100" s="586"/>
      <c r="D100" s="656"/>
      <c r="E100" s="656"/>
    </row>
    <row r="101" spans="1:5" s="654" customFormat="1" ht="15.75" x14ac:dyDescent="0.2">
      <c r="A101" s="655"/>
      <c r="C101" s="586"/>
      <c r="D101" s="656"/>
      <c r="E101" s="656"/>
    </row>
    <row r="102" spans="1:5" s="654" customFormat="1" ht="15.75" x14ac:dyDescent="0.2">
      <c r="A102" s="655"/>
      <c r="C102" s="586"/>
      <c r="D102" s="656"/>
      <c r="E102" s="656"/>
    </row>
    <row r="103" spans="1:5" s="654" customFormat="1" ht="15.75" x14ac:dyDescent="0.2">
      <c r="A103" s="655"/>
      <c r="C103" s="586"/>
      <c r="D103" s="656"/>
      <c r="E103" s="656"/>
    </row>
    <row r="104" spans="1:5" s="654" customFormat="1" ht="15.75" x14ac:dyDescent="0.2">
      <c r="A104" s="655"/>
      <c r="C104" s="586"/>
      <c r="D104" s="656"/>
      <c r="E104" s="656"/>
    </row>
    <row r="105" spans="1:5" s="654" customFormat="1" ht="15.75" x14ac:dyDescent="0.2">
      <c r="A105" s="655"/>
      <c r="C105" s="586"/>
      <c r="D105" s="656"/>
      <c r="E105" s="656"/>
    </row>
    <row r="106" spans="1:5" s="654" customFormat="1" ht="15.75" x14ac:dyDescent="0.2">
      <c r="A106" s="655"/>
      <c r="C106" s="586"/>
      <c r="D106" s="656"/>
      <c r="E106" s="656"/>
    </row>
    <row r="107" spans="1:5" s="654" customFormat="1" ht="15.75" x14ac:dyDescent="0.2">
      <c r="A107" s="655"/>
      <c r="C107" s="586"/>
      <c r="D107" s="656"/>
      <c r="E107" s="656"/>
    </row>
    <row r="108" spans="1:5" s="654" customFormat="1" ht="15.75" x14ac:dyDescent="0.2">
      <c r="A108" s="655"/>
      <c r="C108" s="586"/>
      <c r="D108" s="656"/>
      <c r="E108" s="656"/>
    </row>
    <row r="109" spans="1:5" s="654" customFormat="1" ht="15.75" x14ac:dyDescent="0.2">
      <c r="A109" s="655"/>
      <c r="C109" s="586"/>
      <c r="D109" s="656"/>
      <c r="E109" s="656"/>
    </row>
    <row r="110" spans="1:5" s="654" customFormat="1" ht="15.75" x14ac:dyDescent="0.2">
      <c r="A110" s="655"/>
      <c r="C110" s="586"/>
      <c r="D110" s="656"/>
      <c r="E110" s="656"/>
    </row>
    <row r="111" spans="1:5" s="654" customFormat="1" ht="15.75" x14ac:dyDescent="0.2">
      <c r="A111" s="655"/>
      <c r="C111" s="586"/>
      <c r="D111" s="656"/>
      <c r="E111" s="656"/>
    </row>
    <row r="112" spans="1:5" s="654" customFormat="1" ht="15.75" x14ac:dyDescent="0.2">
      <c r="A112" s="655"/>
      <c r="C112" s="586"/>
      <c r="D112" s="656"/>
      <c r="E112" s="656"/>
    </row>
    <row r="113" spans="1:5" s="654" customFormat="1" ht="15.75" x14ac:dyDescent="0.2">
      <c r="A113" s="655"/>
      <c r="C113" s="586"/>
      <c r="D113" s="656"/>
      <c r="E113" s="656"/>
    </row>
    <row r="114" spans="1:5" s="654" customFormat="1" ht="15.75" x14ac:dyDescent="0.2">
      <c r="A114" s="655"/>
      <c r="C114" s="586"/>
      <c r="D114" s="656"/>
      <c r="E114" s="656"/>
    </row>
    <row r="115" spans="1:5" s="654" customFormat="1" ht="15.75" x14ac:dyDescent="0.2">
      <c r="A115" s="655"/>
      <c r="C115" s="586"/>
      <c r="D115" s="656"/>
      <c r="E115" s="656"/>
    </row>
    <row r="116" spans="1:5" s="654" customFormat="1" ht="15.75" x14ac:dyDescent="0.2">
      <c r="A116" s="655"/>
      <c r="C116" s="586"/>
      <c r="D116" s="656"/>
      <c r="E116" s="656"/>
    </row>
    <row r="117" spans="1:5" s="654" customFormat="1" ht="15.75" x14ac:dyDescent="0.2">
      <c r="A117" s="655"/>
      <c r="C117" s="586"/>
      <c r="D117" s="656"/>
      <c r="E117" s="656"/>
    </row>
    <row r="118" spans="1:5" s="654" customFormat="1" ht="15.75" x14ac:dyDescent="0.2">
      <c r="A118" s="655"/>
      <c r="C118" s="586"/>
      <c r="D118" s="656"/>
      <c r="E118" s="656"/>
    </row>
    <row r="119" spans="1:5" s="654" customFormat="1" ht="15.75" x14ac:dyDescent="0.2">
      <c r="A119" s="655"/>
      <c r="C119" s="586"/>
      <c r="D119" s="656"/>
      <c r="E119" s="656"/>
    </row>
    <row r="120" spans="1:5" s="654" customFormat="1" ht="15.75" x14ac:dyDescent="0.2">
      <c r="A120" s="655"/>
      <c r="C120" s="586"/>
      <c r="D120" s="656"/>
      <c r="E120" s="656"/>
    </row>
    <row r="121" spans="1:5" s="654" customFormat="1" ht="15.75" x14ac:dyDescent="0.2">
      <c r="A121" s="655"/>
      <c r="C121" s="586"/>
      <c r="D121" s="656"/>
      <c r="E121" s="656"/>
    </row>
    <row r="122" spans="1:5" s="654" customFormat="1" ht="15.75" x14ac:dyDescent="0.2">
      <c r="A122" s="655"/>
      <c r="C122" s="586"/>
      <c r="D122" s="656"/>
      <c r="E122" s="656"/>
    </row>
    <row r="123" spans="1:5" s="654" customFormat="1" ht="15.75" x14ac:dyDescent="0.2">
      <c r="A123" s="655"/>
      <c r="C123" s="586"/>
      <c r="D123" s="656"/>
      <c r="E123" s="656"/>
    </row>
    <row r="124" spans="1:5" s="654" customFormat="1" ht="15.75" x14ac:dyDescent="0.2">
      <c r="A124" s="655"/>
      <c r="C124" s="586"/>
      <c r="D124" s="656"/>
      <c r="E124" s="656"/>
    </row>
    <row r="125" spans="1:5" s="654" customFormat="1" ht="15.75" x14ac:dyDescent="0.2">
      <c r="A125" s="655"/>
      <c r="C125" s="586"/>
      <c r="D125" s="656"/>
      <c r="E125" s="656"/>
    </row>
    <row r="126" spans="1:5" s="654" customFormat="1" ht="15.75" x14ac:dyDescent="0.2">
      <c r="A126" s="655"/>
      <c r="C126" s="586"/>
      <c r="D126" s="656"/>
      <c r="E126" s="656"/>
    </row>
    <row r="127" spans="1:5" s="654" customFormat="1" ht="15.75" x14ac:dyDescent="0.2">
      <c r="A127" s="655"/>
      <c r="C127" s="586"/>
      <c r="D127" s="656"/>
      <c r="E127" s="656"/>
    </row>
    <row r="128" spans="1:5" s="654" customFormat="1" ht="15.75" x14ac:dyDescent="0.2">
      <c r="A128" s="655"/>
      <c r="C128" s="586"/>
      <c r="D128" s="656"/>
      <c r="E128" s="656"/>
    </row>
    <row r="129" spans="1:5" s="654" customFormat="1" ht="15.75" x14ac:dyDescent="0.2">
      <c r="A129" s="655"/>
      <c r="C129" s="586"/>
      <c r="D129" s="656"/>
      <c r="E129" s="656"/>
    </row>
    <row r="130" spans="1:5" s="654" customFormat="1" ht="15.75" x14ac:dyDescent="0.2">
      <c r="A130" s="655"/>
      <c r="C130" s="586"/>
      <c r="D130" s="656"/>
      <c r="E130" s="656"/>
    </row>
    <row r="131" spans="1:5" s="654" customFormat="1" ht="15.75" x14ac:dyDescent="0.2">
      <c r="A131" s="655"/>
      <c r="C131" s="586"/>
      <c r="D131" s="656"/>
      <c r="E131" s="656"/>
    </row>
    <row r="132" spans="1:5" s="654" customFormat="1" ht="15.75" x14ac:dyDescent="0.2">
      <c r="A132" s="655"/>
      <c r="C132" s="586"/>
      <c r="D132" s="656"/>
      <c r="E132" s="656"/>
    </row>
    <row r="133" spans="1:5" s="654" customFormat="1" ht="15.75" x14ac:dyDescent="0.2">
      <c r="A133" s="655"/>
      <c r="C133" s="586"/>
      <c r="D133" s="656"/>
      <c r="E133" s="656"/>
    </row>
    <row r="134" spans="1:5" s="654" customFormat="1" ht="15.75" x14ac:dyDescent="0.2">
      <c r="A134" s="655"/>
      <c r="C134" s="586"/>
      <c r="D134" s="656"/>
      <c r="E134" s="656"/>
    </row>
    <row r="135" spans="1:5" s="654" customFormat="1" ht="15.75" x14ac:dyDescent="0.2">
      <c r="A135" s="655"/>
      <c r="C135" s="586"/>
      <c r="D135" s="656"/>
      <c r="E135" s="656"/>
    </row>
    <row r="136" spans="1:5" s="654" customFormat="1" ht="15.75" x14ac:dyDescent="0.2">
      <c r="A136" s="655"/>
      <c r="C136" s="586"/>
      <c r="D136" s="656"/>
      <c r="E136" s="656"/>
    </row>
    <row r="137" spans="1:5" s="654" customFormat="1" ht="15.75" x14ac:dyDescent="0.2">
      <c r="A137" s="655"/>
      <c r="C137" s="586"/>
      <c r="D137" s="656"/>
      <c r="E137" s="656"/>
    </row>
    <row r="138" spans="1:5" s="654" customFormat="1" ht="15.75" x14ac:dyDescent="0.2">
      <c r="A138" s="655"/>
      <c r="C138" s="586"/>
      <c r="D138" s="656"/>
      <c r="E138" s="656"/>
    </row>
    <row r="139" spans="1:5" s="654" customFormat="1" ht="15.75" x14ac:dyDescent="0.2">
      <c r="A139" s="655"/>
      <c r="C139" s="586"/>
      <c r="D139" s="656"/>
      <c r="E139" s="656"/>
    </row>
    <row r="140" spans="1:5" s="654" customFormat="1" ht="15.75" x14ac:dyDescent="0.2">
      <c r="A140" s="655"/>
      <c r="C140" s="586"/>
      <c r="D140" s="656"/>
      <c r="E140" s="656"/>
    </row>
    <row r="141" spans="1:5" s="654" customFormat="1" ht="15.75" x14ac:dyDescent="0.2">
      <c r="A141" s="655"/>
      <c r="C141" s="586"/>
      <c r="D141" s="656"/>
      <c r="E141" s="656"/>
    </row>
    <row r="142" spans="1:5" s="654" customFormat="1" ht="15.75" x14ac:dyDescent="0.2">
      <c r="A142" s="655"/>
      <c r="C142" s="586"/>
      <c r="D142" s="656"/>
      <c r="E142" s="656"/>
    </row>
    <row r="143" spans="1:5" s="654" customFormat="1" ht="15.75" x14ac:dyDescent="0.2">
      <c r="A143" s="655"/>
      <c r="C143" s="586"/>
      <c r="D143" s="656"/>
      <c r="E143" s="656"/>
    </row>
    <row r="144" spans="1:5" s="654" customFormat="1" ht="15.75" x14ac:dyDescent="0.2">
      <c r="A144" s="655"/>
      <c r="C144" s="586"/>
      <c r="D144" s="656"/>
      <c r="E144" s="656"/>
    </row>
    <row r="145" spans="1:5" s="654" customFormat="1" ht="15.75" x14ac:dyDescent="0.2">
      <c r="A145" s="655"/>
      <c r="C145" s="586"/>
      <c r="D145" s="656"/>
      <c r="E145" s="656"/>
    </row>
    <row r="146" spans="1:5" s="654" customFormat="1" ht="15.75" x14ac:dyDescent="0.2">
      <c r="A146" s="655"/>
      <c r="C146" s="586"/>
      <c r="D146" s="656"/>
      <c r="E146" s="656"/>
    </row>
    <row r="147" spans="1:5" s="654" customFormat="1" ht="15.75" x14ac:dyDescent="0.2">
      <c r="A147" s="655"/>
      <c r="C147" s="586"/>
      <c r="D147" s="656"/>
      <c r="E147" s="656"/>
    </row>
    <row r="148" spans="1:5" s="654" customFormat="1" ht="15.75" x14ac:dyDescent="0.2">
      <c r="A148" s="655"/>
      <c r="C148" s="586"/>
      <c r="D148" s="656"/>
      <c r="E148" s="656"/>
    </row>
    <row r="149" spans="1:5" s="654" customFormat="1" ht="15.75" x14ac:dyDescent="0.2">
      <c r="A149" s="655"/>
      <c r="C149" s="586"/>
      <c r="D149" s="656"/>
      <c r="E149" s="656"/>
    </row>
    <row r="150" spans="1:5" s="654" customFormat="1" ht="15.75" x14ac:dyDescent="0.2">
      <c r="A150" s="655"/>
      <c r="C150" s="586"/>
      <c r="D150" s="656"/>
      <c r="E150" s="656"/>
    </row>
    <row r="151" spans="1:5" s="654" customFormat="1" ht="15.75" x14ac:dyDescent="0.2">
      <c r="A151" s="655"/>
      <c r="C151" s="586"/>
      <c r="D151" s="656"/>
      <c r="E151" s="656"/>
    </row>
    <row r="152" spans="1:5" s="654" customFormat="1" ht="15.75" x14ac:dyDescent="0.2">
      <c r="A152" s="655"/>
      <c r="C152" s="586"/>
      <c r="D152" s="656"/>
      <c r="E152" s="656"/>
    </row>
    <row r="153" spans="1:5" s="654" customFormat="1" ht="15.75" x14ac:dyDescent="0.2">
      <c r="A153" s="655"/>
      <c r="C153" s="586"/>
      <c r="D153" s="656"/>
      <c r="E153" s="656"/>
    </row>
    <row r="154" spans="1:5" s="654" customFormat="1" ht="15.75" x14ac:dyDescent="0.2">
      <c r="A154" s="655"/>
      <c r="C154" s="586"/>
      <c r="D154" s="656"/>
      <c r="E154" s="656"/>
    </row>
    <row r="155" spans="1:5" s="654" customFormat="1" ht="15.75" x14ac:dyDescent="0.2">
      <c r="A155" s="655"/>
      <c r="C155" s="586"/>
      <c r="D155" s="656"/>
      <c r="E155" s="656"/>
    </row>
    <row r="156" spans="1:5" s="654" customFormat="1" ht="15.75" x14ac:dyDescent="0.2">
      <c r="A156" s="655"/>
      <c r="C156" s="586"/>
      <c r="D156" s="656"/>
      <c r="E156" s="656"/>
    </row>
    <row r="157" spans="1:5" s="654" customFormat="1" ht="15.75" x14ac:dyDescent="0.2">
      <c r="A157" s="655"/>
      <c r="C157" s="586"/>
      <c r="D157" s="656"/>
      <c r="E157" s="656"/>
    </row>
    <row r="158" spans="1:5" s="654" customFormat="1" ht="15.75" x14ac:dyDescent="0.2">
      <c r="A158" s="655"/>
      <c r="C158" s="586"/>
      <c r="D158" s="656"/>
      <c r="E158" s="656"/>
    </row>
    <row r="159" spans="1:5" s="654" customFormat="1" ht="15.75" x14ac:dyDescent="0.2">
      <c r="A159" s="655"/>
      <c r="C159" s="586"/>
      <c r="D159" s="656"/>
      <c r="E159" s="656"/>
    </row>
    <row r="160" spans="1:5" s="654" customFormat="1" ht="15.75" x14ac:dyDescent="0.2">
      <c r="A160" s="655"/>
      <c r="C160" s="586"/>
      <c r="D160" s="656"/>
      <c r="E160" s="656"/>
    </row>
    <row r="161" spans="1:5" s="654" customFormat="1" ht="15.75" x14ac:dyDescent="0.2">
      <c r="A161" s="655"/>
      <c r="C161" s="586"/>
      <c r="D161" s="656"/>
      <c r="E161" s="656"/>
    </row>
    <row r="162" spans="1:5" s="654" customFormat="1" ht="15.75" x14ac:dyDescent="0.2">
      <c r="A162" s="655"/>
      <c r="C162" s="586"/>
      <c r="D162" s="656"/>
      <c r="E162" s="656"/>
    </row>
    <row r="163" spans="1:5" s="654" customFormat="1" ht="15.75" x14ac:dyDescent="0.2">
      <c r="A163" s="655"/>
      <c r="C163" s="586"/>
      <c r="D163" s="656"/>
      <c r="E163" s="656"/>
    </row>
    <row r="164" spans="1:5" s="654" customFormat="1" ht="15.75" x14ac:dyDescent="0.2">
      <c r="A164" s="655"/>
      <c r="C164" s="586"/>
      <c r="D164" s="656"/>
      <c r="E164" s="656"/>
    </row>
    <row r="165" spans="1:5" s="654" customFormat="1" ht="15.75" x14ac:dyDescent="0.2">
      <c r="A165" s="655"/>
      <c r="C165" s="586"/>
      <c r="D165" s="656"/>
      <c r="E165" s="656"/>
    </row>
    <row r="166" spans="1:5" s="654" customFormat="1" ht="15.75" x14ac:dyDescent="0.2">
      <c r="A166" s="655"/>
      <c r="C166" s="586"/>
      <c r="D166" s="656"/>
      <c r="E166" s="656"/>
    </row>
    <row r="167" spans="1:5" s="654" customFormat="1" ht="15.75" x14ac:dyDescent="0.2">
      <c r="A167" s="655"/>
      <c r="C167" s="586"/>
      <c r="D167" s="656"/>
      <c r="E167" s="656"/>
    </row>
    <row r="168" spans="1:5" s="654" customFormat="1" ht="15.75" x14ac:dyDescent="0.2">
      <c r="A168" s="655"/>
      <c r="C168" s="586"/>
      <c r="D168" s="656"/>
      <c r="E168" s="656"/>
    </row>
    <row r="169" spans="1:5" s="654" customFormat="1" ht="15.75" x14ac:dyDescent="0.2">
      <c r="A169" s="655"/>
      <c r="C169" s="586"/>
      <c r="D169" s="656"/>
      <c r="E169" s="656"/>
    </row>
    <row r="170" spans="1:5" s="654" customFormat="1" ht="15.75" x14ac:dyDescent="0.2">
      <c r="A170" s="655"/>
      <c r="C170" s="586"/>
      <c r="D170" s="656"/>
      <c r="E170" s="656"/>
    </row>
    <row r="171" spans="1:5" s="654" customFormat="1" ht="15.75" x14ac:dyDescent="0.2">
      <c r="A171" s="655"/>
      <c r="C171" s="586"/>
      <c r="D171" s="656"/>
      <c r="E171" s="656"/>
    </row>
    <row r="172" spans="1:5" s="654" customFormat="1" ht="15.75" x14ac:dyDescent="0.2">
      <c r="A172" s="655"/>
      <c r="C172" s="586"/>
      <c r="D172" s="656"/>
      <c r="E172" s="656"/>
    </row>
    <row r="173" spans="1:5" s="654" customFormat="1" ht="15.75" x14ac:dyDescent="0.2">
      <c r="A173" s="655"/>
      <c r="C173" s="586"/>
      <c r="D173" s="656"/>
      <c r="E173" s="656"/>
    </row>
    <row r="174" spans="1:5" s="654" customFormat="1" ht="15.75" x14ac:dyDescent="0.2">
      <c r="A174" s="655"/>
      <c r="C174" s="586"/>
      <c r="D174" s="656"/>
      <c r="E174" s="656"/>
    </row>
    <row r="175" spans="1:5" s="654" customFormat="1" ht="15.75" x14ac:dyDescent="0.2">
      <c r="A175" s="655"/>
      <c r="C175" s="586"/>
      <c r="D175" s="656"/>
      <c r="E175" s="656"/>
    </row>
    <row r="176" spans="1:5" s="654" customFormat="1" ht="15.75" x14ac:dyDescent="0.2">
      <c r="A176" s="655"/>
      <c r="C176" s="586"/>
      <c r="D176" s="656"/>
      <c r="E176" s="656"/>
    </row>
    <row r="177" spans="1:5" s="654" customFormat="1" ht="15.75" x14ac:dyDescent="0.2">
      <c r="A177" s="655"/>
      <c r="C177" s="586"/>
      <c r="D177" s="656"/>
      <c r="E177" s="656"/>
    </row>
    <row r="178" spans="1:5" s="654" customFormat="1" ht="15.75" x14ac:dyDescent="0.2">
      <c r="A178" s="655"/>
      <c r="C178" s="586"/>
      <c r="D178" s="656"/>
      <c r="E178" s="656"/>
    </row>
    <row r="179" spans="1:5" s="654" customFormat="1" ht="15.75" x14ac:dyDescent="0.2">
      <c r="A179" s="655"/>
      <c r="C179" s="586"/>
      <c r="D179" s="656"/>
      <c r="E179" s="656"/>
    </row>
    <row r="180" spans="1:5" s="654" customFormat="1" ht="15.75" x14ac:dyDescent="0.2">
      <c r="A180" s="655"/>
      <c r="C180" s="586"/>
      <c r="D180" s="656"/>
      <c r="E180" s="656"/>
    </row>
    <row r="181" spans="1:5" s="654" customFormat="1" ht="15.75" x14ac:dyDescent="0.2">
      <c r="A181" s="655"/>
      <c r="C181" s="586"/>
      <c r="D181" s="656"/>
      <c r="E181" s="656"/>
    </row>
    <row r="182" spans="1:5" s="654" customFormat="1" ht="15.75" x14ac:dyDescent="0.2">
      <c r="A182" s="655"/>
      <c r="C182" s="586"/>
      <c r="D182" s="656"/>
      <c r="E182" s="656"/>
    </row>
    <row r="183" spans="1:5" s="654" customFormat="1" ht="15.75" x14ac:dyDescent="0.2">
      <c r="A183" s="655"/>
      <c r="C183" s="586"/>
      <c r="D183" s="656"/>
      <c r="E183" s="656"/>
    </row>
    <row r="184" spans="1:5" s="654" customFormat="1" ht="15.75" x14ac:dyDescent="0.2">
      <c r="A184" s="655"/>
      <c r="C184" s="586"/>
      <c r="D184" s="656"/>
      <c r="E184" s="656"/>
    </row>
    <row r="185" spans="1:5" s="654" customFormat="1" ht="15.75" x14ac:dyDescent="0.2">
      <c r="A185" s="655"/>
      <c r="C185" s="586"/>
      <c r="D185" s="656"/>
      <c r="E185" s="656"/>
    </row>
    <row r="186" spans="1:5" s="654" customFormat="1" ht="15.75" x14ac:dyDescent="0.2">
      <c r="A186" s="655"/>
      <c r="C186" s="586"/>
      <c r="D186" s="656"/>
      <c r="E186" s="656"/>
    </row>
    <row r="187" spans="1:5" s="654" customFormat="1" ht="15.75" x14ac:dyDescent="0.2">
      <c r="A187" s="655"/>
      <c r="C187" s="586"/>
      <c r="D187" s="656"/>
      <c r="E187" s="656"/>
    </row>
    <row r="188" spans="1:5" s="654" customFormat="1" ht="15.75" x14ac:dyDescent="0.2">
      <c r="A188" s="655"/>
      <c r="C188" s="586"/>
      <c r="D188" s="656"/>
      <c r="E188" s="656"/>
    </row>
    <row r="189" spans="1:5" s="654" customFormat="1" ht="15.75" x14ac:dyDescent="0.2">
      <c r="A189" s="655"/>
      <c r="C189" s="586"/>
      <c r="D189" s="656"/>
      <c r="E189" s="656"/>
    </row>
    <row r="190" spans="1:5" s="654" customFormat="1" ht="15.75" x14ac:dyDescent="0.2">
      <c r="A190" s="655"/>
      <c r="C190" s="586"/>
      <c r="D190" s="656"/>
      <c r="E190" s="656"/>
    </row>
    <row r="191" spans="1:5" s="654" customFormat="1" ht="15.75" x14ac:dyDescent="0.2">
      <c r="A191" s="655"/>
      <c r="C191" s="586"/>
      <c r="D191" s="656"/>
      <c r="E191" s="656"/>
    </row>
    <row r="192" spans="1:5" s="654" customFormat="1" ht="15.75" x14ac:dyDescent="0.2">
      <c r="A192" s="655"/>
      <c r="C192" s="586"/>
      <c r="D192" s="656"/>
      <c r="E192" s="656"/>
    </row>
    <row r="193" spans="1:5" s="654" customFormat="1" ht="15.75" x14ac:dyDescent="0.2">
      <c r="A193" s="655"/>
      <c r="C193" s="586"/>
      <c r="D193" s="656"/>
      <c r="E193" s="656"/>
    </row>
    <row r="194" spans="1:5" s="654" customFormat="1" ht="15.75" x14ac:dyDescent="0.2">
      <c r="A194" s="655"/>
      <c r="C194" s="586"/>
      <c r="D194" s="656"/>
      <c r="E194" s="656"/>
    </row>
    <row r="195" spans="1:5" s="654" customFormat="1" ht="15.75" x14ac:dyDescent="0.2">
      <c r="A195" s="655"/>
      <c r="C195" s="586"/>
      <c r="D195" s="656"/>
      <c r="E195" s="656"/>
    </row>
    <row r="196" spans="1:5" s="654" customFormat="1" ht="15.75" x14ac:dyDescent="0.2">
      <c r="A196" s="655"/>
      <c r="C196" s="586"/>
      <c r="D196" s="656"/>
      <c r="E196" s="656"/>
    </row>
    <row r="197" spans="1:5" s="654" customFormat="1" ht="15.75" x14ac:dyDescent="0.2">
      <c r="A197" s="655"/>
      <c r="C197" s="586"/>
      <c r="D197" s="656"/>
      <c r="E197" s="656"/>
    </row>
    <row r="198" spans="1:5" s="654" customFormat="1" ht="15.75" x14ac:dyDescent="0.2">
      <c r="A198" s="655"/>
      <c r="C198" s="586"/>
      <c r="D198" s="656"/>
      <c r="E198" s="656"/>
    </row>
    <row r="199" spans="1:5" s="654" customFormat="1" ht="15.75" x14ac:dyDescent="0.2">
      <c r="A199" s="655"/>
      <c r="C199" s="586"/>
      <c r="D199" s="656"/>
      <c r="E199" s="656"/>
    </row>
    <row r="200" spans="1:5" s="654" customFormat="1" ht="15.75" x14ac:dyDescent="0.2">
      <c r="A200" s="655"/>
      <c r="C200" s="586"/>
      <c r="D200" s="656"/>
      <c r="E200" s="656"/>
    </row>
    <row r="201" spans="1:5" s="654" customFormat="1" ht="15.75" x14ac:dyDescent="0.2">
      <c r="A201" s="655"/>
      <c r="C201" s="586"/>
      <c r="D201" s="656"/>
      <c r="E201" s="656"/>
    </row>
    <row r="202" spans="1:5" s="654" customFormat="1" ht="15.75" x14ac:dyDescent="0.2">
      <c r="A202" s="655"/>
      <c r="C202" s="586"/>
      <c r="D202" s="656"/>
      <c r="E202" s="656"/>
    </row>
    <row r="203" spans="1:5" s="654" customFormat="1" ht="15.75" x14ac:dyDescent="0.2">
      <c r="A203" s="655"/>
      <c r="C203" s="586"/>
      <c r="D203" s="656"/>
      <c r="E203" s="656"/>
    </row>
    <row r="204" spans="1:5" s="654" customFormat="1" ht="15.75" x14ac:dyDescent="0.2">
      <c r="A204" s="655"/>
      <c r="C204" s="586"/>
      <c r="D204" s="656"/>
      <c r="E204" s="656"/>
    </row>
    <row r="205" spans="1:5" s="654" customFormat="1" ht="15.75" x14ac:dyDescent="0.2">
      <c r="A205" s="655"/>
      <c r="C205" s="586"/>
      <c r="D205" s="656"/>
      <c r="E205" s="656"/>
    </row>
    <row r="206" spans="1:5" s="654" customFormat="1" ht="15.75" x14ac:dyDescent="0.2">
      <c r="A206" s="655"/>
      <c r="C206" s="586"/>
      <c r="D206" s="656"/>
      <c r="E206" s="656"/>
    </row>
    <row r="207" spans="1:5" s="654" customFormat="1" ht="15.75" x14ac:dyDescent="0.2">
      <c r="A207" s="655"/>
      <c r="C207" s="586"/>
      <c r="D207" s="656"/>
      <c r="E207" s="656"/>
    </row>
    <row r="208" spans="1:5" s="654" customFormat="1" ht="15.75" x14ac:dyDescent="0.2">
      <c r="A208" s="655"/>
      <c r="C208" s="586"/>
      <c r="D208" s="656"/>
      <c r="E208" s="656"/>
    </row>
    <row r="209" spans="1:5" s="654" customFormat="1" ht="15.75" x14ac:dyDescent="0.2">
      <c r="A209" s="655"/>
      <c r="C209" s="586"/>
      <c r="D209" s="656"/>
      <c r="E209" s="656"/>
    </row>
    <row r="210" spans="1:5" s="654" customFormat="1" ht="15.75" x14ac:dyDescent="0.2">
      <c r="A210" s="655"/>
      <c r="C210" s="586"/>
      <c r="D210" s="656"/>
      <c r="E210" s="656"/>
    </row>
    <row r="211" spans="1:5" s="654" customFormat="1" ht="15.75" x14ac:dyDescent="0.2">
      <c r="A211" s="655"/>
      <c r="C211" s="586"/>
      <c r="D211" s="656"/>
      <c r="E211" s="656"/>
    </row>
    <row r="212" spans="1:5" s="654" customFormat="1" ht="15.75" x14ac:dyDescent="0.2">
      <c r="A212" s="655"/>
      <c r="C212" s="586"/>
      <c r="D212" s="656"/>
      <c r="E212" s="656"/>
    </row>
    <row r="213" spans="1:5" s="654" customFormat="1" ht="15.75" x14ac:dyDescent="0.2">
      <c r="A213" s="655"/>
      <c r="C213" s="586"/>
      <c r="D213" s="656"/>
      <c r="E213" s="656"/>
    </row>
    <row r="214" spans="1:5" s="654" customFormat="1" ht="15.75" x14ac:dyDescent="0.2">
      <c r="A214" s="655"/>
      <c r="C214" s="586"/>
      <c r="D214" s="656"/>
      <c r="E214" s="656"/>
    </row>
    <row r="215" spans="1:5" s="654" customFormat="1" ht="15.75" x14ac:dyDescent="0.2">
      <c r="A215" s="655"/>
      <c r="C215" s="586"/>
      <c r="D215" s="656"/>
      <c r="E215" s="656"/>
    </row>
    <row r="216" spans="1:5" s="654" customFormat="1" ht="15.75" x14ac:dyDescent="0.2">
      <c r="A216" s="655"/>
      <c r="C216" s="586"/>
      <c r="D216" s="656"/>
      <c r="E216" s="656"/>
    </row>
    <row r="217" spans="1:5" s="654" customFormat="1" ht="15.75" x14ac:dyDescent="0.2">
      <c r="A217" s="655"/>
      <c r="C217" s="586"/>
      <c r="D217" s="656"/>
      <c r="E217" s="656"/>
    </row>
    <row r="218" spans="1:5" s="654" customFormat="1" ht="15.75" x14ac:dyDescent="0.2">
      <c r="A218" s="655"/>
      <c r="C218" s="586"/>
      <c r="D218" s="656"/>
      <c r="E218" s="656"/>
    </row>
    <row r="219" spans="1:5" s="654" customFormat="1" ht="15.75" x14ac:dyDescent="0.2">
      <c r="A219" s="655"/>
      <c r="C219" s="586"/>
      <c r="D219" s="656"/>
      <c r="E219" s="656"/>
    </row>
    <row r="220" spans="1:5" s="654" customFormat="1" ht="15.75" x14ac:dyDescent="0.2">
      <c r="A220" s="655"/>
      <c r="C220" s="586"/>
      <c r="D220" s="656"/>
      <c r="E220" s="656"/>
    </row>
    <row r="221" spans="1:5" s="654" customFormat="1" ht="15.75" x14ac:dyDescent="0.2">
      <c r="A221" s="655"/>
      <c r="C221" s="586"/>
      <c r="D221" s="656"/>
      <c r="E221" s="656"/>
    </row>
    <row r="222" spans="1:5" s="654" customFormat="1" ht="15.75" x14ac:dyDescent="0.2">
      <c r="A222" s="655"/>
      <c r="C222" s="586"/>
      <c r="D222" s="656"/>
      <c r="E222" s="656"/>
    </row>
    <row r="223" spans="1:5" s="654" customFormat="1" ht="15.75" x14ac:dyDescent="0.2">
      <c r="A223" s="655"/>
      <c r="C223" s="586"/>
      <c r="D223" s="656"/>
      <c r="E223" s="656"/>
    </row>
    <row r="224" spans="1:5" s="654" customFormat="1" ht="15.75" x14ac:dyDescent="0.2">
      <c r="A224" s="655"/>
      <c r="C224" s="586"/>
      <c r="D224" s="656"/>
      <c r="E224" s="656"/>
    </row>
    <row r="225" spans="1:5" s="654" customFormat="1" ht="15.75" x14ac:dyDescent="0.2">
      <c r="A225" s="655"/>
      <c r="C225" s="586"/>
      <c r="D225" s="656"/>
      <c r="E225" s="656"/>
    </row>
    <row r="226" spans="1:5" s="654" customFormat="1" ht="15.75" x14ac:dyDescent="0.2">
      <c r="A226" s="655"/>
      <c r="C226" s="586"/>
      <c r="D226" s="656"/>
      <c r="E226" s="656"/>
    </row>
    <row r="227" spans="1:5" s="654" customFormat="1" ht="15.75" x14ac:dyDescent="0.2">
      <c r="A227" s="655"/>
      <c r="C227" s="586"/>
      <c r="D227" s="656"/>
      <c r="E227" s="656"/>
    </row>
    <row r="228" spans="1:5" s="654" customFormat="1" ht="15.75" x14ac:dyDescent="0.2">
      <c r="A228" s="655"/>
      <c r="C228" s="586"/>
      <c r="D228" s="656"/>
      <c r="E228" s="656"/>
    </row>
    <row r="229" spans="1:5" s="654" customFormat="1" ht="15.75" x14ac:dyDescent="0.2">
      <c r="A229" s="655"/>
      <c r="C229" s="586"/>
      <c r="D229" s="656"/>
      <c r="E229" s="656"/>
    </row>
    <row r="230" spans="1:5" s="654" customFormat="1" ht="15.75" x14ac:dyDescent="0.2">
      <c r="A230" s="655"/>
      <c r="C230" s="586"/>
      <c r="D230" s="656"/>
      <c r="E230" s="656"/>
    </row>
    <row r="231" spans="1:5" s="654" customFormat="1" ht="15.75" x14ac:dyDescent="0.2">
      <c r="A231" s="655"/>
      <c r="C231" s="586"/>
      <c r="D231" s="656"/>
      <c r="E231" s="656"/>
    </row>
    <row r="232" spans="1:5" s="654" customFormat="1" ht="15.75" x14ac:dyDescent="0.2">
      <c r="A232" s="655"/>
      <c r="C232" s="586"/>
      <c r="D232" s="656"/>
      <c r="E232" s="656"/>
    </row>
    <row r="233" spans="1:5" s="654" customFormat="1" ht="15.75" x14ac:dyDescent="0.2">
      <c r="A233" s="655"/>
      <c r="C233" s="586"/>
      <c r="D233" s="656"/>
      <c r="E233" s="656"/>
    </row>
    <row r="234" spans="1:5" s="654" customFormat="1" ht="15.75" x14ac:dyDescent="0.2">
      <c r="A234" s="655"/>
      <c r="C234" s="586"/>
      <c r="D234" s="656"/>
      <c r="E234" s="656"/>
    </row>
    <row r="235" spans="1:5" s="654" customFormat="1" ht="15.75" x14ac:dyDescent="0.2">
      <c r="A235" s="655"/>
      <c r="C235" s="586"/>
      <c r="D235" s="656"/>
      <c r="E235" s="656"/>
    </row>
    <row r="236" spans="1:5" s="654" customFormat="1" ht="15.75" x14ac:dyDescent="0.2">
      <c r="A236" s="655"/>
      <c r="C236" s="586"/>
      <c r="D236" s="656"/>
      <c r="E236" s="656"/>
    </row>
    <row r="237" spans="1:5" s="654" customFormat="1" ht="15.75" x14ac:dyDescent="0.2">
      <c r="A237" s="655"/>
      <c r="C237" s="586"/>
      <c r="D237" s="656"/>
      <c r="E237" s="656"/>
    </row>
    <row r="238" spans="1:5" s="654" customFormat="1" ht="15.75" x14ac:dyDescent="0.2">
      <c r="A238" s="655"/>
      <c r="C238" s="586"/>
      <c r="D238" s="656"/>
      <c r="E238" s="656"/>
    </row>
    <row r="239" spans="1:5" s="654" customFormat="1" ht="15.75" x14ac:dyDescent="0.2">
      <c r="A239" s="655"/>
      <c r="C239" s="586"/>
      <c r="D239" s="656"/>
      <c r="E239" s="656"/>
    </row>
    <row r="240" spans="1:5" s="654" customFormat="1" ht="15.75" x14ac:dyDescent="0.2">
      <c r="A240" s="655"/>
      <c r="C240" s="586"/>
      <c r="D240" s="656"/>
      <c r="E240" s="656"/>
    </row>
    <row r="241" spans="1:5" s="654" customFormat="1" ht="15.75" x14ac:dyDescent="0.2">
      <c r="A241" s="655"/>
      <c r="C241" s="586"/>
      <c r="D241" s="656"/>
      <c r="E241" s="656"/>
    </row>
    <row r="242" spans="1:5" s="654" customFormat="1" ht="15.75" x14ac:dyDescent="0.2">
      <c r="A242" s="655"/>
      <c r="C242" s="586"/>
      <c r="D242" s="656"/>
      <c r="E242" s="656"/>
    </row>
    <row r="243" spans="1:5" s="654" customFormat="1" ht="15.75" x14ac:dyDescent="0.2">
      <c r="A243" s="655"/>
      <c r="C243" s="586"/>
      <c r="D243" s="656"/>
      <c r="E243" s="656"/>
    </row>
    <row r="244" spans="1:5" s="654" customFormat="1" ht="15.75" x14ac:dyDescent="0.2">
      <c r="A244" s="655"/>
      <c r="C244" s="586"/>
      <c r="D244" s="656"/>
      <c r="E244" s="656"/>
    </row>
    <row r="245" spans="1:5" s="654" customFormat="1" ht="15.75" x14ac:dyDescent="0.2">
      <c r="A245" s="655"/>
      <c r="C245" s="586"/>
      <c r="D245" s="656"/>
      <c r="E245" s="656"/>
    </row>
    <row r="246" spans="1:5" s="654" customFormat="1" ht="15.75" x14ac:dyDescent="0.2">
      <c r="A246" s="655"/>
      <c r="C246" s="586"/>
      <c r="D246" s="656"/>
      <c r="E246" s="656"/>
    </row>
    <row r="247" spans="1:5" s="654" customFormat="1" ht="15.75" x14ac:dyDescent="0.2">
      <c r="A247" s="655"/>
      <c r="C247" s="586"/>
      <c r="D247" s="656"/>
      <c r="E247" s="656"/>
    </row>
    <row r="248" spans="1:5" s="654" customFormat="1" ht="15.75" x14ac:dyDescent="0.2">
      <c r="A248" s="655"/>
      <c r="C248" s="586"/>
      <c r="D248" s="656"/>
      <c r="E248" s="656"/>
    </row>
    <row r="249" spans="1:5" s="654" customFormat="1" ht="15.75" x14ac:dyDescent="0.2">
      <c r="A249" s="655"/>
      <c r="C249" s="586"/>
      <c r="D249" s="656"/>
      <c r="E249" s="656"/>
    </row>
    <row r="250" spans="1:5" s="654" customFormat="1" ht="15.75" x14ac:dyDescent="0.2">
      <c r="A250" s="655"/>
      <c r="C250" s="586"/>
      <c r="D250" s="656"/>
      <c r="E250" s="656"/>
    </row>
    <row r="251" spans="1:5" s="654" customFormat="1" ht="15.75" x14ac:dyDescent="0.2">
      <c r="A251" s="655"/>
      <c r="C251" s="586"/>
      <c r="D251" s="656"/>
      <c r="E251" s="656"/>
    </row>
    <row r="252" spans="1:5" s="654" customFormat="1" ht="15.75" x14ac:dyDescent="0.2">
      <c r="A252" s="655"/>
      <c r="C252" s="586"/>
      <c r="D252" s="656"/>
      <c r="E252" s="656"/>
    </row>
    <row r="253" spans="1:5" s="654" customFormat="1" ht="15.75" x14ac:dyDescent="0.2">
      <c r="A253" s="655"/>
      <c r="C253" s="586"/>
      <c r="D253" s="656"/>
      <c r="E253" s="656"/>
    </row>
    <row r="254" spans="1:5" s="654" customFormat="1" ht="15.75" x14ac:dyDescent="0.2">
      <c r="A254" s="655"/>
      <c r="C254" s="586"/>
      <c r="D254" s="656"/>
      <c r="E254" s="656"/>
    </row>
    <row r="255" spans="1:5" s="654" customFormat="1" ht="15.75" x14ac:dyDescent="0.2">
      <c r="A255" s="655"/>
      <c r="C255" s="586"/>
      <c r="D255" s="656"/>
      <c r="E255" s="656"/>
    </row>
    <row r="256" spans="1:5" s="654" customFormat="1" ht="15.75" x14ac:dyDescent="0.2">
      <c r="A256" s="655"/>
      <c r="C256" s="586"/>
      <c r="D256" s="656"/>
      <c r="E256" s="656"/>
    </row>
    <row r="257" spans="1:5" s="654" customFormat="1" ht="15.75" x14ac:dyDescent="0.2">
      <c r="A257" s="655"/>
      <c r="C257" s="586"/>
      <c r="D257" s="656"/>
      <c r="E257" s="656"/>
    </row>
    <row r="258" spans="1:5" s="654" customFormat="1" ht="15.75" x14ac:dyDescent="0.2">
      <c r="A258" s="655"/>
      <c r="C258" s="586"/>
      <c r="D258" s="656"/>
      <c r="E258" s="656"/>
    </row>
    <row r="259" spans="1:5" s="654" customFormat="1" ht="15.75" x14ac:dyDescent="0.2">
      <c r="A259" s="655"/>
      <c r="C259" s="586"/>
      <c r="D259" s="656"/>
      <c r="E259" s="656"/>
    </row>
    <row r="260" spans="1:5" s="654" customFormat="1" ht="15.75" x14ac:dyDescent="0.2">
      <c r="A260" s="655"/>
      <c r="C260" s="586"/>
      <c r="D260" s="656"/>
      <c r="E260" s="656"/>
    </row>
    <row r="261" spans="1:5" s="654" customFormat="1" ht="15.75" x14ac:dyDescent="0.2">
      <c r="A261" s="655"/>
      <c r="C261" s="586"/>
      <c r="D261" s="656"/>
      <c r="E261" s="656"/>
    </row>
    <row r="262" spans="1:5" s="654" customFormat="1" ht="15.75" x14ac:dyDescent="0.2">
      <c r="A262" s="655"/>
      <c r="C262" s="586"/>
      <c r="D262" s="656"/>
      <c r="E262" s="656"/>
    </row>
    <row r="263" spans="1:5" s="654" customFormat="1" ht="15.75" x14ac:dyDescent="0.2">
      <c r="A263" s="655"/>
      <c r="C263" s="586"/>
      <c r="D263" s="656"/>
      <c r="E263" s="656"/>
    </row>
    <row r="264" spans="1:5" s="654" customFormat="1" ht="15.75" x14ac:dyDescent="0.2">
      <c r="A264" s="655"/>
      <c r="C264" s="586"/>
      <c r="D264" s="656"/>
      <c r="E264" s="656"/>
    </row>
    <row r="265" spans="1:5" s="654" customFormat="1" ht="15.75" x14ac:dyDescent="0.2">
      <c r="A265" s="655"/>
      <c r="C265" s="586"/>
      <c r="D265" s="656"/>
      <c r="E265" s="656"/>
    </row>
    <row r="266" spans="1:5" s="654" customFormat="1" ht="15.75" x14ac:dyDescent="0.2">
      <c r="A266" s="655"/>
      <c r="C266" s="586"/>
      <c r="D266" s="656"/>
      <c r="E266" s="656"/>
    </row>
    <row r="267" spans="1:5" s="654" customFormat="1" ht="15.75" x14ac:dyDescent="0.2">
      <c r="A267" s="655"/>
      <c r="C267" s="586"/>
      <c r="D267" s="656"/>
      <c r="E267" s="656"/>
    </row>
    <row r="268" spans="1:5" s="654" customFormat="1" ht="15.75" x14ac:dyDescent="0.2">
      <c r="A268" s="655"/>
      <c r="C268" s="586"/>
      <c r="D268" s="656"/>
      <c r="E268" s="656"/>
    </row>
    <row r="269" spans="1:5" s="654" customFormat="1" ht="15.75" x14ac:dyDescent="0.2">
      <c r="A269" s="655"/>
      <c r="C269" s="586"/>
      <c r="D269" s="656"/>
      <c r="E269" s="656"/>
    </row>
    <row r="270" spans="1:5" s="654" customFormat="1" ht="15.75" x14ac:dyDescent="0.2">
      <c r="A270" s="655"/>
      <c r="C270" s="586"/>
      <c r="D270" s="656"/>
      <c r="E270" s="656"/>
    </row>
    <row r="271" spans="1:5" s="654" customFormat="1" ht="15.75" x14ac:dyDescent="0.2">
      <c r="A271" s="655"/>
      <c r="C271" s="586"/>
      <c r="D271" s="656"/>
      <c r="E271" s="656"/>
    </row>
    <row r="272" spans="1:5" s="654" customFormat="1" ht="15.75" x14ac:dyDescent="0.2">
      <c r="A272" s="655"/>
      <c r="C272" s="586"/>
      <c r="D272" s="656"/>
      <c r="E272" s="656"/>
    </row>
    <row r="273" spans="1:5" s="654" customFormat="1" ht="15.75" x14ac:dyDescent="0.2">
      <c r="A273" s="655"/>
      <c r="C273" s="586"/>
      <c r="D273" s="656"/>
      <c r="E273" s="656"/>
    </row>
    <row r="274" spans="1:5" s="654" customFormat="1" ht="15.75" x14ac:dyDescent="0.2">
      <c r="A274" s="655"/>
      <c r="C274" s="586"/>
      <c r="D274" s="656"/>
      <c r="E274" s="656"/>
    </row>
    <row r="275" spans="1:5" s="654" customFormat="1" ht="15.75" x14ac:dyDescent="0.2">
      <c r="A275" s="655"/>
      <c r="C275" s="586"/>
      <c r="D275" s="656"/>
      <c r="E275" s="656"/>
    </row>
    <row r="276" spans="1:5" s="654" customFormat="1" ht="15.75" x14ac:dyDescent="0.2">
      <c r="A276" s="655"/>
      <c r="C276" s="586"/>
      <c r="D276" s="656"/>
      <c r="E276" s="656"/>
    </row>
    <row r="277" spans="1:5" s="654" customFormat="1" ht="15.75" x14ac:dyDescent="0.2">
      <c r="A277" s="655"/>
      <c r="C277" s="586"/>
      <c r="D277" s="656"/>
      <c r="E277" s="656"/>
    </row>
    <row r="278" spans="1:5" s="654" customFormat="1" ht="15.75" x14ac:dyDescent="0.2">
      <c r="A278" s="655"/>
      <c r="C278" s="586"/>
      <c r="D278" s="656"/>
      <c r="E278" s="656"/>
    </row>
    <row r="279" spans="1:5" s="654" customFormat="1" ht="15.75" x14ac:dyDescent="0.2">
      <c r="A279" s="655"/>
      <c r="C279" s="586"/>
      <c r="D279" s="656"/>
      <c r="E279" s="656"/>
    </row>
    <row r="280" spans="1:5" s="654" customFormat="1" ht="15.75" x14ac:dyDescent="0.2">
      <c r="A280" s="655"/>
      <c r="C280" s="586"/>
      <c r="D280" s="656"/>
      <c r="E280" s="656"/>
    </row>
    <row r="281" spans="1:5" s="654" customFormat="1" ht="15.75" x14ac:dyDescent="0.2">
      <c r="A281" s="655"/>
      <c r="C281" s="586"/>
      <c r="D281" s="656"/>
      <c r="E281" s="656"/>
    </row>
    <row r="282" spans="1:5" s="654" customFormat="1" ht="15.75" x14ac:dyDescent="0.2">
      <c r="A282" s="655"/>
      <c r="C282" s="586"/>
      <c r="D282" s="656"/>
      <c r="E282" s="656"/>
    </row>
    <row r="283" spans="1:5" s="654" customFormat="1" ht="15.75" x14ac:dyDescent="0.2">
      <c r="A283" s="655"/>
      <c r="C283" s="586"/>
      <c r="D283" s="656"/>
      <c r="E283" s="656"/>
    </row>
    <row r="284" spans="1:5" s="654" customFormat="1" ht="15.75" x14ac:dyDescent="0.2">
      <c r="A284" s="655"/>
      <c r="C284" s="586"/>
      <c r="D284" s="656"/>
      <c r="E284" s="656"/>
    </row>
    <row r="285" spans="1:5" s="654" customFormat="1" ht="15.75" x14ac:dyDescent="0.2">
      <c r="A285" s="655"/>
      <c r="C285" s="586"/>
      <c r="D285" s="656"/>
      <c r="E285" s="656"/>
    </row>
    <row r="286" spans="1:5" s="654" customFormat="1" ht="15.75" x14ac:dyDescent="0.2">
      <c r="A286" s="655"/>
      <c r="C286" s="586"/>
      <c r="D286" s="656"/>
      <c r="E286" s="656"/>
    </row>
    <row r="287" spans="1:5" s="654" customFormat="1" ht="15.75" x14ac:dyDescent="0.2">
      <c r="A287" s="655"/>
      <c r="C287" s="586"/>
      <c r="D287" s="656"/>
      <c r="E287" s="656"/>
    </row>
    <row r="288" spans="1:5" s="654" customFormat="1" ht="15.75" x14ac:dyDescent="0.2">
      <c r="A288" s="655"/>
      <c r="C288" s="586"/>
      <c r="D288" s="656"/>
      <c r="E288" s="656"/>
    </row>
    <row r="289" spans="1:5" s="654" customFormat="1" ht="15.75" x14ac:dyDescent="0.2">
      <c r="A289" s="655"/>
      <c r="C289" s="586"/>
      <c r="D289" s="656"/>
      <c r="E289" s="656"/>
    </row>
    <row r="290" spans="1:5" s="654" customFormat="1" ht="15.75" x14ac:dyDescent="0.2">
      <c r="A290" s="655"/>
      <c r="C290" s="586"/>
      <c r="D290" s="656"/>
      <c r="E290" s="656"/>
    </row>
    <row r="291" spans="1:5" s="654" customFormat="1" ht="15.75" x14ac:dyDescent="0.2">
      <c r="A291" s="655"/>
      <c r="C291" s="586"/>
      <c r="D291" s="656"/>
      <c r="E291" s="656"/>
    </row>
    <row r="292" spans="1:5" s="654" customFormat="1" ht="15.75" x14ac:dyDescent="0.2">
      <c r="A292" s="655"/>
      <c r="C292" s="586"/>
      <c r="D292" s="656"/>
      <c r="E292" s="656"/>
    </row>
    <row r="293" spans="1:5" s="654" customFormat="1" ht="15.75" x14ac:dyDescent="0.2">
      <c r="A293" s="655"/>
      <c r="C293" s="586"/>
      <c r="D293" s="656"/>
      <c r="E293" s="656"/>
    </row>
    <row r="294" spans="1:5" s="654" customFormat="1" ht="15.75" x14ac:dyDescent="0.2">
      <c r="A294" s="655"/>
      <c r="C294" s="586"/>
      <c r="D294" s="656"/>
      <c r="E294" s="656"/>
    </row>
    <row r="295" spans="1:5" s="654" customFormat="1" ht="15.75" x14ac:dyDescent="0.2">
      <c r="A295" s="655"/>
      <c r="C295" s="586"/>
      <c r="D295" s="656"/>
      <c r="E295" s="656"/>
    </row>
    <row r="296" spans="1:5" s="654" customFormat="1" ht="15.75" x14ac:dyDescent="0.2">
      <c r="A296" s="655"/>
      <c r="C296" s="586"/>
      <c r="D296" s="656"/>
      <c r="E296" s="656"/>
    </row>
    <row r="297" spans="1:5" s="654" customFormat="1" ht="15.75" x14ac:dyDescent="0.2">
      <c r="A297" s="655"/>
      <c r="C297" s="586"/>
      <c r="D297" s="656"/>
      <c r="E297" s="656"/>
    </row>
    <row r="298" spans="1:5" s="654" customFormat="1" ht="15.75" x14ac:dyDescent="0.2">
      <c r="A298" s="655"/>
      <c r="C298" s="586"/>
      <c r="D298" s="656"/>
      <c r="E298" s="656"/>
    </row>
    <row r="299" spans="1:5" s="654" customFormat="1" ht="15.75" x14ac:dyDescent="0.2">
      <c r="A299" s="655"/>
      <c r="C299" s="586"/>
      <c r="D299" s="656"/>
      <c r="E299" s="656"/>
    </row>
    <row r="300" spans="1:5" s="654" customFormat="1" ht="15.75" x14ac:dyDescent="0.2">
      <c r="A300" s="655"/>
      <c r="C300" s="586"/>
      <c r="D300" s="656"/>
      <c r="E300" s="656"/>
    </row>
    <row r="301" spans="1:5" s="654" customFormat="1" ht="15.75" x14ac:dyDescent="0.2">
      <c r="A301" s="655"/>
      <c r="C301" s="586"/>
      <c r="D301" s="656"/>
      <c r="E301" s="656"/>
    </row>
    <row r="302" spans="1:5" s="654" customFormat="1" ht="15.75" x14ac:dyDescent="0.2">
      <c r="A302" s="655"/>
      <c r="C302" s="586"/>
      <c r="D302" s="656"/>
      <c r="E302" s="656"/>
    </row>
    <row r="303" spans="1:5" s="654" customFormat="1" ht="15.75" x14ac:dyDescent="0.2">
      <c r="A303" s="655"/>
      <c r="C303" s="586"/>
      <c r="D303" s="656"/>
      <c r="E303" s="656"/>
    </row>
    <row r="304" spans="1:5" s="654" customFormat="1" ht="15.75" x14ac:dyDescent="0.2">
      <c r="A304" s="655"/>
      <c r="C304" s="586"/>
      <c r="D304" s="656"/>
      <c r="E304" s="656"/>
    </row>
    <row r="305" spans="1:5" s="654" customFormat="1" ht="15.75" x14ac:dyDescent="0.2">
      <c r="A305" s="655"/>
      <c r="C305" s="586"/>
      <c r="D305" s="656"/>
      <c r="E305" s="656"/>
    </row>
    <row r="306" spans="1:5" s="654" customFormat="1" ht="15.75" x14ac:dyDescent="0.2">
      <c r="A306" s="655"/>
      <c r="C306" s="586"/>
      <c r="D306" s="656"/>
      <c r="E306" s="656"/>
    </row>
    <row r="307" spans="1:5" s="654" customFormat="1" ht="15.75" x14ac:dyDescent="0.2">
      <c r="A307" s="655"/>
      <c r="C307" s="586"/>
      <c r="D307" s="656"/>
      <c r="E307" s="656"/>
    </row>
    <row r="308" spans="1:5" s="654" customFormat="1" ht="15.75" x14ac:dyDescent="0.2">
      <c r="A308" s="655"/>
      <c r="C308" s="586"/>
      <c r="D308" s="656"/>
      <c r="E308" s="656"/>
    </row>
    <row r="309" spans="1:5" s="654" customFormat="1" ht="15.75" x14ac:dyDescent="0.2">
      <c r="A309" s="655"/>
      <c r="C309" s="586"/>
      <c r="D309" s="656"/>
      <c r="E309" s="656"/>
    </row>
    <row r="310" spans="1:5" s="654" customFormat="1" ht="15.75" x14ac:dyDescent="0.2">
      <c r="A310" s="655"/>
      <c r="C310" s="586"/>
      <c r="D310" s="656"/>
      <c r="E310" s="656"/>
    </row>
    <row r="311" spans="1:5" s="654" customFormat="1" ht="15.75" x14ac:dyDescent="0.2">
      <c r="A311" s="655"/>
      <c r="C311" s="586"/>
      <c r="D311" s="656"/>
      <c r="E311" s="656"/>
    </row>
    <row r="312" spans="1:5" s="654" customFormat="1" ht="15.75" x14ac:dyDescent="0.2">
      <c r="A312" s="655"/>
      <c r="C312" s="586"/>
      <c r="D312" s="656"/>
      <c r="E312" s="656"/>
    </row>
    <row r="313" spans="1:5" s="654" customFormat="1" ht="15.75" x14ac:dyDescent="0.2">
      <c r="A313" s="655"/>
      <c r="C313" s="586"/>
      <c r="D313" s="656"/>
      <c r="E313" s="656"/>
    </row>
    <row r="314" spans="1:5" s="654" customFormat="1" ht="15.75" x14ac:dyDescent="0.2">
      <c r="A314" s="655"/>
      <c r="C314" s="586"/>
      <c r="D314" s="656"/>
      <c r="E314" s="656"/>
    </row>
    <row r="315" spans="1:5" s="654" customFormat="1" ht="15.75" x14ac:dyDescent="0.2">
      <c r="A315" s="655"/>
      <c r="C315" s="586"/>
      <c r="D315" s="656"/>
      <c r="E315" s="656"/>
    </row>
    <row r="316" spans="1:5" s="654" customFormat="1" ht="15.75" x14ac:dyDescent="0.2">
      <c r="A316" s="655"/>
      <c r="C316" s="586"/>
      <c r="D316" s="656"/>
      <c r="E316" s="656"/>
    </row>
    <row r="317" spans="1:5" s="654" customFormat="1" ht="15.75" x14ac:dyDescent="0.2">
      <c r="A317" s="655"/>
      <c r="C317" s="586"/>
      <c r="D317" s="656"/>
      <c r="E317" s="656"/>
    </row>
    <row r="318" spans="1:5" s="654" customFormat="1" ht="15.75" x14ac:dyDescent="0.2">
      <c r="A318" s="655"/>
      <c r="C318" s="586"/>
      <c r="D318" s="656"/>
      <c r="E318" s="656"/>
    </row>
    <row r="319" spans="1:5" s="654" customFormat="1" ht="15.75" x14ac:dyDescent="0.2">
      <c r="A319" s="655"/>
      <c r="C319" s="586"/>
      <c r="D319" s="656"/>
      <c r="E319" s="656"/>
    </row>
    <row r="320" spans="1:5" s="654" customFormat="1" ht="15.75" x14ac:dyDescent="0.2">
      <c r="A320" s="655"/>
      <c r="C320" s="586"/>
      <c r="D320" s="656"/>
      <c r="E320" s="656"/>
    </row>
    <row r="321" spans="1:5" s="654" customFormat="1" ht="15.75" x14ac:dyDescent="0.2">
      <c r="A321" s="655"/>
      <c r="C321" s="586"/>
      <c r="D321" s="656"/>
      <c r="E321" s="656"/>
    </row>
    <row r="322" spans="1:5" s="654" customFormat="1" ht="15.75" x14ac:dyDescent="0.2">
      <c r="A322" s="655"/>
      <c r="C322" s="586"/>
      <c r="D322" s="656"/>
      <c r="E322" s="656"/>
    </row>
    <row r="323" spans="1:5" s="654" customFormat="1" ht="15.75" x14ac:dyDescent="0.2">
      <c r="A323" s="655"/>
      <c r="C323" s="586"/>
      <c r="D323" s="656"/>
      <c r="E323" s="656"/>
    </row>
    <row r="324" spans="1:5" s="654" customFormat="1" ht="15.75" x14ac:dyDescent="0.2">
      <c r="A324" s="655"/>
      <c r="C324" s="586"/>
      <c r="D324" s="656"/>
      <c r="E324" s="656"/>
    </row>
    <row r="325" spans="1:5" s="654" customFormat="1" ht="15.75" x14ac:dyDescent="0.2">
      <c r="A325" s="655"/>
      <c r="C325" s="586"/>
      <c r="D325" s="656"/>
      <c r="E325" s="656"/>
    </row>
    <row r="326" spans="1:5" s="654" customFormat="1" ht="15.75" x14ac:dyDescent="0.2">
      <c r="A326" s="655"/>
      <c r="C326" s="586"/>
      <c r="D326" s="656"/>
      <c r="E326" s="656"/>
    </row>
    <row r="327" spans="1:5" s="654" customFormat="1" ht="15.75" x14ac:dyDescent="0.2">
      <c r="A327" s="655"/>
      <c r="C327" s="586"/>
      <c r="D327" s="656"/>
      <c r="E327" s="656"/>
    </row>
    <row r="328" spans="1:5" s="654" customFormat="1" ht="15.75" x14ac:dyDescent="0.2">
      <c r="A328" s="655"/>
      <c r="C328" s="586"/>
      <c r="D328" s="656"/>
      <c r="E328" s="656"/>
    </row>
    <row r="329" spans="1:5" s="654" customFormat="1" ht="15.75" x14ac:dyDescent="0.2">
      <c r="A329" s="655"/>
      <c r="C329" s="586"/>
      <c r="D329" s="656"/>
      <c r="E329" s="656"/>
    </row>
    <row r="330" spans="1:5" s="654" customFormat="1" ht="15.75" x14ac:dyDescent="0.2">
      <c r="A330" s="655"/>
      <c r="C330" s="586"/>
      <c r="D330" s="656"/>
      <c r="E330" s="656"/>
    </row>
    <row r="331" spans="1:5" s="654" customFormat="1" ht="15.75" x14ac:dyDescent="0.2">
      <c r="A331" s="655"/>
      <c r="C331" s="586"/>
      <c r="D331" s="656"/>
      <c r="E331" s="656"/>
    </row>
    <row r="332" spans="1:5" s="654" customFormat="1" ht="15.75" x14ac:dyDescent="0.2">
      <c r="A332" s="655"/>
      <c r="C332" s="586"/>
      <c r="D332" s="656"/>
      <c r="E332" s="656"/>
    </row>
    <row r="333" spans="1:5" s="654" customFormat="1" ht="15.75" x14ac:dyDescent="0.2">
      <c r="A333" s="655"/>
      <c r="C333" s="586"/>
      <c r="D333" s="656"/>
      <c r="E333" s="656"/>
    </row>
    <row r="334" spans="1:5" s="654" customFormat="1" ht="15.75" x14ac:dyDescent="0.2">
      <c r="A334" s="655"/>
      <c r="C334" s="586"/>
      <c r="D334" s="656"/>
      <c r="E334" s="656"/>
    </row>
    <row r="335" spans="1:5" s="654" customFormat="1" ht="15.75" x14ac:dyDescent="0.2">
      <c r="A335" s="655"/>
      <c r="C335" s="586"/>
      <c r="D335" s="656"/>
      <c r="E335" s="656"/>
    </row>
    <row r="336" spans="1:5" s="654" customFormat="1" ht="15.75" x14ac:dyDescent="0.2">
      <c r="A336" s="655"/>
      <c r="C336" s="586"/>
      <c r="D336" s="656"/>
      <c r="E336" s="656"/>
    </row>
    <row r="337" spans="1:5" s="654" customFormat="1" ht="15.75" x14ac:dyDescent="0.2">
      <c r="A337" s="655"/>
      <c r="C337" s="586"/>
      <c r="D337" s="656"/>
      <c r="E337" s="656"/>
    </row>
    <row r="338" spans="1:5" s="654" customFormat="1" ht="15.75" x14ac:dyDescent="0.2">
      <c r="A338" s="655"/>
      <c r="C338" s="586"/>
      <c r="D338" s="656"/>
      <c r="E338" s="656"/>
    </row>
    <row r="339" spans="1:5" s="654" customFormat="1" ht="15.75" x14ac:dyDescent="0.2">
      <c r="A339" s="655"/>
      <c r="C339" s="586"/>
      <c r="D339" s="656"/>
      <c r="E339" s="656"/>
    </row>
    <row r="340" spans="1:5" s="654" customFormat="1" ht="15.75" x14ac:dyDescent="0.2">
      <c r="A340" s="655"/>
      <c r="C340" s="586"/>
      <c r="D340" s="656"/>
      <c r="E340" s="656"/>
    </row>
    <row r="341" spans="1:5" s="654" customFormat="1" ht="15.75" x14ac:dyDescent="0.2">
      <c r="A341" s="655"/>
      <c r="C341" s="586"/>
      <c r="D341" s="656"/>
      <c r="E341" s="656"/>
    </row>
    <row r="342" spans="1:5" s="654" customFormat="1" ht="15.75" x14ac:dyDescent="0.2">
      <c r="A342" s="655"/>
      <c r="C342" s="586"/>
      <c r="D342" s="656"/>
      <c r="E342" s="656"/>
    </row>
    <row r="343" spans="1:5" s="654" customFormat="1" ht="15.75" x14ac:dyDescent="0.2">
      <c r="A343" s="655"/>
      <c r="C343" s="586"/>
      <c r="D343" s="656"/>
      <c r="E343" s="656"/>
    </row>
    <row r="344" spans="1:5" s="654" customFormat="1" ht="15.75" x14ac:dyDescent="0.2">
      <c r="A344" s="655"/>
      <c r="C344" s="586"/>
      <c r="D344" s="656"/>
      <c r="E344" s="656"/>
    </row>
    <row r="345" spans="1:5" s="654" customFormat="1" ht="15.75" x14ac:dyDescent="0.2">
      <c r="A345" s="655"/>
      <c r="C345" s="586"/>
      <c r="D345" s="656"/>
      <c r="E345" s="656"/>
    </row>
    <row r="346" spans="1:5" s="654" customFormat="1" ht="15.75" x14ac:dyDescent="0.2">
      <c r="A346" s="655"/>
      <c r="C346" s="586"/>
      <c r="D346" s="656"/>
      <c r="E346" s="656"/>
    </row>
    <row r="347" spans="1:5" s="654" customFormat="1" ht="15.75" x14ac:dyDescent="0.2">
      <c r="A347" s="655"/>
      <c r="C347" s="586"/>
      <c r="D347" s="656"/>
      <c r="E347" s="656"/>
    </row>
    <row r="348" spans="1:5" s="654" customFormat="1" ht="15.75" x14ac:dyDescent="0.2">
      <c r="A348" s="655"/>
      <c r="C348" s="586"/>
      <c r="D348" s="656"/>
      <c r="E348" s="656"/>
    </row>
    <row r="349" spans="1:5" s="654" customFormat="1" ht="15.75" x14ac:dyDescent="0.2">
      <c r="A349" s="655"/>
      <c r="C349" s="586"/>
      <c r="D349" s="656"/>
      <c r="E349" s="656"/>
    </row>
    <row r="350" spans="1:5" s="654" customFormat="1" ht="15.75" x14ac:dyDescent="0.2">
      <c r="A350" s="655"/>
      <c r="C350" s="586"/>
      <c r="D350" s="656"/>
      <c r="E350" s="656"/>
    </row>
    <row r="351" spans="1:5" s="654" customFormat="1" ht="15.75" x14ac:dyDescent="0.2">
      <c r="A351" s="655"/>
      <c r="C351" s="586"/>
      <c r="D351" s="656"/>
      <c r="E351" s="656"/>
    </row>
    <row r="352" spans="1:5" s="654" customFormat="1" ht="15.75" x14ac:dyDescent="0.2">
      <c r="A352" s="655"/>
      <c r="C352" s="586"/>
      <c r="D352" s="656"/>
      <c r="E352" s="656"/>
    </row>
    <row r="353" spans="1:5" s="654" customFormat="1" ht="15.75" x14ac:dyDescent="0.2">
      <c r="A353" s="655"/>
      <c r="C353" s="586"/>
      <c r="D353" s="656"/>
      <c r="E353" s="656"/>
    </row>
    <row r="354" spans="1:5" s="654" customFormat="1" ht="15.75" x14ac:dyDescent="0.2">
      <c r="A354" s="655"/>
      <c r="C354" s="586"/>
      <c r="D354" s="656"/>
      <c r="E354" s="656"/>
    </row>
    <row r="355" spans="1:5" s="654" customFormat="1" ht="15.75" x14ac:dyDescent="0.2">
      <c r="A355" s="655"/>
      <c r="C355" s="586"/>
      <c r="D355" s="656"/>
      <c r="E355" s="656"/>
    </row>
    <row r="356" spans="1:5" s="654" customFormat="1" ht="15.75" x14ac:dyDescent="0.2">
      <c r="A356" s="655"/>
      <c r="C356" s="586"/>
      <c r="D356" s="656"/>
      <c r="E356" s="656"/>
    </row>
    <row r="357" spans="1:5" s="654" customFormat="1" ht="15.75" x14ac:dyDescent="0.2">
      <c r="A357" s="655"/>
      <c r="C357" s="586"/>
      <c r="D357" s="656"/>
      <c r="E357" s="656"/>
    </row>
    <row r="358" spans="1:5" s="654" customFormat="1" ht="15.75" x14ac:dyDescent="0.2">
      <c r="A358" s="655"/>
      <c r="C358" s="586"/>
      <c r="D358" s="656"/>
      <c r="E358" s="656"/>
    </row>
    <row r="359" spans="1:5" s="654" customFormat="1" ht="15.75" x14ac:dyDescent="0.2">
      <c r="A359" s="655"/>
      <c r="C359" s="586"/>
      <c r="D359" s="656"/>
      <c r="E359" s="656"/>
    </row>
    <row r="360" spans="1:5" s="654" customFormat="1" ht="15.75" x14ac:dyDescent="0.2">
      <c r="A360" s="655"/>
      <c r="C360" s="586"/>
      <c r="D360" s="656"/>
      <c r="E360" s="656"/>
    </row>
    <row r="361" spans="1:5" s="654" customFormat="1" ht="15.75" x14ac:dyDescent="0.2">
      <c r="A361" s="655"/>
      <c r="C361" s="586"/>
      <c r="D361" s="656"/>
      <c r="E361" s="656"/>
    </row>
    <row r="362" spans="1:5" s="654" customFormat="1" ht="15.75" x14ac:dyDescent="0.2">
      <c r="A362" s="655"/>
      <c r="C362" s="586"/>
      <c r="D362" s="656"/>
      <c r="E362" s="656"/>
    </row>
    <row r="363" spans="1:5" s="654" customFormat="1" ht="15.75" x14ac:dyDescent="0.2">
      <c r="A363" s="655"/>
      <c r="C363" s="586"/>
      <c r="D363" s="656"/>
      <c r="E363" s="656"/>
    </row>
    <row r="364" spans="1:5" s="654" customFormat="1" ht="15.75" x14ac:dyDescent="0.2">
      <c r="A364" s="655"/>
      <c r="C364" s="586"/>
      <c r="D364" s="656"/>
      <c r="E364" s="656"/>
    </row>
    <row r="365" spans="1:5" s="654" customFormat="1" ht="15.75" x14ac:dyDescent="0.2">
      <c r="A365" s="655"/>
      <c r="C365" s="586"/>
      <c r="D365" s="656"/>
      <c r="E365" s="656"/>
    </row>
    <row r="366" spans="1:5" s="654" customFormat="1" ht="15.75" x14ac:dyDescent="0.2">
      <c r="A366" s="655"/>
      <c r="C366" s="586"/>
      <c r="D366" s="656"/>
      <c r="E366" s="656"/>
    </row>
    <row r="367" spans="1:5" s="654" customFormat="1" ht="15.75" x14ac:dyDescent="0.2">
      <c r="A367" s="655"/>
      <c r="C367" s="586"/>
      <c r="D367" s="656"/>
      <c r="E367" s="656"/>
    </row>
    <row r="368" spans="1:5" s="654" customFormat="1" ht="15.75" x14ac:dyDescent="0.2">
      <c r="A368" s="655"/>
      <c r="C368" s="586"/>
      <c r="D368" s="656"/>
      <c r="E368" s="656"/>
    </row>
    <row r="369" spans="1:5" s="654" customFormat="1" ht="15.75" x14ac:dyDescent="0.2">
      <c r="A369" s="655"/>
      <c r="C369" s="586"/>
      <c r="D369" s="656"/>
      <c r="E369" s="656"/>
    </row>
    <row r="370" spans="1:5" s="654" customFormat="1" ht="15.75" x14ac:dyDescent="0.2">
      <c r="A370" s="655"/>
      <c r="C370" s="586"/>
      <c r="D370" s="656"/>
      <c r="E370" s="656"/>
    </row>
    <row r="371" spans="1:5" s="654" customFormat="1" ht="15.75" x14ac:dyDescent="0.2">
      <c r="A371" s="655"/>
      <c r="C371" s="586"/>
      <c r="D371" s="656"/>
      <c r="E371" s="656"/>
    </row>
    <row r="372" spans="1:5" s="654" customFormat="1" ht="15.75" x14ac:dyDescent="0.2">
      <c r="A372" s="655"/>
      <c r="C372" s="586"/>
      <c r="D372" s="656"/>
      <c r="E372" s="656"/>
    </row>
    <row r="373" spans="1:5" s="654" customFormat="1" ht="15.75" x14ac:dyDescent="0.2">
      <c r="A373" s="655"/>
      <c r="C373" s="586"/>
      <c r="D373" s="656"/>
      <c r="E373" s="656"/>
    </row>
    <row r="374" spans="1:5" s="654" customFormat="1" ht="15.75" x14ac:dyDescent="0.2">
      <c r="A374" s="655"/>
      <c r="C374" s="586"/>
      <c r="D374" s="656"/>
      <c r="E374" s="656"/>
    </row>
    <row r="375" spans="1:5" s="654" customFormat="1" ht="15.75" x14ac:dyDescent="0.2">
      <c r="A375" s="655"/>
      <c r="C375" s="586"/>
      <c r="D375" s="656"/>
      <c r="E375" s="656"/>
    </row>
    <row r="376" spans="1:5" s="654" customFormat="1" ht="15.75" x14ac:dyDescent="0.2">
      <c r="A376" s="655"/>
      <c r="C376" s="586"/>
      <c r="D376" s="656"/>
      <c r="E376" s="656"/>
    </row>
    <row r="377" spans="1:5" s="654" customFormat="1" ht="15.75" x14ac:dyDescent="0.2">
      <c r="A377" s="655"/>
      <c r="C377" s="586"/>
      <c r="D377" s="656"/>
      <c r="E377" s="656"/>
    </row>
    <row r="378" spans="1:5" s="654" customFormat="1" ht="15.75" x14ac:dyDescent="0.2">
      <c r="A378" s="655"/>
      <c r="C378" s="586"/>
      <c r="D378" s="656"/>
      <c r="E378" s="656"/>
    </row>
    <row r="379" spans="1:5" s="654" customFormat="1" ht="15.75" x14ac:dyDescent="0.2">
      <c r="A379" s="655"/>
      <c r="C379" s="586"/>
      <c r="D379" s="656"/>
      <c r="E379" s="656"/>
    </row>
    <row r="380" spans="1:5" s="654" customFormat="1" ht="15.75" x14ac:dyDescent="0.2">
      <c r="A380" s="655"/>
      <c r="C380" s="586"/>
      <c r="D380" s="656"/>
      <c r="E380" s="656"/>
    </row>
    <row r="381" spans="1:5" s="654" customFormat="1" ht="15.75" x14ac:dyDescent="0.2">
      <c r="A381" s="655"/>
      <c r="C381" s="586"/>
      <c r="D381" s="656"/>
      <c r="E381" s="656"/>
    </row>
    <row r="382" spans="1:5" s="654" customFormat="1" ht="15.75" x14ac:dyDescent="0.2">
      <c r="A382" s="655"/>
      <c r="C382" s="586"/>
      <c r="D382" s="656"/>
      <c r="E382" s="656"/>
    </row>
    <row r="383" spans="1:5" s="654" customFormat="1" ht="15.75" x14ac:dyDescent="0.2">
      <c r="A383" s="655"/>
      <c r="C383" s="586"/>
      <c r="D383" s="656"/>
      <c r="E383" s="656"/>
    </row>
    <row r="384" spans="1:5" s="654" customFormat="1" ht="15.75" x14ac:dyDescent="0.2">
      <c r="A384" s="655"/>
      <c r="C384" s="586"/>
      <c r="D384" s="656"/>
      <c r="E384" s="656"/>
    </row>
    <row r="385" spans="1:5" s="654" customFormat="1" ht="15.75" x14ac:dyDescent="0.2">
      <c r="A385" s="655"/>
      <c r="C385" s="586"/>
      <c r="D385" s="656"/>
      <c r="E385" s="656"/>
    </row>
    <row r="386" spans="1:5" s="654" customFormat="1" ht="15.75" x14ac:dyDescent="0.2">
      <c r="A386" s="655"/>
      <c r="C386" s="586"/>
      <c r="D386" s="656"/>
      <c r="E386" s="656"/>
    </row>
    <row r="387" spans="1:5" s="654" customFormat="1" ht="15.75" x14ac:dyDescent="0.2">
      <c r="A387" s="655"/>
      <c r="C387" s="586"/>
      <c r="D387" s="656"/>
      <c r="E387" s="656"/>
    </row>
    <row r="388" spans="1:5" s="654" customFormat="1" ht="15.75" x14ac:dyDescent="0.2">
      <c r="A388" s="655"/>
      <c r="C388" s="586"/>
      <c r="D388" s="656"/>
      <c r="E388" s="656"/>
    </row>
    <row r="389" spans="1:5" s="654" customFormat="1" ht="15.75" x14ac:dyDescent="0.2">
      <c r="A389" s="655"/>
      <c r="C389" s="586"/>
      <c r="D389" s="656"/>
      <c r="E389" s="656"/>
    </row>
    <row r="390" spans="1:5" s="654" customFormat="1" ht="15.75" x14ac:dyDescent="0.2">
      <c r="A390" s="655"/>
      <c r="C390" s="586"/>
      <c r="D390" s="656"/>
      <c r="E390" s="656"/>
    </row>
    <row r="391" spans="1:5" s="654" customFormat="1" ht="15.75" x14ac:dyDescent="0.2">
      <c r="A391" s="655"/>
      <c r="C391" s="586"/>
      <c r="D391" s="656"/>
      <c r="E391" s="656"/>
    </row>
    <row r="392" spans="1:5" s="654" customFormat="1" ht="15.75" x14ac:dyDescent="0.2">
      <c r="A392" s="655"/>
      <c r="C392" s="586"/>
      <c r="D392" s="656"/>
      <c r="E392" s="656"/>
    </row>
    <row r="393" spans="1:5" s="654" customFormat="1" ht="15.75" x14ac:dyDescent="0.2">
      <c r="A393" s="655"/>
      <c r="C393" s="586"/>
      <c r="D393" s="656"/>
      <c r="E393" s="656"/>
    </row>
    <row r="394" spans="1:5" s="654" customFormat="1" ht="15.75" x14ac:dyDescent="0.2">
      <c r="A394" s="655"/>
      <c r="C394" s="586"/>
      <c r="D394" s="656"/>
      <c r="E394" s="656"/>
    </row>
    <row r="395" spans="1:5" s="654" customFormat="1" ht="15.75" x14ac:dyDescent="0.2">
      <c r="A395" s="655"/>
      <c r="C395" s="586"/>
      <c r="D395" s="656"/>
      <c r="E395" s="656"/>
    </row>
    <row r="396" spans="1:5" s="654" customFormat="1" ht="15.75" x14ac:dyDescent="0.2">
      <c r="A396" s="655"/>
      <c r="C396" s="586"/>
      <c r="D396" s="656"/>
      <c r="E396" s="656"/>
    </row>
    <row r="397" spans="1:5" s="654" customFormat="1" ht="15.75" x14ac:dyDescent="0.2">
      <c r="A397" s="655"/>
      <c r="C397" s="586"/>
      <c r="D397" s="656"/>
      <c r="E397" s="656"/>
    </row>
    <row r="398" spans="1:5" s="654" customFormat="1" ht="15.75" x14ac:dyDescent="0.2">
      <c r="A398" s="655"/>
      <c r="C398" s="586"/>
      <c r="D398" s="656"/>
      <c r="E398" s="656"/>
    </row>
    <row r="399" spans="1:5" s="654" customFormat="1" ht="15.75" x14ac:dyDescent="0.2">
      <c r="A399" s="655"/>
      <c r="C399" s="586"/>
      <c r="D399" s="656"/>
      <c r="E399" s="656"/>
    </row>
    <row r="400" spans="1:5" s="654" customFormat="1" ht="15.75" x14ac:dyDescent="0.2">
      <c r="A400" s="655"/>
      <c r="C400" s="586"/>
      <c r="D400" s="656"/>
      <c r="E400" s="656"/>
    </row>
    <row r="401" spans="1:5" s="654" customFormat="1" ht="15.75" x14ac:dyDescent="0.2">
      <c r="A401" s="655"/>
      <c r="C401" s="586"/>
      <c r="D401" s="656"/>
      <c r="E401" s="656"/>
    </row>
    <row r="402" spans="1:5" s="654" customFormat="1" ht="15.75" x14ac:dyDescent="0.2">
      <c r="A402" s="655"/>
      <c r="C402" s="586"/>
      <c r="D402" s="656"/>
      <c r="E402" s="656"/>
    </row>
    <row r="403" spans="1:5" s="654" customFormat="1" ht="15.75" x14ac:dyDescent="0.2">
      <c r="A403" s="655"/>
      <c r="C403" s="586"/>
      <c r="D403" s="656"/>
      <c r="E403" s="656"/>
    </row>
    <row r="404" spans="1:5" s="654" customFormat="1" ht="15.75" x14ac:dyDescent="0.2">
      <c r="A404" s="655"/>
      <c r="C404" s="586"/>
      <c r="D404" s="656"/>
      <c r="E404" s="656"/>
    </row>
    <row r="405" spans="1:5" s="654" customFormat="1" ht="15.75" x14ac:dyDescent="0.2">
      <c r="A405" s="655"/>
      <c r="C405" s="586"/>
      <c r="D405" s="656"/>
      <c r="E405" s="656"/>
    </row>
    <row r="406" spans="1:5" s="654" customFormat="1" ht="15.75" x14ac:dyDescent="0.2">
      <c r="A406" s="655"/>
      <c r="C406" s="586"/>
      <c r="D406" s="656"/>
      <c r="E406" s="656"/>
    </row>
    <row r="407" spans="1:5" s="654" customFormat="1" ht="15.75" x14ac:dyDescent="0.2">
      <c r="A407" s="655"/>
      <c r="C407" s="586"/>
      <c r="D407" s="656"/>
      <c r="E407" s="656"/>
    </row>
    <row r="408" spans="1:5" s="654" customFormat="1" ht="15.75" x14ac:dyDescent="0.2">
      <c r="A408" s="655"/>
      <c r="C408" s="586"/>
      <c r="D408" s="656"/>
      <c r="E408" s="656"/>
    </row>
    <row r="409" spans="1:5" s="654" customFormat="1" ht="15.75" x14ac:dyDescent="0.2">
      <c r="A409" s="655"/>
      <c r="C409" s="586"/>
      <c r="D409" s="656"/>
      <c r="E409" s="656"/>
    </row>
    <row r="410" spans="1:5" s="654" customFormat="1" ht="15.75" x14ac:dyDescent="0.2">
      <c r="A410" s="655"/>
      <c r="C410" s="586"/>
      <c r="D410" s="656"/>
      <c r="E410" s="656"/>
    </row>
    <row r="411" spans="1:5" s="654" customFormat="1" ht="15.75" x14ac:dyDescent="0.2">
      <c r="A411" s="655"/>
      <c r="C411" s="586"/>
      <c r="D411" s="656"/>
      <c r="E411" s="656"/>
    </row>
    <row r="412" spans="1:5" s="654" customFormat="1" ht="15.75" x14ac:dyDescent="0.2">
      <c r="A412" s="655"/>
      <c r="C412" s="586"/>
      <c r="D412" s="656"/>
      <c r="E412" s="656"/>
    </row>
    <row r="413" spans="1:5" s="654" customFormat="1" ht="15.75" x14ac:dyDescent="0.2">
      <c r="A413" s="655"/>
      <c r="C413" s="586"/>
      <c r="D413" s="656"/>
      <c r="E413" s="656"/>
    </row>
    <row r="414" spans="1:5" s="654" customFormat="1" ht="15.75" x14ac:dyDescent="0.2">
      <c r="A414" s="655"/>
      <c r="C414" s="586"/>
      <c r="D414" s="656"/>
      <c r="E414" s="656"/>
    </row>
    <row r="415" spans="1:5" s="654" customFormat="1" ht="15.75" x14ac:dyDescent="0.2">
      <c r="A415" s="655"/>
      <c r="C415" s="586"/>
      <c r="D415" s="656"/>
      <c r="E415" s="656"/>
    </row>
    <row r="416" spans="1:5" s="654" customFormat="1" ht="15.75" x14ac:dyDescent="0.2">
      <c r="A416" s="655"/>
      <c r="C416" s="586"/>
      <c r="D416" s="656"/>
      <c r="E416" s="656"/>
    </row>
    <row r="417" spans="1:5" s="654" customFormat="1" ht="15.75" x14ac:dyDescent="0.2">
      <c r="A417" s="655"/>
      <c r="C417" s="586"/>
      <c r="D417" s="656"/>
      <c r="E417" s="656"/>
    </row>
    <row r="418" spans="1:5" s="654" customFormat="1" ht="15.75" x14ac:dyDescent="0.2">
      <c r="A418" s="655"/>
      <c r="C418" s="586"/>
      <c r="D418" s="656"/>
      <c r="E418" s="656"/>
    </row>
    <row r="419" spans="1:5" s="654" customFormat="1" ht="15.75" x14ac:dyDescent="0.2">
      <c r="A419" s="655"/>
      <c r="C419" s="586"/>
      <c r="D419" s="656"/>
      <c r="E419" s="656"/>
    </row>
    <row r="420" spans="1:5" s="654" customFormat="1" ht="15.75" x14ac:dyDescent="0.2">
      <c r="A420" s="655"/>
      <c r="C420" s="586"/>
      <c r="D420" s="656"/>
      <c r="E420" s="656"/>
    </row>
    <row r="421" spans="1:5" s="654" customFormat="1" ht="15.75" x14ac:dyDescent="0.2">
      <c r="A421" s="655"/>
      <c r="C421" s="586"/>
      <c r="D421" s="656"/>
      <c r="E421" s="656"/>
    </row>
    <row r="422" spans="1:5" s="654" customFormat="1" ht="15.75" x14ac:dyDescent="0.2">
      <c r="A422" s="655"/>
      <c r="C422" s="586"/>
      <c r="D422" s="656"/>
      <c r="E422" s="6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4"/>
  <sheetViews>
    <sheetView showGridLines="0" tabSelected="1" zoomScale="80" zoomScaleNormal="80" zoomScaleSheetLayoutView="80" workbookViewId="0">
      <selection activeCell="A12" sqref="A12"/>
    </sheetView>
  </sheetViews>
  <sheetFormatPr defaultRowHeight="15" x14ac:dyDescent="0.25"/>
  <cols>
    <col min="1" max="1" width="32.42578125" customWidth="1"/>
    <col min="2" max="2" width="78.140625" customWidth="1"/>
    <col min="3" max="3" width="1.42578125" customWidth="1"/>
    <col min="8" max="8" width="31" customWidth="1"/>
  </cols>
  <sheetData>
    <row r="1" spans="1:2" x14ac:dyDescent="0.25">
      <c r="A1" s="158"/>
      <c r="B1" s="692"/>
    </row>
    <row r="2" spans="1:2" x14ac:dyDescent="0.25">
      <c r="A2" s="740"/>
      <c r="B2" s="742"/>
    </row>
    <row r="3" spans="1:2" ht="28.5" x14ac:dyDescent="0.45">
      <c r="A3" s="932" t="s">
        <v>540</v>
      </c>
      <c r="B3" s="742"/>
    </row>
    <row r="4" spans="1:2" x14ac:dyDescent="0.25">
      <c r="A4" s="740"/>
      <c r="B4" s="742"/>
    </row>
    <row r="5" spans="1:2" x14ac:dyDescent="0.25">
      <c r="A5" s="147"/>
      <c r="B5" s="146"/>
    </row>
    <row r="6" spans="1:2" ht="28.5" x14ac:dyDescent="0.45">
      <c r="A6" s="929" t="s">
        <v>541</v>
      </c>
      <c r="B6" s="146"/>
    </row>
    <row r="7" spans="1:2" ht="28.5" x14ac:dyDescent="0.25">
      <c r="A7" s="930" t="s">
        <v>2278</v>
      </c>
      <c r="B7" s="146"/>
    </row>
    <row r="8" spans="1:2" ht="28.5" x14ac:dyDescent="0.25">
      <c r="A8" s="930" t="s">
        <v>2280</v>
      </c>
      <c r="B8" s="146"/>
    </row>
    <row r="9" spans="1:2" ht="28.5" x14ac:dyDescent="0.25">
      <c r="A9" s="930" t="s">
        <v>2279</v>
      </c>
      <c r="B9" s="146"/>
    </row>
    <row r="10" spans="1:2" ht="31.5" x14ac:dyDescent="0.25">
      <c r="A10" s="741"/>
      <c r="B10" s="146"/>
    </row>
    <row r="11" spans="1:2" ht="23.25" x14ac:dyDescent="0.35">
      <c r="A11" s="931" t="s">
        <v>2315</v>
      </c>
      <c r="B11" s="146"/>
    </row>
    <row r="12" spans="1:2" x14ac:dyDescent="0.25">
      <c r="A12" s="147"/>
      <c r="B12" s="146"/>
    </row>
    <row r="13" spans="1:2" ht="28.5" x14ac:dyDescent="0.25">
      <c r="A13" s="930" t="s">
        <v>2314</v>
      </c>
      <c r="B13" s="146"/>
    </row>
    <row r="14" spans="1:2" x14ac:dyDescent="0.25">
      <c r="A14" s="147"/>
      <c r="B14" s="146"/>
    </row>
    <row r="15" spans="1:2" x14ac:dyDescent="0.25">
      <c r="A15" s="147"/>
      <c r="B15" s="150"/>
    </row>
    <row r="16" spans="1:2" ht="30" x14ac:dyDescent="0.25">
      <c r="A16" s="743" t="s">
        <v>542</v>
      </c>
      <c r="B16" s="150" t="s">
        <v>2272</v>
      </c>
    </row>
    <row r="17" spans="1:2" x14ac:dyDescent="0.25">
      <c r="A17" s="212" t="s">
        <v>543</v>
      </c>
      <c r="B17" s="137" t="s">
        <v>2286</v>
      </c>
    </row>
    <row r="18" spans="1:2" x14ac:dyDescent="0.25">
      <c r="A18" s="212" t="s">
        <v>544</v>
      </c>
      <c r="B18" s="137" t="s">
        <v>2271</v>
      </c>
    </row>
    <row r="19" spans="1:2" x14ac:dyDescent="0.25">
      <c r="A19" s="212" t="s">
        <v>545</v>
      </c>
      <c r="B19" s="137" t="s">
        <v>2270</v>
      </c>
    </row>
    <row r="20" spans="1:2" x14ac:dyDescent="0.25">
      <c r="A20" s="212" t="s">
        <v>546</v>
      </c>
      <c r="B20" s="137" t="s">
        <v>2273</v>
      </c>
    </row>
    <row r="21" spans="1:2" x14ac:dyDescent="0.25">
      <c r="A21" s="212" t="s">
        <v>547</v>
      </c>
      <c r="B21" s="137" t="s">
        <v>2274</v>
      </c>
    </row>
    <row r="22" spans="1:2" x14ac:dyDescent="0.25">
      <c r="A22" s="212" t="s">
        <v>548</v>
      </c>
      <c r="B22" s="137" t="s">
        <v>2275</v>
      </c>
    </row>
    <row r="23" spans="1:2" x14ac:dyDescent="0.25">
      <c r="A23" s="212" t="s">
        <v>549</v>
      </c>
      <c r="B23" s="137" t="s">
        <v>621</v>
      </c>
    </row>
    <row r="24" spans="1:2" x14ac:dyDescent="0.25">
      <c r="A24" s="148"/>
      <c r="B24"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5" x14ac:dyDescent="0.25"/>
  <cols>
    <col min="1" max="2" width="3.85546875" customWidth="1"/>
    <col min="3" max="3" width="20.5703125" customWidth="1"/>
    <col min="4" max="4" width="3.85546875" customWidth="1"/>
    <col min="5" max="5" width="20.5703125" customWidth="1"/>
    <col min="6" max="6" width="3.85546875" customWidth="1"/>
    <col min="7" max="7" width="20.5703125" customWidth="1"/>
    <col min="8" max="8" width="3.85546875" customWidth="1"/>
    <col min="9" max="9" width="20.5703125" customWidth="1"/>
    <col min="10" max="10" width="3.85546875" customWidth="1"/>
    <col min="11" max="11" width="20.5703125" customWidth="1"/>
    <col min="12" max="14" width="3.85546875" customWidth="1"/>
    <col min="15" max="15" width="20.5703125" customWidth="1"/>
    <col min="16" max="16" width="3.85546875" customWidth="1"/>
    <col min="17" max="17" width="20.5703125" customWidth="1"/>
    <col min="18" max="18" width="3.85546875" customWidth="1"/>
    <col min="19" max="19" width="20.5703125" customWidth="1"/>
    <col min="20" max="20" width="3.85546875" customWidth="1"/>
  </cols>
  <sheetData>
    <row r="2" spans="2:21" ht="26.25" x14ac:dyDescent="0.4">
      <c r="B2" s="338" t="s">
        <v>550</v>
      </c>
      <c r="C2" s="336"/>
      <c r="D2" s="336"/>
      <c r="E2" s="336"/>
      <c r="F2" s="336"/>
      <c r="G2" s="336"/>
      <c r="H2" s="336"/>
      <c r="I2" s="336"/>
      <c r="J2" s="336"/>
      <c r="K2" s="336"/>
      <c r="L2" s="336"/>
      <c r="M2" s="336"/>
      <c r="N2" s="336"/>
      <c r="O2" s="336"/>
      <c r="P2" s="336"/>
      <c r="Q2" s="336"/>
      <c r="R2" s="336"/>
      <c r="S2" s="336"/>
      <c r="T2" s="337"/>
    </row>
    <row r="4" spans="2:21" x14ac:dyDescent="0.25">
      <c r="B4" s="204" t="s">
        <v>551</v>
      </c>
      <c r="C4" s="762"/>
      <c r="D4" s="762"/>
      <c r="E4" s="762"/>
      <c r="F4" s="762"/>
      <c r="G4" s="762"/>
      <c r="H4" s="762"/>
      <c r="I4" s="762"/>
      <c r="J4" s="762"/>
      <c r="K4" s="762"/>
      <c r="L4" s="762"/>
      <c r="M4" s="762"/>
      <c r="N4" s="762"/>
      <c r="O4" s="762"/>
      <c r="P4" s="762"/>
      <c r="Q4" s="762"/>
      <c r="R4" s="762"/>
      <c r="S4" s="762"/>
      <c r="T4" s="763"/>
    </row>
    <row r="5" spans="2:21" x14ac:dyDescent="0.25">
      <c r="B5" s="206" t="s">
        <v>552</v>
      </c>
      <c r="C5" s="205"/>
      <c r="D5" s="205"/>
      <c r="E5" s="205"/>
      <c r="F5" s="205"/>
      <c r="G5" s="205"/>
      <c r="H5" s="205"/>
      <c r="I5" s="205"/>
      <c r="J5" s="205"/>
      <c r="K5" s="205"/>
      <c r="L5" s="205"/>
      <c r="M5" s="205"/>
      <c r="N5" s="205"/>
      <c r="O5" s="205"/>
      <c r="P5" s="205"/>
      <c r="Q5" s="205"/>
      <c r="R5" s="205"/>
      <c r="S5" s="205"/>
      <c r="T5" s="207"/>
    </row>
    <row r="6" spans="2:21" x14ac:dyDescent="0.25">
      <c r="R6" s="177"/>
      <c r="S6" s="177"/>
      <c r="T6" s="177"/>
    </row>
    <row r="7" spans="2:21" x14ac:dyDescent="0.25">
      <c r="B7" s="204"/>
      <c r="C7" s="762"/>
      <c r="D7" s="762"/>
      <c r="E7" s="762"/>
      <c r="F7" s="762"/>
      <c r="G7" s="762"/>
      <c r="H7" s="762"/>
      <c r="I7" s="762"/>
      <c r="J7" s="762"/>
      <c r="K7" s="762"/>
      <c r="L7" s="763"/>
      <c r="N7" s="204"/>
      <c r="O7" s="762"/>
      <c r="P7" s="762"/>
      <c r="Q7" s="762"/>
      <c r="R7" s="202"/>
      <c r="S7" s="202"/>
      <c r="T7" s="202"/>
      <c r="U7" s="147"/>
    </row>
    <row r="8" spans="2:21" ht="47.25" x14ac:dyDescent="0.25">
      <c r="B8" s="208"/>
      <c r="C8" s="323" t="s">
        <v>553</v>
      </c>
      <c r="D8" s="404"/>
      <c r="E8" s="323" t="s">
        <v>554</v>
      </c>
      <c r="F8" s="404"/>
      <c r="G8" s="323" t="s">
        <v>555</v>
      </c>
      <c r="H8" s="404"/>
      <c r="I8" s="323" t="s">
        <v>556</v>
      </c>
      <c r="J8" s="404"/>
      <c r="K8" s="401" t="s">
        <v>557</v>
      </c>
      <c r="L8" s="405"/>
      <c r="M8" s="324"/>
      <c r="N8" s="408"/>
      <c r="O8" s="325" t="s">
        <v>558</v>
      </c>
      <c r="P8" s="408"/>
      <c r="Q8" s="325" t="s">
        <v>559</v>
      </c>
      <c r="R8" s="404"/>
      <c r="S8" s="325" t="s">
        <v>560</v>
      </c>
      <c r="T8" s="404"/>
      <c r="U8" s="147"/>
    </row>
    <row r="9" spans="2:21" x14ac:dyDescent="0.25">
      <c r="B9" s="208"/>
      <c r="C9" s="202"/>
      <c r="D9" s="202"/>
      <c r="E9" s="202"/>
      <c r="F9" s="202"/>
      <c r="G9" s="202"/>
      <c r="H9" s="202"/>
      <c r="I9" s="202"/>
      <c r="J9" s="202"/>
      <c r="K9" s="202"/>
      <c r="L9" s="209"/>
      <c r="N9" s="208"/>
      <c r="O9" s="202"/>
      <c r="P9" s="202"/>
      <c r="Q9" s="202"/>
      <c r="R9" s="202"/>
      <c r="S9" s="202"/>
      <c r="T9" s="202"/>
      <c r="U9" s="147"/>
    </row>
    <row r="10" spans="2:21" ht="39.950000000000003" customHeight="1" x14ac:dyDescent="0.25">
      <c r="B10" s="208"/>
      <c r="C10" s="402"/>
      <c r="D10" s="177"/>
      <c r="E10" s="675"/>
      <c r="F10" s="177"/>
      <c r="G10" s="440" t="s">
        <v>561</v>
      </c>
      <c r="H10" s="441"/>
      <c r="I10" s="441"/>
      <c r="J10" s="177"/>
      <c r="K10" s="403"/>
      <c r="L10" s="209"/>
      <c r="N10" s="208"/>
      <c r="O10" s="402"/>
      <c r="P10" s="177"/>
      <c r="Q10" s="441" t="s">
        <v>562</v>
      </c>
      <c r="R10" s="177"/>
      <c r="S10" s="403"/>
      <c r="T10" s="202"/>
      <c r="U10" s="147"/>
    </row>
    <row r="11" spans="2:21" x14ac:dyDescent="0.25">
      <c r="B11" s="208"/>
      <c r="C11" s="202"/>
      <c r="D11" s="202"/>
      <c r="E11" s="202"/>
      <c r="F11" s="202"/>
      <c r="G11" s="202"/>
      <c r="H11" s="202"/>
      <c r="I11" s="202"/>
      <c r="J11" s="202"/>
      <c r="K11" s="202"/>
      <c r="L11" s="209"/>
      <c r="N11" s="208"/>
      <c r="O11" s="202"/>
      <c r="P11" s="202"/>
      <c r="Q11" s="202"/>
      <c r="R11" s="202"/>
      <c r="S11" s="202"/>
      <c r="T11" s="202"/>
      <c r="U11" s="147"/>
    </row>
    <row r="12" spans="2:21" ht="174.95" customHeight="1" x14ac:dyDescent="0.25">
      <c r="B12" s="208"/>
      <c r="C12" s="322" t="s">
        <v>563</v>
      </c>
      <c r="D12" s="406"/>
      <c r="E12" s="322" t="s">
        <v>564</v>
      </c>
      <c r="F12" s="406"/>
      <c r="G12" s="320" t="s">
        <v>565</v>
      </c>
      <c r="H12" s="406"/>
      <c r="I12" s="321" t="s">
        <v>566</v>
      </c>
      <c r="J12" s="406"/>
      <c r="K12" s="320" t="s">
        <v>567</v>
      </c>
      <c r="L12" s="407"/>
      <c r="M12" s="215"/>
      <c r="N12" s="409"/>
      <c r="O12" s="322" t="s">
        <v>568</v>
      </c>
      <c r="P12" s="409"/>
      <c r="Q12" s="360" t="s">
        <v>569</v>
      </c>
      <c r="R12" s="406"/>
      <c r="S12" s="360" t="s">
        <v>570</v>
      </c>
      <c r="T12" s="406"/>
      <c r="U12" s="147"/>
    </row>
    <row r="13" spans="2:21" x14ac:dyDescent="0.25">
      <c r="B13" s="206"/>
      <c r="C13" s="205"/>
      <c r="D13" s="205"/>
      <c r="E13" s="205"/>
      <c r="F13" s="205"/>
      <c r="G13" s="205"/>
      <c r="H13" s="205"/>
      <c r="I13" s="205"/>
      <c r="J13" s="205"/>
      <c r="K13" s="205"/>
      <c r="L13" s="207"/>
      <c r="N13" s="206"/>
      <c r="O13" s="205"/>
      <c r="P13" s="410"/>
      <c r="Q13" s="410"/>
      <c r="R13" s="410"/>
      <c r="S13" s="410"/>
      <c r="T13" s="410"/>
      <c r="U13" s="147"/>
    </row>
    <row r="16" spans="2:21" x14ac:dyDescent="0.25">
      <c r="B16" s="204"/>
      <c r="C16" s="762"/>
      <c r="D16" s="762"/>
      <c r="E16" s="762"/>
      <c r="F16" s="762"/>
      <c r="G16" s="762"/>
      <c r="H16" s="762"/>
      <c r="I16" s="762"/>
      <c r="J16" s="762"/>
      <c r="K16" s="762"/>
      <c r="L16" s="762"/>
      <c r="M16" s="762"/>
      <c r="N16" s="762"/>
      <c r="O16" s="762"/>
      <c r="P16" s="762"/>
      <c r="Q16" s="762"/>
      <c r="R16" s="762"/>
      <c r="S16" s="762"/>
      <c r="T16" s="763"/>
    </row>
    <row r="17" spans="2:20" x14ac:dyDescent="0.25">
      <c r="B17" s="208" t="s">
        <v>571</v>
      </c>
      <c r="C17" s="202"/>
      <c r="D17" s="202"/>
      <c r="E17" s="202"/>
      <c r="F17" s="202"/>
      <c r="G17" s="202"/>
      <c r="H17" s="202"/>
      <c r="I17" s="202"/>
      <c r="J17" s="202"/>
      <c r="K17" s="202"/>
      <c r="L17" s="202"/>
      <c r="M17" s="202"/>
      <c r="N17" s="202"/>
      <c r="O17" s="202"/>
      <c r="P17" s="202"/>
      <c r="Q17" s="202"/>
      <c r="R17" s="202"/>
      <c r="S17" s="202"/>
      <c r="T17" s="209"/>
    </row>
    <row r="18" spans="2:20" x14ac:dyDescent="0.25">
      <c r="B18" s="411" t="s">
        <v>572</v>
      </c>
      <c r="C18" s="202"/>
      <c r="D18" s="202"/>
      <c r="E18" s="202"/>
      <c r="F18" s="202"/>
      <c r="G18" s="202"/>
      <c r="H18" s="202"/>
      <c r="I18" s="202"/>
      <c r="J18" s="202"/>
      <c r="K18" s="202"/>
      <c r="L18" s="202"/>
      <c r="M18" s="202"/>
      <c r="N18" s="202"/>
      <c r="O18" s="202"/>
      <c r="P18" s="202"/>
      <c r="Q18" s="202"/>
      <c r="R18" s="202"/>
      <c r="S18" s="202"/>
      <c r="T18" s="209"/>
    </row>
    <row r="19" spans="2:20" x14ac:dyDescent="0.25">
      <c r="B19" s="412" t="s">
        <v>573</v>
      </c>
      <c r="C19" s="202"/>
      <c r="D19" s="202"/>
      <c r="E19" s="202"/>
      <c r="F19" s="202"/>
      <c r="G19" s="202"/>
      <c r="H19" s="202"/>
      <c r="I19" s="202"/>
      <c r="J19" s="202"/>
      <c r="K19" s="202"/>
      <c r="L19" s="202"/>
      <c r="M19" s="202"/>
      <c r="N19" s="202"/>
      <c r="O19" s="202"/>
      <c r="P19" s="202"/>
      <c r="Q19" s="202"/>
      <c r="R19" s="202"/>
      <c r="S19" s="202"/>
      <c r="T19" s="209"/>
    </row>
    <row r="20" spans="2:20" x14ac:dyDescent="0.25">
      <c r="B20" s="413" t="s">
        <v>574</v>
      </c>
      <c r="C20" s="202"/>
      <c r="D20" s="202"/>
      <c r="E20" s="202"/>
      <c r="F20" s="202"/>
      <c r="G20" s="202"/>
      <c r="H20" s="202"/>
      <c r="I20" s="202"/>
      <c r="J20" s="202"/>
      <c r="K20" s="202"/>
      <c r="L20" s="202"/>
      <c r="M20" s="202"/>
      <c r="N20" s="202"/>
      <c r="O20" s="202"/>
      <c r="P20" s="202"/>
      <c r="Q20" s="202"/>
      <c r="R20" s="202"/>
      <c r="S20" s="202"/>
      <c r="T20" s="209"/>
    </row>
    <row r="21" spans="2:20" x14ac:dyDescent="0.25">
      <c r="B21" s="412" t="s">
        <v>575</v>
      </c>
      <c r="C21" s="202"/>
      <c r="D21" s="202"/>
      <c r="E21" s="202"/>
      <c r="F21" s="202"/>
      <c r="G21" s="202"/>
      <c r="H21" s="202"/>
      <c r="I21" s="202"/>
      <c r="J21" s="202"/>
      <c r="K21" s="202"/>
      <c r="L21" s="202"/>
      <c r="M21" s="202"/>
      <c r="N21" s="202"/>
      <c r="O21" s="202"/>
      <c r="P21" s="202"/>
      <c r="Q21" s="202"/>
      <c r="R21" s="202"/>
      <c r="S21" s="202"/>
      <c r="T21" s="209"/>
    </row>
    <row r="22" spans="2:20" x14ac:dyDescent="0.25">
      <c r="B22" s="412" t="s">
        <v>576</v>
      </c>
      <c r="C22" s="202"/>
      <c r="D22" s="202"/>
      <c r="E22" s="202"/>
      <c r="F22" s="202"/>
      <c r="G22" s="202"/>
      <c r="H22" s="202"/>
      <c r="I22" s="202"/>
      <c r="J22" s="202"/>
      <c r="K22" s="202"/>
      <c r="L22" s="202"/>
      <c r="M22" s="202"/>
      <c r="N22" s="202"/>
      <c r="O22" s="202"/>
      <c r="P22" s="202"/>
      <c r="Q22" s="202"/>
      <c r="R22" s="202"/>
      <c r="S22" s="202"/>
      <c r="T22" s="209"/>
    </row>
    <row r="23" spans="2:20" x14ac:dyDescent="0.25">
      <c r="B23" s="208"/>
      <c r="C23" s="202"/>
      <c r="D23" s="202"/>
      <c r="E23" s="202"/>
      <c r="F23" s="202"/>
      <c r="G23" s="202"/>
      <c r="H23" s="202"/>
      <c r="I23" s="202"/>
      <c r="J23" s="202"/>
      <c r="K23" s="202"/>
      <c r="L23" s="202"/>
      <c r="M23" s="202"/>
      <c r="N23" s="202"/>
      <c r="O23" s="202"/>
      <c r="P23" s="202"/>
      <c r="Q23" s="202"/>
      <c r="R23" s="202"/>
      <c r="S23" s="202"/>
      <c r="T23" s="209"/>
    </row>
    <row r="24" spans="2:20" x14ac:dyDescent="0.25">
      <c r="B24" s="414" t="s">
        <v>577</v>
      </c>
      <c r="C24" s="202"/>
      <c r="D24" s="202"/>
      <c r="E24" s="202"/>
      <c r="F24" s="202"/>
      <c r="G24" s="202"/>
      <c r="H24" s="202"/>
      <c r="I24" s="202"/>
      <c r="J24" s="202"/>
      <c r="K24" s="202"/>
      <c r="L24" s="202"/>
      <c r="M24" s="202"/>
      <c r="N24" s="202"/>
      <c r="O24" s="202"/>
      <c r="P24" s="202"/>
      <c r="Q24" s="202"/>
      <c r="R24" s="202"/>
      <c r="S24" s="202"/>
      <c r="T24" s="209"/>
    </row>
    <row r="25" spans="2:20" x14ac:dyDescent="0.25">
      <c r="B25" s="206"/>
      <c r="C25" s="205"/>
      <c r="D25" s="205"/>
      <c r="E25" s="205"/>
      <c r="F25" s="205"/>
      <c r="G25" s="205"/>
      <c r="H25" s="205"/>
      <c r="I25" s="205"/>
      <c r="J25" s="205"/>
      <c r="K25" s="205"/>
      <c r="L25" s="205"/>
      <c r="M25" s="205"/>
      <c r="N25" s="205"/>
      <c r="O25" s="205"/>
      <c r="P25" s="205"/>
      <c r="Q25" s="205"/>
      <c r="R25" s="205"/>
      <c r="S25" s="205"/>
      <c r="T25" s="207"/>
    </row>
  </sheetData>
  <sheetProtection algorithmName="SHA-512" hashValue="+ceoerwb8G6pAxi0bE/K2w7ORHic5dzdkNGpfESOdtSb9rb6qKZrbZZc96Rn0K+R40d13MkES+9DkG9koTRGBQ==" saltValue="hmM+nG8n1L9eX++m2Ycu5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AA125"/>
  <sheetViews>
    <sheetView showGridLines="0" zoomScale="90" zoomScaleNormal="90" zoomScaleSheetLayoutView="25" workbookViewId="0">
      <selection activeCell="H30" sqref="H30"/>
    </sheetView>
  </sheetViews>
  <sheetFormatPr defaultRowHeight="15" x14ac:dyDescent="0.25"/>
  <cols>
    <col min="1" max="1" width="2.42578125" customWidth="1"/>
    <col min="2" max="2" width="5.85546875" customWidth="1"/>
    <col min="3" max="3" width="63" customWidth="1"/>
    <col min="4" max="4" width="18" customWidth="1"/>
    <col min="5" max="5" width="17.28515625" customWidth="1"/>
    <col min="6" max="8" width="13.42578125" customWidth="1"/>
    <col min="9" max="9" width="16.140625" customWidth="1"/>
    <col min="10" max="10" width="16.7109375" customWidth="1"/>
    <col min="11" max="11" width="16.140625" customWidth="1"/>
    <col min="12" max="16" width="13.42578125" customWidth="1"/>
    <col min="17" max="17" width="3.42578125" customWidth="1"/>
    <col min="21" max="21" width="10" bestFit="1" customWidth="1"/>
    <col min="22" max="22" width="10.5703125" bestFit="1" customWidth="1"/>
  </cols>
  <sheetData>
    <row r="1" spans="2:22" ht="30" customHeight="1" x14ac:dyDescent="0.25">
      <c r="B1" s="448" t="s">
        <v>2277</v>
      </c>
    </row>
    <row r="2" spans="2:22" ht="30" customHeight="1" x14ac:dyDescent="0.25">
      <c r="B2" s="143" t="s">
        <v>578</v>
      </c>
      <c r="C2" s="143"/>
      <c r="D2" s="157"/>
      <c r="E2" s="142"/>
      <c r="F2" s="142"/>
      <c r="G2" s="142"/>
      <c r="H2" s="142"/>
      <c r="I2" s="142"/>
      <c r="J2" s="142"/>
      <c r="K2" s="142"/>
      <c r="L2" s="142"/>
      <c r="M2" s="142"/>
      <c r="N2" s="142"/>
      <c r="O2" s="142"/>
      <c r="P2" s="142"/>
      <c r="Q2" s="142"/>
      <c r="R2" s="142"/>
      <c r="S2" s="142"/>
      <c r="T2" s="142"/>
      <c r="U2" s="142"/>
      <c r="V2" s="142"/>
    </row>
    <row r="4" spans="2:22" x14ac:dyDescent="0.25">
      <c r="B4" s="144" t="s">
        <v>579</v>
      </c>
      <c r="C4" s="726"/>
      <c r="D4" s="726"/>
      <c r="E4" s="726"/>
      <c r="F4" s="726"/>
      <c r="G4" s="726"/>
      <c r="H4" s="726"/>
      <c r="I4" s="726"/>
      <c r="J4" s="726"/>
      <c r="K4" s="726"/>
      <c r="L4" s="726"/>
      <c r="M4" s="726"/>
      <c r="N4" s="726"/>
      <c r="O4" s="726"/>
      <c r="P4" s="726"/>
      <c r="Q4" s="692"/>
    </row>
    <row r="5" spans="2:22" x14ac:dyDescent="0.25">
      <c r="B5" s="147"/>
      <c r="C5" t="s">
        <v>580</v>
      </c>
      <c r="Q5" s="146"/>
    </row>
    <row r="6" spans="2:22" x14ac:dyDescent="0.25">
      <c r="B6" s="147"/>
      <c r="C6" t="s">
        <v>581</v>
      </c>
      <c r="Q6" s="146"/>
    </row>
    <row r="7" spans="2:22" x14ac:dyDescent="0.25">
      <c r="B7" s="147"/>
      <c r="C7" t="s">
        <v>582</v>
      </c>
      <c r="Q7" s="146"/>
    </row>
    <row r="8" spans="2:22" x14ac:dyDescent="0.25">
      <c r="B8" s="148"/>
      <c r="C8" s="149"/>
      <c r="D8" s="149"/>
      <c r="E8" s="149"/>
      <c r="F8" s="149"/>
      <c r="G8" s="149"/>
      <c r="H8" s="149"/>
      <c r="I8" s="149"/>
      <c r="J8" s="149"/>
      <c r="K8" s="149"/>
      <c r="L8" s="149"/>
      <c r="M8" s="149"/>
      <c r="N8" s="149"/>
      <c r="O8" s="149"/>
      <c r="P8" s="149"/>
      <c r="Q8" s="146"/>
    </row>
    <row r="9" spans="2:22" x14ac:dyDescent="0.25">
      <c r="Q9" s="177"/>
    </row>
    <row r="10" spans="2:22" x14ac:dyDescent="0.25">
      <c r="B10" s="144" t="s">
        <v>583</v>
      </c>
      <c r="C10" s="726"/>
      <c r="D10" s="726"/>
      <c r="E10" s="726"/>
      <c r="F10" s="726"/>
      <c r="G10" s="726"/>
      <c r="H10" s="726"/>
      <c r="I10" s="726"/>
      <c r="J10" s="726"/>
      <c r="K10" s="726"/>
      <c r="L10" s="726"/>
      <c r="M10" s="726"/>
      <c r="N10" s="726"/>
      <c r="O10" s="726"/>
      <c r="P10" s="726"/>
      <c r="Q10" s="146"/>
    </row>
    <row r="11" spans="2:22" x14ac:dyDescent="0.25">
      <c r="B11" s="145"/>
      <c r="C11" s="140" t="s">
        <v>584</v>
      </c>
      <c r="D11" s="138" t="s">
        <v>21</v>
      </c>
      <c r="Q11" s="146"/>
    </row>
    <row r="12" spans="2:22" x14ac:dyDescent="0.25">
      <c r="B12" s="145"/>
      <c r="C12" s="140" t="s">
        <v>41</v>
      </c>
      <c r="D12" s="138" t="s">
        <v>61</v>
      </c>
      <c r="E12" s="116">
        <f>'Population selection'!F14</f>
        <v>45691677</v>
      </c>
      <c r="F12" s="715" t="s">
        <v>2140</v>
      </c>
      <c r="Q12" s="146"/>
    </row>
    <row r="13" spans="2:22" x14ac:dyDescent="0.25">
      <c r="B13" s="145"/>
      <c r="C13" s="140"/>
      <c r="E13" s="750">
        <v>2.5222393017283001E-2</v>
      </c>
      <c r="F13" s="171" t="s">
        <v>2136</v>
      </c>
      <c r="Q13" s="146"/>
    </row>
    <row r="14" spans="2:22" x14ac:dyDescent="0.25">
      <c r="B14" s="145"/>
      <c r="C14" s="136"/>
      <c r="E14" s="163">
        <f>(100%+E13)*E12</f>
        <v>46844130.434912749</v>
      </c>
      <c r="F14" t="s">
        <v>2143</v>
      </c>
      <c r="Q14" s="146"/>
    </row>
    <row r="15" spans="2:22" x14ac:dyDescent="0.25">
      <c r="B15" s="145"/>
      <c r="C15" s="136"/>
      <c r="F15" s="258"/>
      <c r="Q15" s="146"/>
    </row>
    <row r="16" spans="2:22" x14ac:dyDescent="0.25">
      <c r="B16" s="145"/>
      <c r="C16" s="140" t="s">
        <v>585</v>
      </c>
      <c r="D16" s="778"/>
      <c r="E16" t="s">
        <v>586</v>
      </c>
      <c r="F16" s="258"/>
      <c r="Q16" s="146"/>
    </row>
    <row r="17" spans="2:22" x14ac:dyDescent="0.25">
      <c r="B17" s="145"/>
      <c r="C17" s="136"/>
      <c r="F17" s="258"/>
      <c r="Q17" s="146"/>
    </row>
    <row r="18" spans="2:22" x14ac:dyDescent="0.25">
      <c r="B18" s="147"/>
      <c r="C18" s="140" t="s">
        <v>587</v>
      </c>
      <c r="D18" s="508">
        <v>8.7908194773067497E-3</v>
      </c>
      <c r="E18" t="str">
        <f>IF(D18=0.00879081947730675,"Enter local estimate or delete the NICE assumption if required","Local value")</f>
        <v>Enter local estimate or delete the NICE assumption if required</v>
      </c>
      <c r="Q18" s="146"/>
    </row>
    <row r="19" spans="2:22" x14ac:dyDescent="0.25">
      <c r="B19" s="147"/>
      <c r="C19" s="140" t="s">
        <v>588</v>
      </c>
      <c r="D19" s="508">
        <v>0</v>
      </c>
      <c r="E19" t="str">
        <f>IF(D19=0,"Enter local estimate or delete the NICE assumption if required","Local value")</f>
        <v>Enter local estimate or delete the NICE assumption if required</v>
      </c>
      <c r="Q19" s="146"/>
    </row>
    <row r="20" spans="2:22" x14ac:dyDescent="0.25">
      <c r="B20" s="148"/>
      <c r="C20" s="149"/>
      <c r="D20" s="149"/>
      <c r="E20" s="149"/>
      <c r="F20" s="149"/>
      <c r="G20" s="149"/>
      <c r="H20" s="149"/>
      <c r="I20" s="149"/>
      <c r="J20" s="149"/>
      <c r="K20" s="149"/>
      <c r="L20" s="149"/>
      <c r="M20" s="149"/>
      <c r="N20" s="149"/>
      <c r="O20" s="149"/>
      <c r="P20" s="149"/>
      <c r="Q20" s="150"/>
    </row>
    <row r="22" spans="2:22" x14ac:dyDescent="0.25">
      <c r="B22" s="144" t="s">
        <v>589</v>
      </c>
      <c r="C22" s="726"/>
      <c r="D22" s="726"/>
      <c r="E22" s="726"/>
      <c r="F22" s="726"/>
      <c r="G22" s="726"/>
      <c r="H22" s="726"/>
      <c r="I22" s="726"/>
      <c r="J22" s="726"/>
      <c r="K22" s="726"/>
      <c r="L22" s="726"/>
      <c r="M22" s="726"/>
      <c r="N22" s="726"/>
      <c r="O22" s="726"/>
      <c r="P22" s="726"/>
      <c r="Q22" s="726"/>
      <c r="R22" s="726"/>
      <c r="S22" s="726"/>
      <c r="T22" s="726"/>
      <c r="U22" s="726"/>
      <c r="V22" s="692"/>
    </row>
    <row r="23" spans="2:22" ht="88.5" customHeight="1" x14ac:dyDescent="0.25">
      <c r="B23" s="145"/>
      <c r="E23" s="213" t="s">
        <v>590</v>
      </c>
      <c r="F23" s="152" t="s">
        <v>591</v>
      </c>
      <c r="G23" s="152" t="s">
        <v>592</v>
      </c>
      <c r="H23" s="211" t="s">
        <v>593</v>
      </c>
      <c r="I23" s="152" t="s">
        <v>594</v>
      </c>
      <c r="J23" s="152" t="s">
        <v>595</v>
      </c>
      <c r="K23" s="762"/>
      <c r="L23" s="762"/>
      <c r="M23" s="762"/>
      <c r="N23" s="762"/>
      <c r="O23" s="762"/>
      <c r="P23" s="762"/>
      <c r="Q23" s="762"/>
      <c r="R23" s="762"/>
      <c r="S23" s="762"/>
      <c r="T23" s="762"/>
      <c r="U23" s="762"/>
      <c r="V23" s="763"/>
    </row>
    <row r="24" spans="2:22" x14ac:dyDescent="0.25">
      <c r="B24" s="145"/>
      <c r="C24" s="212" t="s">
        <v>596</v>
      </c>
      <c r="D24" s="155"/>
      <c r="E24" s="187"/>
      <c r="F24" s="313">
        <f>IF(D18&lt;&gt;"",D18+100%,100%)</f>
        <v>1.0087908194773068</v>
      </c>
      <c r="G24" s="313">
        <f>IF($D$18&lt;&gt;"",F24*(100%+$D$18),100%)</f>
        <v>1.0176589174616961</v>
      </c>
      <c r="H24" s="313">
        <f>IF($D$18&lt;&gt;"",G24*(100%+$D$18),100%)</f>
        <v>1.0266049732945732</v>
      </c>
      <c r="I24" s="313">
        <f>IF($D$18&lt;&gt;"",H24*(100%+$D$18),100%)</f>
        <v>1.0356296722893112</v>
      </c>
      <c r="J24" s="313">
        <f>IF($D$18&lt;&gt;"",I24*(100%+$D$18),100%)</f>
        <v>1.0447337057837489</v>
      </c>
      <c r="K24" s="177" t="s">
        <v>597</v>
      </c>
      <c r="L24" s="177"/>
      <c r="M24" s="177"/>
      <c r="N24" s="177"/>
      <c r="O24" s="177"/>
      <c r="P24" s="177"/>
      <c r="Q24" s="177"/>
      <c r="R24" s="177"/>
      <c r="S24" s="177"/>
      <c r="T24" s="177"/>
      <c r="U24" s="177"/>
      <c r="V24" s="155"/>
    </row>
    <row r="25" spans="2:22" x14ac:dyDescent="0.25">
      <c r="B25" s="145"/>
      <c r="C25" s="212" t="s">
        <v>598</v>
      </c>
      <c r="D25" s="155"/>
      <c r="E25" s="187"/>
      <c r="F25" s="313">
        <f>IF(D19&lt;&gt;"",D19+100%,100%)</f>
        <v>1</v>
      </c>
      <c r="G25" s="313">
        <f>IF($D$19&lt;&gt;"",F25*(100%+$D$19),100%)</f>
        <v>1</v>
      </c>
      <c r="H25" s="313">
        <f>IF($D$19&lt;&gt;"",G25*(100%+$D$19),100%)</f>
        <v>1</v>
      </c>
      <c r="I25" s="313">
        <f>IF($D$19&lt;&gt;"",H25*(100%+$D$19),100%)</f>
        <v>1</v>
      </c>
      <c r="J25" s="313">
        <f>IF($D$19&lt;&gt;"",I25*(100%+$D$19),100%)</f>
        <v>1</v>
      </c>
      <c r="K25" s="149" t="s">
        <v>597</v>
      </c>
      <c r="L25" s="149"/>
      <c r="M25" s="149"/>
      <c r="N25" s="149"/>
      <c r="O25" s="149"/>
      <c r="P25" s="149"/>
      <c r="Q25" s="149"/>
      <c r="R25" s="149"/>
      <c r="S25" s="149"/>
      <c r="T25" s="149"/>
      <c r="U25" s="149"/>
      <c r="V25" s="150"/>
    </row>
    <row r="26" spans="2:22" x14ac:dyDescent="0.25">
      <c r="B26" s="147"/>
      <c r="C26" s="355"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745" t="s">
        <v>599</v>
      </c>
      <c r="L26" s="177"/>
      <c r="M26" s="177"/>
      <c r="N26" s="177"/>
      <c r="O26" s="177"/>
      <c r="P26" s="177"/>
      <c r="Q26" s="177"/>
      <c r="R26" s="177"/>
      <c r="S26" s="177"/>
      <c r="T26" s="177"/>
      <c r="U26" s="177"/>
      <c r="V26" s="155"/>
    </row>
    <row r="27" spans="2:22" x14ac:dyDescent="0.25">
      <c r="B27" s="147"/>
      <c r="C27" s="154" t="s">
        <v>2170</v>
      </c>
      <c r="D27" s="508">
        <f>10490/45691677</f>
        <v>2.2958229351047895E-4</v>
      </c>
      <c r="E27" s="993">
        <f>E26*$D27</f>
        <v>10754.582902751299</v>
      </c>
      <c r="F27" s="744">
        <f t="shared" ref="F27:J31" si="0">F26*$D27</f>
        <v>10849.124499603116</v>
      </c>
      <c r="G27" s="744">
        <f t="shared" si="0"/>
        <v>10944.497194565953</v>
      </c>
      <c r="H27" s="744">
        <f t="shared" si="0"/>
        <v>11040.708293673271</v>
      </c>
      <c r="I27" s="744">
        <f t="shared" si="0"/>
        <v>11137.765167184556</v>
      </c>
      <c r="J27" s="744">
        <f t="shared" si="0"/>
        <v>11235.675250149912</v>
      </c>
      <c r="K27" s="858" t="s">
        <v>2171</v>
      </c>
      <c r="L27" s="214"/>
      <c r="M27" s="214"/>
      <c r="N27" s="214"/>
      <c r="O27" s="214"/>
      <c r="P27" s="214"/>
      <c r="Q27" s="214"/>
      <c r="R27" s="214"/>
      <c r="S27" s="214"/>
      <c r="T27" s="214"/>
      <c r="U27" s="214"/>
      <c r="V27" s="714"/>
    </row>
    <row r="28" spans="2:22" ht="30" x14ac:dyDescent="0.25">
      <c r="B28" s="147"/>
      <c r="C28" s="154" t="s">
        <v>2172</v>
      </c>
      <c r="D28" s="508">
        <v>0.9</v>
      </c>
      <c r="E28" s="744">
        <f>E27*$D28</f>
        <v>9679.1246124761692</v>
      </c>
      <c r="F28" s="744">
        <f t="shared" si="0"/>
        <v>9764.2120496428051</v>
      </c>
      <c r="G28" s="744">
        <f t="shared" si="0"/>
        <v>9850.047475109357</v>
      </c>
      <c r="H28" s="744">
        <f t="shared" si="0"/>
        <v>9936.6374643059444</v>
      </c>
      <c r="I28" s="744">
        <f t="shared" si="0"/>
        <v>10023.988650466101</v>
      </c>
      <c r="J28" s="744">
        <f t="shared" si="0"/>
        <v>10112.107725134922</v>
      </c>
      <c r="K28" s="859" t="s">
        <v>2173</v>
      </c>
      <c r="L28" s="214"/>
      <c r="M28" s="214"/>
      <c r="N28" s="214"/>
      <c r="O28" s="214"/>
      <c r="P28" s="214"/>
      <c r="Q28" s="214"/>
      <c r="R28" s="214"/>
      <c r="S28" s="214"/>
      <c r="T28" s="214"/>
      <c r="U28" s="214"/>
      <c r="V28" s="714"/>
    </row>
    <row r="29" spans="2:22" ht="30" x14ac:dyDescent="0.25">
      <c r="B29" s="147"/>
      <c r="C29" s="154" t="s">
        <v>2174</v>
      </c>
      <c r="D29" s="508">
        <v>0.19600000000000001</v>
      </c>
      <c r="E29" s="993">
        <f>E28*$D29</f>
        <v>1897.1084240453292</v>
      </c>
      <c r="F29" s="744">
        <f t="shared" si="0"/>
        <v>1913.7855617299899</v>
      </c>
      <c r="G29" s="744">
        <f t="shared" si="0"/>
        <v>1930.6093051214341</v>
      </c>
      <c r="H29" s="744">
        <f t="shared" si="0"/>
        <v>1947.5809430039651</v>
      </c>
      <c r="I29" s="744">
        <f t="shared" si="0"/>
        <v>1964.7017754913559</v>
      </c>
      <c r="J29" s="744">
        <f t="shared" si="0"/>
        <v>1981.9731141264447</v>
      </c>
      <c r="K29" s="859" t="s">
        <v>2175</v>
      </c>
      <c r="L29" s="177"/>
      <c r="M29" s="177"/>
      <c r="N29" s="177"/>
      <c r="O29" s="177"/>
      <c r="P29" s="177"/>
      <c r="Q29" s="177"/>
      <c r="R29" s="177"/>
      <c r="S29" s="177"/>
      <c r="T29" s="177"/>
      <c r="U29" s="177"/>
      <c r="V29" s="155"/>
    </row>
    <row r="30" spans="2:22" x14ac:dyDescent="0.25">
      <c r="B30" s="147"/>
      <c r="C30" s="154" t="s">
        <v>2269</v>
      </c>
      <c r="D30" s="508">
        <v>0.6845</v>
      </c>
      <c r="E30" s="1022">
        <f>E29*$D30</f>
        <v>1298.5707162590279</v>
      </c>
      <c r="F30" s="1022">
        <f t="shared" si="0"/>
        <v>1309.9862170041781</v>
      </c>
      <c r="G30" s="1022">
        <f t="shared" si="0"/>
        <v>1321.5020693556216</v>
      </c>
      <c r="H30" s="1022">
        <f t="shared" si="0"/>
        <v>1333.1191554862141</v>
      </c>
      <c r="I30" s="1022">
        <f t="shared" si="0"/>
        <v>1344.8383653238332</v>
      </c>
      <c r="J30" s="1022">
        <f t="shared" si="0"/>
        <v>1356.6605966195514</v>
      </c>
      <c r="K30" s="148" t="s">
        <v>2309</v>
      </c>
      <c r="L30" s="177"/>
      <c r="M30" s="177"/>
      <c r="N30" s="177"/>
      <c r="O30" s="177"/>
      <c r="P30" s="177"/>
      <c r="Q30" s="177"/>
      <c r="R30" s="177"/>
      <c r="S30" s="177"/>
      <c r="T30" s="177"/>
      <c r="U30" s="177"/>
      <c r="V30" s="155"/>
    </row>
    <row r="31" spans="2:22" x14ac:dyDescent="0.25">
      <c r="B31" s="147"/>
      <c r="C31" s="154" t="s">
        <v>2176</v>
      </c>
      <c r="D31" s="508">
        <v>0.54</v>
      </c>
      <c r="E31" s="744">
        <f t="shared" ref="E31" si="1">E30*$D31</f>
        <v>701.22818677987516</v>
      </c>
      <c r="F31" s="744">
        <f t="shared" si="0"/>
        <v>707.39255718225627</v>
      </c>
      <c r="G31" s="744">
        <f t="shared" si="0"/>
        <v>713.61111745203573</v>
      </c>
      <c r="H31" s="744">
        <f t="shared" si="0"/>
        <v>719.8843439625557</v>
      </c>
      <c r="I31" s="744">
        <f t="shared" si="0"/>
        <v>726.21271727486999</v>
      </c>
      <c r="J31" s="744">
        <f t="shared" si="0"/>
        <v>732.59672217455784</v>
      </c>
      <c r="K31" s="212" t="s">
        <v>2177</v>
      </c>
      <c r="L31" s="177"/>
      <c r="M31" s="177"/>
      <c r="N31" s="177"/>
      <c r="O31" s="177"/>
      <c r="P31" s="177"/>
      <c r="Q31" s="177"/>
      <c r="R31" s="177"/>
      <c r="S31" s="177"/>
      <c r="T31" s="177"/>
      <c r="U31" s="177"/>
      <c r="V31" s="155"/>
    </row>
    <row r="32" spans="2:22" ht="16.149999999999999" customHeight="1" x14ac:dyDescent="0.25">
      <c r="B32" s="147"/>
      <c r="C32" s="154" t="s">
        <v>2178</v>
      </c>
      <c r="D32" s="508">
        <v>0.46</v>
      </c>
      <c r="E32" s="993">
        <f>E30*$D32</f>
        <v>597.34252947915286</v>
      </c>
      <c r="F32" s="993">
        <f t="shared" ref="F32:J32" si="2">F30*$D32</f>
        <v>602.59365982192196</v>
      </c>
      <c r="G32" s="993">
        <f t="shared" si="2"/>
        <v>607.89095190358603</v>
      </c>
      <c r="H32" s="993">
        <f t="shared" si="2"/>
        <v>613.23481152365855</v>
      </c>
      <c r="I32" s="993">
        <f t="shared" si="2"/>
        <v>618.62564804896328</v>
      </c>
      <c r="J32" s="993">
        <f t="shared" si="2"/>
        <v>624.06387444499364</v>
      </c>
      <c r="K32" t="s">
        <v>2177</v>
      </c>
      <c r="L32" s="177"/>
      <c r="M32" s="177"/>
      <c r="N32" s="177"/>
      <c r="O32" s="177"/>
      <c r="P32" s="177"/>
      <c r="Q32" s="177"/>
      <c r="R32" s="177"/>
      <c r="S32" s="177"/>
      <c r="T32" s="177"/>
      <c r="U32" s="177"/>
      <c r="V32" s="155"/>
    </row>
    <row r="33" spans="2:27" x14ac:dyDescent="0.25">
      <c r="B33" s="147"/>
      <c r="C33" s="719" t="s">
        <v>600</v>
      </c>
      <c r="D33" s="720"/>
      <c r="E33" s="717">
        <f>E30</f>
        <v>1298.5707162590279</v>
      </c>
      <c r="F33" s="717">
        <f>F30</f>
        <v>1309.9862170041781</v>
      </c>
      <c r="G33" s="717">
        <f>G30</f>
        <v>1321.5020693556216</v>
      </c>
      <c r="H33" s="717">
        <f t="shared" ref="H33:J33" si="3">H30</f>
        <v>1333.1191554862141</v>
      </c>
      <c r="I33" s="717">
        <f t="shared" si="3"/>
        <v>1344.8383653238332</v>
      </c>
      <c r="J33" s="717">
        <f t="shared" si="3"/>
        <v>1356.6605966195514</v>
      </c>
      <c r="K33" s="1019" t="s">
        <v>2298</v>
      </c>
      <c r="L33" s="177"/>
      <c r="M33" s="177"/>
      <c r="N33" s="177"/>
      <c r="O33" s="177"/>
      <c r="P33" s="177"/>
      <c r="Q33" s="177"/>
      <c r="R33" s="177"/>
      <c r="S33" s="177"/>
      <c r="T33" s="177"/>
      <c r="U33" s="177"/>
      <c r="V33" s="155"/>
    </row>
    <row r="34" spans="2:27" x14ac:dyDescent="0.25">
      <c r="B34" s="147"/>
      <c r="C34" s="721" t="s">
        <v>601</v>
      </c>
      <c r="D34" s="722"/>
      <c r="E34" s="718">
        <f>E33</f>
        <v>1298.5707162590279</v>
      </c>
      <c r="F34" s="716">
        <f>F33*F25</f>
        <v>1309.9862170041781</v>
      </c>
      <c r="G34" s="716">
        <f>G33*G25</f>
        <v>1321.5020693556216</v>
      </c>
      <c r="H34" s="716">
        <f>H33*H25</f>
        <v>1333.1191554862141</v>
      </c>
      <c r="I34" s="716">
        <f>I33*I25</f>
        <v>1344.8383653238332</v>
      </c>
      <c r="J34" s="716">
        <f>J33*J25</f>
        <v>1356.6605966195514</v>
      </c>
      <c r="V34" s="146"/>
    </row>
    <row r="35" spans="2:27" x14ac:dyDescent="0.25">
      <c r="B35" s="148"/>
      <c r="C35" s="746"/>
      <c r="D35" s="747"/>
      <c r="E35" s="748"/>
      <c r="F35" s="748"/>
      <c r="G35" s="749"/>
      <c r="H35" s="149"/>
      <c r="I35" s="149"/>
      <c r="J35" s="149"/>
      <c r="K35" s="149"/>
      <c r="L35" s="149"/>
      <c r="M35" s="149"/>
      <c r="N35" s="149"/>
      <c r="O35" s="149"/>
      <c r="P35" s="149"/>
      <c r="Q35" s="149"/>
      <c r="R35" s="149"/>
      <c r="S35" s="149"/>
      <c r="T35" s="149"/>
      <c r="U35" s="149"/>
      <c r="V35" s="150"/>
    </row>
    <row r="36" spans="2:27" x14ac:dyDescent="0.25">
      <c r="C36" s="854"/>
      <c r="D36" s="855"/>
      <c r="E36" s="319"/>
      <c r="F36" s="319"/>
      <c r="G36" s="171"/>
    </row>
    <row r="37" spans="2:27" x14ac:dyDescent="0.25">
      <c r="B37" s="144" t="s">
        <v>627</v>
      </c>
      <c r="C37" s="726"/>
      <c r="D37" s="726"/>
      <c r="E37" s="726"/>
      <c r="F37" s="726"/>
      <c r="G37" s="726"/>
      <c r="H37" s="726"/>
      <c r="I37" s="726"/>
      <c r="J37" s="726"/>
      <c r="K37" s="726"/>
      <c r="L37" s="726"/>
      <c r="M37" s="726"/>
      <c r="N37" s="726"/>
      <c r="O37" s="726"/>
      <c r="P37" s="726"/>
      <c r="Q37" s="856"/>
    </row>
    <row r="38" spans="2:27" ht="18" customHeight="1" x14ac:dyDescent="0.25">
      <c r="B38" s="147"/>
      <c r="D38" s="190" t="s">
        <v>628</v>
      </c>
      <c r="E38" s="190" t="s">
        <v>629</v>
      </c>
      <c r="F38" s="190" t="s">
        <v>630</v>
      </c>
      <c r="G38" s="190" t="s">
        <v>631</v>
      </c>
      <c r="H38" s="189" t="s">
        <v>632</v>
      </c>
      <c r="I38" s="189" t="s">
        <v>633</v>
      </c>
      <c r="K38" s="152" t="s">
        <v>628</v>
      </c>
      <c r="L38" s="464" t="s">
        <v>629</v>
      </c>
      <c r="M38" s="190" t="s">
        <v>630</v>
      </c>
      <c r="N38" s="190" t="s">
        <v>631</v>
      </c>
      <c r="O38" s="189" t="s">
        <v>632</v>
      </c>
      <c r="P38" s="189" t="s">
        <v>633</v>
      </c>
      <c r="Q38" s="146"/>
    </row>
    <row r="39" spans="2:27" x14ac:dyDescent="0.25">
      <c r="B39" s="147"/>
      <c r="C39" s="309" t="s">
        <v>2302</v>
      </c>
      <c r="D39" s="511">
        <v>0</v>
      </c>
      <c r="E39" s="512">
        <v>0.55000000000000004</v>
      </c>
      <c r="F39" s="512">
        <v>0.74</v>
      </c>
      <c r="G39" s="512">
        <v>0.8</v>
      </c>
      <c r="H39" s="512">
        <v>0.8</v>
      </c>
      <c r="I39" s="512">
        <v>0.8</v>
      </c>
      <c r="K39" s="465">
        <f t="shared" ref="K39:P42" si="4">E$34*D39</f>
        <v>0</v>
      </c>
      <c r="L39" s="465">
        <f t="shared" si="4"/>
        <v>720.49241935229804</v>
      </c>
      <c r="M39" s="465">
        <f t="shared" si="4"/>
        <v>977.91153132316003</v>
      </c>
      <c r="N39" s="465">
        <f t="shared" si="4"/>
        <v>1066.4953243889713</v>
      </c>
      <c r="O39" s="465">
        <f>I$34*H39</f>
        <v>1075.8706922590666</v>
      </c>
      <c r="P39" s="465">
        <f t="shared" si="4"/>
        <v>1085.3284772956411</v>
      </c>
      <c r="Q39" s="146"/>
    </row>
    <row r="40" spans="2:27" x14ac:dyDescent="0.25">
      <c r="B40" s="147"/>
      <c r="C40" s="309" t="s">
        <v>2303</v>
      </c>
      <c r="D40" s="927"/>
      <c r="E40" s="928"/>
      <c r="F40" s="928"/>
      <c r="G40" s="928"/>
      <c r="H40" s="928"/>
      <c r="I40" s="928"/>
      <c r="K40" s="465">
        <v>0</v>
      </c>
      <c r="L40" s="465">
        <f>K39</f>
        <v>0</v>
      </c>
      <c r="M40" s="465">
        <f>L39</f>
        <v>720.49241935229804</v>
      </c>
      <c r="N40" s="465">
        <f t="shared" ref="N40:P40" si="5">M39</f>
        <v>977.91153132316003</v>
      </c>
      <c r="O40" s="465">
        <f t="shared" si="5"/>
        <v>1066.4953243889713</v>
      </c>
      <c r="P40" s="465">
        <f t="shared" si="5"/>
        <v>1075.8706922590666</v>
      </c>
      <c r="Q40" s="146"/>
      <c r="U40" s="258"/>
      <c r="V40" s="258"/>
      <c r="W40" s="258"/>
      <c r="X40" s="258"/>
      <c r="Y40" s="258"/>
      <c r="Z40" s="258"/>
    </row>
    <row r="41" spans="2:27" x14ac:dyDescent="0.25">
      <c r="B41" s="147"/>
      <c r="C41" s="137" t="s">
        <v>2186</v>
      </c>
      <c r="D41" s="511">
        <v>0.54</v>
      </c>
      <c r="E41" s="512">
        <v>0.24</v>
      </c>
      <c r="F41" s="512">
        <v>0.14000000000000001</v>
      </c>
      <c r="G41" s="512">
        <v>0.11</v>
      </c>
      <c r="H41" s="512">
        <v>0.1</v>
      </c>
      <c r="I41" s="512">
        <v>0.1</v>
      </c>
      <c r="K41" s="465">
        <f t="shared" si="4"/>
        <v>701.22818677987516</v>
      </c>
      <c r="L41" s="465">
        <f t="shared" si="4"/>
        <v>314.39669208100275</v>
      </c>
      <c r="M41" s="465">
        <f t="shared" si="4"/>
        <v>185.01028970978706</v>
      </c>
      <c r="N41" s="465">
        <f t="shared" si="4"/>
        <v>146.64310710348354</v>
      </c>
      <c r="O41" s="465">
        <f t="shared" si="4"/>
        <v>134.48383653238332</v>
      </c>
      <c r="P41" s="465">
        <f t="shared" si="4"/>
        <v>135.66605966195513</v>
      </c>
      <c r="Q41" s="146"/>
      <c r="V41" s="936"/>
      <c r="W41" s="936"/>
      <c r="X41" s="936"/>
      <c r="Y41" s="936"/>
      <c r="Z41" s="936"/>
      <c r="AA41" s="936"/>
    </row>
    <row r="42" spans="2:27" x14ac:dyDescent="0.25">
      <c r="B42" s="147"/>
      <c r="C42" s="137" t="s">
        <v>2187</v>
      </c>
      <c r="D42" s="511">
        <v>0.46</v>
      </c>
      <c r="E42" s="512">
        <v>0.21</v>
      </c>
      <c r="F42" s="512">
        <v>0.12</v>
      </c>
      <c r="G42" s="512">
        <v>0.09</v>
      </c>
      <c r="H42" s="512">
        <v>0.1</v>
      </c>
      <c r="I42" s="512">
        <v>0.1</v>
      </c>
      <c r="K42" s="465">
        <f t="shared" si="4"/>
        <v>597.34252947915286</v>
      </c>
      <c r="L42" s="465">
        <f t="shared" si="4"/>
        <v>275.09710557087737</v>
      </c>
      <c r="M42" s="465">
        <f t="shared" si="4"/>
        <v>158.58024832267458</v>
      </c>
      <c r="N42" s="465">
        <f t="shared" si="4"/>
        <v>119.98072399375927</v>
      </c>
      <c r="O42" s="465">
        <f t="shared" si="4"/>
        <v>134.48383653238332</v>
      </c>
      <c r="P42" s="465">
        <f t="shared" si="4"/>
        <v>135.66605966195513</v>
      </c>
      <c r="Q42" s="146"/>
      <c r="V42" s="936"/>
    </row>
    <row r="43" spans="2:27" x14ac:dyDescent="0.25">
      <c r="B43" s="147"/>
      <c r="C43" s="994" t="s">
        <v>2260</v>
      </c>
      <c r="D43" s="511">
        <v>0</v>
      </c>
      <c r="E43" s="511">
        <v>0</v>
      </c>
      <c r="F43" s="511">
        <v>0</v>
      </c>
      <c r="G43" s="511">
        <v>0</v>
      </c>
      <c r="H43" s="511">
        <v>0</v>
      </c>
      <c r="I43" s="511">
        <v>0</v>
      </c>
      <c r="K43" s="465">
        <f>E$34*D43</f>
        <v>0</v>
      </c>
      <c r="L43" s="465">
        <f t="shared" ref="L43" si="6">F$34*E43</f>
        <v>0</v>
      </c>
      <c r="M43" s="465">
        <f t="shared" ref="M43" si="7">G$34*F43</f>
        <v>0</v>
      </c>
      <c r="N43" s="465">
        <f t="shared" ref="N43" si="8">H$34*G43</f>
        <v>0</v>
      </c>
      <c r="O43" s="465">
        <f t="shared" ref="O43" si="9">I$34*H43</f>
        <v>0</v>
      </c>
      <c r="P43" s="465">
        <f t="shared" ref="P43" si="10">J$34*I43</f>
        <v>0</v>
      </c>
      <c r="Q43" s="146"/>
      <c r="U43" s="1006"/>
      <c r="V43" s="936"/>
    </row>
    <row r="44" spans="2:27" x14ac:dyDescent="0.25">
      <c r="B44" s="147"/>
      <c r="D44" s="139">
        <f t="shared" ref="D44:I44" si="11">SUM(D39:D43)</f>
        <v>1</v>
      </c>
      <c r="E44" s="139">
        <f t="shared" si="11"/>
        <v>1</v>
      </c>
      <c r="F44" s="139">
        <f t="shared" si="11"/>
        <v>1</v>
      </c>
      <c r="G44" s="139">
        <f t="shared" si="11"/>
        <v>1</v>
      </c>
      <c r="H44" s="139">
        <f t="shared" si="11"/>
        <v>1</v>
      </c>
      <c r="I44" s="139">
        <f t="shared" si="11"/>
        <v>1</v>
      </c>
      <c r="K44" s="314">
        <f>SUM(K39:K43)</f>
        <v>1298.5707162590279</v>
      </c>
      <c r="L44" s="314">
        <f t="shared" ref="L44:P44" si="12">SUM(L39:L43)</f>
        <v>1309.9862170041781</v>
      </c>
      <c r="M44" s="314">
        <f>SUM(M39:M43)</f>
        <v>2041.9944887079196</v>
      </c>
      <c r="N44" s="314">
        <f t="shared" si="12"/>
        <v>2311.0306868093739</v>
      </c>
      <c r="O44" s="314">
        <f t="shared" si="12"/>
        <v>2411.3336897128047</v>
      </c>
      <c r="P44" s="314">
        <f t="shared" si="12"/>
        <v>2432.5312888786175</v>
      </c>
      <c r="Q44" s="146"/>
      <c r="U44" s="1006"/>
      <c r="V44" s="936"/>
    </row>
    <row r="45" spans="2:27" x14ac:dyDescent="0.25">
      <c r="B45" s="147"/>
      <c r="D45" s="800"/>
      <c r="E45" s="800"/>
      <c r="F45" s="800"/>
      <c r="G45" s="800"/>
      <c r="H45" s="800"/>
      <c r="I45" s="800"/>
      <c r="K45" s="415"/>
      <c r="L45" s="415"/>
      <c r="M45" s="415"/>
      <c r="N45" s="415"/>
      <c r="O45" s="415"/>
      <c r="P45" s="415"/>
      <c r="Q45" s="146"/>
      <c r="U45" s="1006"/>
      <c r="V45" s="936"/>
    </row>
    <row r="46" spans="2:27" ht="45" x14ac:dyDescent="0.25">
      <c r="B46" s="147"/>
      <c r="C46" s="922" t="s">
        <v>2210</v>
      </c>
      <c r="D46" s="922" t="s">
        <v>2304</v>
      </c>
      <c r="E46" s="922" t="s">
        <v>2201</v>
      </c>
      <c r="F46" s="922" t="s">
        <v>2202</v>
      </c>
      <c r="G46" s="922" t="s">
        <v>2260</v>
      </c>
      <c r="H46" s="923"/>
      <c r="I46" s="924"/>
      <c r="K46" s="152" t="s">
        <v>628</v>
      </c>
      <c r="L46" s="464" t="s">
        <v>629</v>
      </c>
      <c r="M46" s="190" t="s">
        <v>630</v>
      </c>
      <c r="N46" s="190" t="s">
        <v>631</v>
      </c>
      <c r="O46" s="189" t="s">
        <v>632</v>
      </c>
      <c r="P46" s="189" t="s">
        <v>633</v>
      </c>
      <c r="Q46" s="146"/>
      <c r="U46" s="1006"/>
      <c r="V46" s="936"/>
    </row>
    <row r="47" spans="2:27" x14ac:dyDescent="0.25">
      <c r="B47" s="147"/>
      <c r="C47" s="137" t="s">
        <v>2201</v>
      </c>
      <c r="D47" s="1029"/>
      <c r="E47" s="1029"/>
      <c r="F47" s="1029"/>
      <c r="G47" s="1029"/>
      <c r="H47" s="925"/>
      <c r="I47" s="926"/>
      <c r="K47" s="465"/>
      <c r="L47" s="465">
        <f>(K$39*$D47)+(K$41*$E47)+(K$42*$F47)+(K$43*$G47)</f>
        <v>0</v>
      </c>
      <c r="M47" s="465">
        <f t="shared" ref="M47:P47" si="13">(L$39*$D47)+(L$41*$E47)+(L$42*$F47)+(L$43*$G47)</f>
        <v>0</v>
      </c>
      <c r="N47" s="465">
        <f t="shared" si="13"/>
        <v>0</v>
      </c>
      <c r="O47" s="465">
        <f t="shared" si="13"/>
        <v>0</v>
      </c>
      <c r="P47" s="465">
        <f t="shared" si="13"/>
        <v>0</v>
      </c>
      <c r="Q47" s="146"/>
      <c r="U47" s="1006"/>
    </row>
    <row r="48" spans="2:27" x14ac:dyDescent="0.25">
      <c r="B48" s="147"/>
      <c r="C48" s="137" t="s">
        <v>2202</v>
      </c>
      <c r="D48" s="1029"/>
      <c r="E48" s="1029"/>
      <c r="F48" s="1029"/>
      <c r="G48" s="1029"/>
      <c r="H48" s="925"/>
      <c r="I48" s="926"/>
      <c r="K48" s="465"/>
      <c r="L48" s="465">
        <f t="shared" ref="L48:P48" si="14">(K$39*$D48)+(K$41*$E48)+(K$42*$F48)+(K$43*$G48)</f>
        <v>0</v>
      </c>
      <c r="M48" s="465">
        <f t="shared" si="14"/>
        <v>0</v>
      </c>
      <c r="N48" s="465">
        <f t="shared" si="14"/>
        <v>0</v>
      </c>
      <c r="O48" s="465">
        <f t="shared" si="14"/>
        <v>0</v>
      </c>
      <c r="P48" s="465">
        <f t="shared" si="14"/>
        <v>0</v>
      </c>
      <c r="Q48" s="146"/>
      <c r="U48" s="1006"/>
    </row>
    <row r="49" spans="2:26" x14ac:dyDescent="0.25">
      <c r="B49" s="147"/>
      <c r="C49" s="137" t="s">
        <v>2260</v>
      </c>
      <c r="D49" s="1029"/>
      <c r="E49" s="1029"/>
      <c r="F49" s="1029"/>
      <c r="G49" s="1029"/>
      <c r="H49" s="925"/>
      <c r="I49" s="926"/>
      <c r="K49" s="465"/>
      <c r="L49" s="465">
        <f t="shared" ref="L49:P49" si="15">(K$39*$D49)+(K$41*$E49)+(K$42*$F49)+(K$43*$G49)</f>
        <v>0</v>
      </c>
      <c r="M49" s="465">
        <f t="shared" si="15"/>
        <v>0</v>
      </c>
      <c r="N49" s="465">
        <f t="shared" si="15"/>
        <v>0</v>
      </c>
      <c r="O49" s="465">
        <f t="shared" si="15"/>
        <v>0</v>
      </c>
      <c r="P49" s="465">
        <f t="shared" si="15"/>
        <v>0</v>
      </c>
      <c r="Q49" s="146"/>
      <c r="V49" s="936"/>
      <c r="W49" s="936"/>
      <c r="X49" s="936"/>
      <c r="Y49" s="936"/>
      <c r="Z49" s="936"/>
    </row>
    <row r="50" spans="2:26" x14ac:dyDescent="0.25">
      <c r="B50" s="147"/>
      <c r="C50" s="137" t="s">
        <v>2192</v>
      </c>
      <c r="D50" s="1029"/>
      <c r="E50" s="1029"/>
      <c r="F50" s="1029"/>
      <c r="G50" s="1029"/>
      <c r="H50" s="925"/>
      <c r="I50" s="926"/>
      <c r="K50" s="465"/>
      <c r="L50" s="465">
        <f t="shared" ref="L50:P50" si="16">(K$39*$D50)+(K$41*$E50)+(K$42*$F50)+(K$43*$G50)</f>
        <v>0</v>
      </c>
      <c r="M50" s="465">
        <f t="shared" si="16"/>
        <v>0</v>
      </c>
      <c r="N50" s="465">
        <f t="shared" si="16"/>
        <v>0</v>
      </c>
      <c r="O50" s="465">
        <f t="shared" si="16"/>
        <v>0</v>
      </c>
      <c r="P50" s="465">
        <f t="shared" si="16"/>
        <v>0</v>
      </c>
      <c r="Q50" s="146"/>
    </row>
    <row r="51" spans="2:26" x14ac:dyDescent="0.25">
      <c r="B51" s="147"/>
      <c r="D51" s="934"/>
      <c r="E51" s="934"/>
      <c r="F51" s="934"/>
      <c r="G51" s="934"/>
      <c r="H51" s="925"/>
      <c r="I51" s="926"/>
      <c r="K51" s="314">
        <f t="shared" ref="K51:P51" si="17">SUM(K47:K50)</f>
        <v>0</v>
      </c>
      <c r="L51" s="314">
        <f t="shared" si="17"/>
        <v>0</v>
      </c>
      <c r="M51" s="314">
        <f t="shared" si="17"/>
        <v>0</v>
      </c>
      <c r="N51" s="314">
        <f t="shared" si="17"/>
        <v>0</v>
      </c>
      <c r="O51" s="314">
        <f t="shared" si="17"/>
        <v>0</v>
      </c>
      <c r="P51" s="314">
        <f t="shared" si="17"/>
        <v>0</v>
      </c>
      <c r="Q51" s="146"/>
      <c r="V51" s="936"/>
    </row>
    <row r="52" spans="2:26" x14ac:dyDescent="0.25">
      <c r="B52" s="147"/>
      <c r="D52" s="857"/>
      <c r="E52" s="857"/>
      <c r="F52" s="857"/>
      <c r="G52" s="857"/>
      <c r="H52" s="857"/>
      <c r="I52" s="857"/>
      <c r="Q52" s="146"/>
      <c r="V52" s="936"/>
    </row>
    <row r="53" spans="2:26" ht="45" x14ac:dyDescent="0.25">
      <c r="B53" s="147"/>
      <c r="C53" s="922" t="s">
        <v>2299</v>
      </c>
      <c r="D53" s="922" t="s">
        <v>2304</v>
      </c>
      <c r="E53" s="922" t="s">
        <v>2201</v>
      </c>
      <c r="F53" s="922" t="s">
        <v>2202</v>
      </c>
      <c r="G53" s="922" t="s">
        <v>2260</v>
      </c>
      <c r="H53" s="857"/>
      <c r="I53" s="857"/>
      <c r="K53" s="152" t="s">
        <v>628</v>
      </c>
      <c r="L53" s="464" t="s">
        <v>629</v>
      </c>
      <c r="M53" s="190" t="s">
        <v>630</v>
      </c>
      <c r="N53" s="190" t="s">
        <v>631</v>
      </c>
      <c r="O53" s="189" t="s">
        <v>632</v>
      </c>
      <c r="P53" s="189" t="s">
        <v>633</v>
      </c>
      <c r="Q53" s="146"/>
      <c r="V53" s="936"/>
    </row>
    <row r="54" spans="2:26" x14ac:dyDescent="0.25">
      <c r="B54" s="147"/>
      <c r="C54" s="137" t="s">
        <v>2191</v>
      </c>
      <c r="D54" s="1029">
        <v>0</v>
      </c>
      <c r="E54" s="1029">
        <v>0.3</v>
      </c>
      <c r="F54" s="1029">
        <v>0.3</v>
      </c>
      <c r="G54" s="1029">
        <v>0</v>
      </c>
      <c r="H54" s="857"/>
      <c r="I54" s="857"/>
      <c r="K54" s="465">
        <f>($D$54*K39)+($E$54*K41)+($F$54*K42)+($G$54*K43)</f>
        <v>389.57121487770837</v>
      </c>
      <c r="L54" s="465">
        <f>($D$54*L39)+($E$54*L41)+($F$54*L42)+($G$54*L43)</f>
        <v>176.84813929556404</v>
      </c>
      <c r="M54" s="465">
        <f>($D$54*M39)+($E$54*M41)+($F$54*M42)+($G$54*M43)</f>
        <v>103.07716140973849</v>
      </c>
      <c r="N54" s="465">
        <f>($D$54*N39)+($E$54*N41)+($F$54*N42)+($G$54*N43)</f>
        <v>79.987149329172837</v>
      </c>
      <c r="O54" s="465">
        <f t="shared" ref="O54" si="18">($D$54*O39)+($E$54*O41)+($F$54*O42)+($G$54*O43)</f>
        <v>80.690301919429984</v>
      </c>
      <c r="P54" s="465">
        <f>($D$54*P39)+($E$54*P41)+($F$54*P42)+($G$54*P43)</f>
        <v>81.399635797173076</v>
      </c>
      <c r="Q54" s="146"/>
      <c r="V54" s="936"/>
    </row>
    <row r="55" spans="2:26" x14ac:dyDescent="0.25">
      <c r="B55" s="147"/>
      <c r="D55" s="857"/>
      <c r="E55" s="857"/>
      <c r="F55" s="857"/>
      <c r="G55" s="857"/>
      <c r="H55" s="857"/>
      <c r="I55" s="857"/>
      <c r="K55" s="415"/>
      <c r="L55" s="415"/>
      <c r="M55" s="415"/>
      <c r="N55" s="415"/>
      <c r="O55" s="415"/>
      <c r="P55" s="415"/>
      <c r="Q55" s="146"/>
      <c r="V55" s="936"/>
    </row>
    <row r="56" spans="2:26" x14ac:dyDescent="0.25">
      <c r="B56" s="147"/>
      <c r="D56" s="857"/>
      <c r="E56" s="857"/>
      <c r="F56" s="857"/>
      <c r="G56" s="857"/>
      <c r="H56" s="857"/>
      <c r="I56" s="857"/>
      <c r="K56" s="415"/>
      <c r="L56" s="415"/>
      <c r="M56" s="415"/>
      <c r="N56" s="415"/>
      <c r="O56" s="415"/>
      <c r="P56" s="415"/>
      <c r="Q56" s="146"/>
      <c r="V56" s="936"/>
    </row>
    <row r="57" spans="2:26" x14ac:dyDescent="0.25">
      <c r="B57" s="147"/>
      <c r="C57" t="s">
        <v>2287</v>
      </c>
      <c r="D57" s="857"/>
      <c r="E57" s="857"/>
      <c r="F57" s="857"/>
      <c r="G57" s="857"/>
      <c r="H57" s="857"/>
      <c r="I57" s="857"/>
      <c r="Q57" s="146"/>
    </row>
    <row r="58" spans="2:26" x14ac:dyDescent="0.25">
      <c r="B58" s="147"/>
      <c r="C58" t="s">
        <v>2310</v>
      </c>
      <c r="D58" s="857"/>
      <c r="E58" s="857"/>
      <c r="F58" s="857"/>
      <c r="G58" s="857"/>
      <c r="H58" s="857"/>
      <c r="I58" s="857"/>
      <c r="Q58" s="146"/>
    </row>
    <row r="59" spans="2:26" x14ac:dyDescent="0.25">
      <c r="B59" s="148"/>
      <c r="C59" s="149"/>
      <c r="D59" s="149"/>
      <c r="E59" s="149"/>
      <c r="F59" s="149"/>
      <c r="G59" s="149"/>
      <c r="H59" s="149"/>
      <c r="I59" s="149"/>
      <c r="J59" s="149"/>
      <c r="K59" s="149"/>
      <c r="L59" s="149"/>
      <c r="M59" s="149"/>
      <c r="N59" s="149"/>
      <c r="O59" s="149"/>
      <c r="P59" s="149"/>
      <c r="Q59" s="150"/>
    </row>
    <row r="60" spans="2:26" x14ac:dyDescent="0.25">
      <c r="C60" s="854"/>
      <c r="D60" s="855"/>
      <c r="E60" s="319"/>
      <c r="F60" s="319"/>
      <c r="G60" s="171"/>
    </row>
    <row r="61" spans="2:26" x14ac:dyDescent="0.25">
      <c r="B61" s="144" t="s">
        <v>602</v>
      </c>
      <c r="C61" s="726"/>
      <c r="D61" s="726"/>
      <c r="E61" s="726"/>
      <c r="F61" s="726"/>
      <c r="G61" s="726"/>
      <c r="H61" s="726"/>
      <c r="I61" s="726"/>
      <c r="J61" s="726"/>
      <c r="K61" s="726"/>
      <c r="L61" s="726"/>
      <c r="M61" s="726"/>
      <c r="N61" s="726"/>
      <c r="O61" s="726"/>
      <c r="P61" s="726"/>
      <c r="Q61" s="692"/>
    </row>
    <row r="62" spans="2:26" ht="51.75" customHeight="1" x14ac:dyDescent="0.25">
      <c r="B62" s="147"/>
      <c r="D62" s="152" t="s">
        <v>603</v>
      </c>
      <c r="E62" s="211" t="s">
        <v>604</v>
      </c>
      <c r="F62" s="152" t="s">
        <v>605</v>
      </c>
      <c r="G62" s="152" t="s">
        <v>606</v>
      </c>
      <c r="H62" s="152" t="s">
        <v>607</v>
      </c>
      <c r="J62" s="460"/>
      <c r="K62" s="460"/>
      <c r="L62" s="460"/>
      <c r="Q62" s="146"/>
    </row>
    <row r="63" spans="2:26" x14ac:dyDescent="0.25">
      <c r="B63" s="147"/>
      <c r="C63" s="180" t="s">
        <v>2179</v>
      </c>
      <c r="D63" s="730">
        <v>21</v>
      </c>
      <c r="E63" s="670" t="s">
        <v>608</v>
      </c>
      <c r="F63" s="506">
        <v>2</v>
      </c>
      <c r="G63" s="510"/>
      <c r="H63" s="510"/>
      <c r="Q63" s="146"/>
    </row>
    <row r="64" spans="2:26" x14ac:dyDescent="0.25">
      <c r="B64" s="147"/>
      <c r="C64" s="180" t="s">
        <v>2180</v>
      </c>
      <c r="D64" s="730">
        <v>21</v>
      </c>
      <c r="E64" s="670">
        <v>1</v>
      </c>
      <c r="F64" s="506">
        <v>1</v>
      </c>
      <c r="G64" s="510"/>
      <c r="H64" s="861"/>
      <c r="Q64" s="146"/>
    </row>
    <row r="65" spans="2:17" x14ac:dyDescent="0.25">
      <c r="B65" s="147"/>
      <c r="C65" s="180" t="s">
        <v>2181</v>
      </c>
      <c r="D65" s="730">
        <v>21</v>
      </c>
      <c r="E65" s="670" t="s">
        <v>608</v>
      </c>
      <c r="F65" s="506">
        <v>2</v>
      </c>
      <c r="G65" s="510"/>
      <c r="H65" s="861"/>
      <c r="J65" s="458"/>
      <c r="K65" s="458"/>
      <c r="L65" s="458"/>
      <c r="Q65" s="146"/>
    </row>
    <row r="66" spans="2:17" x14ac:dyDescent="0.25">
      <c r="B66" s="147"/>
      <c r="C66" s="180" t="s">
        <v>2182</v>
      </c>
      <c r="D66" s="730">
        <v>21</v>
      </c>
      <c r="E66" s="670">
        <v>1</v>
      </c>
      <c r="F66" s="506">
        <v>1</v>
      </c>
      <c r="G66" s="510"/>
      <c r="H66" s="861"/>
      <c r="J66" s="458"/>
      <c r="K66" s="458"/>
      <c r="L66" s="458"/>
      <c r="Q66" s="146"/>
    </row>
    <row r="67" spans="2:17" x14ac:dyDescent="0.25">
      <c r="B67" s="147"/>
      <c r="C67" s="180" t="s">
        <v>2183</v>
      </c>
      <c r="D67" s="730">
        <v>21</v>
      </c>
      <c r="E67" s="670" t="s">
        <v>608</v>
      </c>
      <c r="F67" s="506">
        <v>2</v>
      </c>
      <c r="G67" s="510"/>
      <c r="H67" s="861"/>
      <c r="J67" s="458"/>
      <c r="K67" s="458"/>
      <c r="L67" s="458"/>
      <c r="Q67" s="146"/>
    </row>
    <row r="68" spans="2:17" x14ac:dyDescent="0.25">
      <c r="B68" s="147"/>
      <c r="C68" s="180" t="s">
        <v>2184</v>
      </c>
      <c r="D68" s="730">
        <v>21</v>
      </c>
      <c r="E68" s="670">
        <v>1</v>
      </c>
      <c r="F68" s="506">
        <v>1</v>
      </c>
      <c r="G68" s="510"/>
      <c r="H68" s="861"/>
      <c r="J68" s="458"/>
      <c r="K68" s="458"/>
      <c r="L68" s="458"/>
      <c r="Q68" s="146"/>
    </row>
    <row r="69" spans="2:17" x14ac:dyDescent="0.25">
      <c r="B69" s="147"/>
      <c r="C69" s="860" t="s">
        <v>2260</v>
      </c>
      <c r="D69" s="730">
        <v>21</v>
      </c>
      <c r="E69" s="670">
        <v>1</v>
      </c>
      <c r="F69" s="506">
        <v>1</v>
      </c>
      <c r="G69" s="510"/>
      <c r="H69" s="861"/>
      <c r="J69" s="458"/>
      <c r="K69" s="458"/>
      <c r="L69" s="458"/>
      <c r="Q69" s="146"/>
    </row>
    <row r="70" spans="2:17" x14ac:dyDescent="0.25">
      <c r="B70" s="147"/>
      <c r="C70" s="872" t="s">
        <v>2210</v>
      </c>
      <c r="D70" s="1030"/>
      <c r="E70" s="1031"/>
      <c r="F70" s="1030"/>
      <c r="G70" s="1030"/>
      <c r="H70" s="1030"/>
      <c r="J70" s="458"/>
      <c r="K70" s="458"/>
      <c r="L70" s="458"/>
      <c r="Q70" s="146"/>
    </row>
    <row r="71" spans="2:17" x14ac:dyDescent="0.25">
      <c r="B71" s="147"/>
      <c r="C71" s="860" t="s">
        <v>2192</v>
      </c>
      <c r="D71" s="730">
        <v>28</v>
      </c>
      <c r="E71" s="670" t="s">
        <v>2211</v>
      </c>
      <c r="F71" s="506">
        <v>3</v>
      </c>
      <c r="G71" s="510"/>
      <c r="H71" s="861"/>
      <c r="J71" s="458"/>
      <c r="K71" s="458"/>
      <c r="L71" s="458"/>
      <c r="Q71" s="146"/>
    </row>
    <row r="72" spans="2:17" x14ac:dyDescent="0.25">
      <c r="B72" s="147"/>
      <c r="C72" s="937" t="s">
        <v>2299</v>
      </c>
      <c r="D72" s="1024"/>
      <c r="E72" s="1025"/>
      <c r="F72" s="1026"/>
      <c r="G72" s="1027"/>
      <c r="H72" s="1027"/>
      <c r="J72" s="458"/>
      <c r="K72" s="458"/>
      <c r="L72" s="458"/>
      <c r="Q72" s="146"/>
    </row>
    <row r="73" spans="2:17" x14ac:dyDescent="0.25">
      <c r="B73" s="147"/>
      <c r="C73" s="860" t="s">
        <v>2191</v>
      </c>
      <c r="D73" s="509">
        <v>14</v>
      </c>
      <c r="E73" s="506">
        <v>1</v>
      </c>
      <c r="F73" s="506">
        <v>1</v>
      </c>
      <c r="G73" s="510"/>
      <c r="H73" s="510"/>
      <c r="I73" s="147"/>
      <c r="Q73" s="146"/>
    </row>
    <row r="74" spans="2:17" x14ac:dyDescent="0.25">
      <c r="B74" s="147"/>
      <c r="C74" s="1014"/>
      <c r="D74" s="870"/>
      <c r="E74" s="871"/>
      <c r="F74" s="871"/>
      <c r="G74" s="1028"/>
      <c r="H74" s="1028"/>
      <c r="Q74" s="146"/>
    </row>
    <row r="75" spans="2:17" x14ac:dyDescent="0.25">
      <c r="B75" s="147"/>
      <c r="C75" s="1014" t="s">
        <v>2311</v>
      </c>
      <c r="D75" s="870"/>
      <c r="E75" s="871"/>
      <c r="F75" s="871"/>
      <c r="G75" s="1028"/>
      <c r="H75" s="1028"/>
      <c r="Q75" s="146"/>
    </row>
    <row r="76" spans="2:17" x14ac:dyDescent="0.25">
      <c r="B76" s="147"/>
      <c r="C76" s="869"/>
      <c r="D76" s="870"/>
      <c r="E76" s="871"/>
      <c r="F76" s="1023"/>
      <c r="G76" s="935"/>
      <c r="H76" s="935"/>
      <c r="I76" s="935"/>
      <c r="Q76" s="146"/>
    </row>
    <row r="77" spans="2:17" x14ac:dyDescent="0.25">
      <c r="B77" s="147"/>
      <c r="D77" s="753"/>
      <c r="E77" s="752"/>
      <c r="F77" s="380" t="s">
        <v>609</v>
      </c>
      <c r="G77" s="382"/>
      <c r="H77" s="532"/>
      <c r="I77" s="1039" t="s">
        <v>610</v>
      </c>
      <c r="J77" s="1040"/>
      <c r="K77" s="1040"/>
      <c r="L77" s="1041"/>
      <c r="M77" s="148"/>
      <c r="Q77" s="146"/>
    </row>
    <row r="78" spans="2:17" ht="42" customHeight="1" x14ac:dyDescent="0.25">
      <c r="B78" s="147"/>
      <c r="C78" s="279" t="s">
        <v>611</v>
      </c>
      <c r="D78" s="754" t="s">
        <v>612</v>
      </c>
      <c r="E78" s="754" t="s">
        <v>613</v>
      </c>
      <c r="F78" s="754" t="s">
        <v>614</v>
      </c>
      <c r="G78" s="754" t="s">
        <v>615</v>
      </c>
      <c r="H78" s="754" t="s">
        <v>616</v>
      </c>
      <c r="I78" s="755" t="s">
        <v>617</v>
      </c>
      <c r="J78" s="756" t="s">
        <v>2262</v>
      </c>
      <c r="K78" s="739" t="s">
        <v>2255</v>
      </c>
      <c r="L78" s="757" t="s">
        <v>618</v>
      </c>
      <c r="M78" s="739" t="s">
        <v>619</v>
      </c>
      <c r="N78" s="738" t="s">
        <v>620</v>
      </c>
      <c r="Q78" s="146"/>
    </row>
    <row r="79" spans="2:17" x14ac:dyDescent="0.25">
      <c r="B79" s="147"/>
      <c r="C79" s="180" t="s">
        <v>2205</v>
      </c>
      <c r="D79" s="514" t="s">
        <v>621</v>
      </c>
      <c r="E79" s="514" t="s">
        <v>622</v>
      </c>
      <c r="F79" s="515">
        <v>20</v>
      </c>
      <c r="G79" s="515">
        <v>1</v>
      </c>
      <c r="H79" s="515">
        <f>F79*G79</f>
        <v>20</v>
      </c>
      <c r="I79" s="751">
        <v>5</v>
      </c>
      <c r="J79" s="731">
        <f>F63</f>
        <v>2</v>
      </c>
      <c r="K79" s="737">
        <v>1</v>
      </c>
      <c r="L79" s="990"/>
      <c r="M79" s="737">
        <v>0.2</v>
      </c>
      <c r="N79" s="315" t="s">
        <v>2207</v>
      </c>
      <c r="Q79" s="146"/>
    </row>
    <row r="80" spans="2:17" x14ac:dyDescent="0.25">
      <c r="B80" s="147"/>
      <c r="C80" s="180" t="s">
        <v>2206</v>
      </c>
      <c r="D80" s="514" t="s">
        <v>621</v>
      </c>
      <c r="E80" s="514" t="s">
        <v>622</v>
      </c>
      <c r="F80" s="515">
        <v>30</v>
      </c>
      <c r="G80" s="515">
        <v>1</v>
      </c>
      <c r="H80" s="515">
        <f>F80*G80</f>
        <v>30</v>
      </c>
      <c r="I80" s="751">
        <v>90</v>
      </c>
      <c r="J80" s="731">
        <f>F63</f>
        <v>2</v>
      </c>
      <c r="K80" s="737">
        <v>1</v>
      </c>
      <c r="L80" s="990"/>
      <c r="M80" s="737">
        <v>0.2</v>
      </c>
      <c r="N80" s="315" t="s">
        <v>2207</v>
      </c>
      <c r="O80" s="988"/>
      <c r="P80" s="988"/>
      <c r="Q80" s="146"/>
    </row>
    <row r="81" spans="2:17" x14ac:dyDescent="0.25">
      <c r="B81" s="147"/>
      <c r="C81" s="180" t="s">
        <v>2188</v>
      </c>
      <c r="D81" s="514" t="s">
        <v>621</v>
      </c>
      <c r="E81" s="514" t="s">
        <v>622</v>
      </c>
      <c r="F81" s="515">
        <v>100</v>
      </c>
      <c r="G81" s="515">
        <v>1</v>
      </c>
      <c r="H81" s="515">
        <f t="shared" ref="H81:H87" si="19">F81*G81</f>
        <v>100</v>
      </c>
      <c r="I81" s="751">
        <v>200</v>
      </c>
      <c r="J81" s="731">
        <f>F64</f>
        <v>1</v>
      </c>
      <c r="K81" s="737">
        <v>1</v>
      </c>
      <c r="L81" s="990"/>
      <c r="M81" s="737">
        <v>0.2</v>
      </c>
      <c r="N81" s="315" t="s">
        <v>2207</v>
      </c>
      <c r="P81" s="989"/>
      <c r="Q81" s="736"/>
    </row>
    <row r="82" spans="2:17" x14ac:dyDescent="0.25">
      <c r="B82" s="147"/>
      <c r="C82" s="180" t="s">
        <v>2189</v>
      </c>
      <c r="D82" s="514" t="s">
        <v>621</v>
      </c>
      <c r="E82" s="514" t="s">
        <v>622</v>
      </c>
      <c r="F82" s="515">
        <v>1800</v>
      </c>
      <c r="G82" s="515">
        <v>1</v>
      </c>
      <c r="H82" s="515">
        <f t="shared" si="19"/>
        <v>1800</v>
      </c>
      <c r="I82" s="751">
        <f>1000*D92</f>
        <v>1790</v>
      </c>
      <c r="J82" s="731">
        <f>F65</f>
        <v>2</v>
      </c>
      <c r="K82" s="737">
        <v>1</v>
      </c>
      <c r="L82" s="990"/>
      <c r="M82" s="737">
        <v>0.2</v>
      </c>
      <c r="N82" s="315" t="s">
        <v>2207</v>
      </c>
      <c r="P82" s="459"/>
      <c r="Q82" s="736"/>
    </row>
    <row r="83" spans="2:17" x14ac:dyDescent="0.25">
      <c r="B83" s="147"/>
      <c r="C83" s="180" t="s">
        <v>2251</v>
      </c>
      <c r="D83" s="514" t="s">
        <v>621</v>
      </c>
      <c r="E83" s="514" t="s">
        <v>622</v>
      </c>
      <c r="F83" s="515">
        <v>50</v>
      </c>
      <c r="G83" s="515">
        <v>1</v>
      </c>
      <c r="H83" s="515">
        <f t="shared" ref="H83" si="20">F83*G83</f>
        <v>50</v>
      </c>
      <c r="I83" s="751">
        <f>D92*70</f>
        <v>125.3</v>
      </c>
      <c r="J83" s="731">
        <f>F66</f>
        <v>1</v>
      </c>
      <c r="K83" s="737">
        <v>1</v>
      </c>
      <c r="L83" s="990">
        <v>24.33</v>
      </c>
      <c r="M83" s="737">
        <v>0.2</v>
      </c>
      <c r="N83" s="315" t="s">
        <v>2209</v>
      </c>
      <c r="P83" s="459"/>
      <c r="Q83" s="736"/>
    </row>
    <row r="84" spans="2:17" x14ac:dyDescent="0.25">
      <c r="B84" s="147"/>
      <c r="C84" s="180" t="s">
        <v>2190</v>
      </c>
      <c r="D84" s="514" t="s">
        <v>621</v>
      </c>
      <c r="E84" s="514" t="s">
        <v>622</v>
      </c>
      <c r="F84" s="515">
        <v>150</v>
      </c>
      <c r="G84" s="515">
        <v>1</v>
      </c>
      <c r="H84" s="515">
        <f t="shared" si="19"/>
        <v>150</v>
      </c>
      <c r="I84" s="751">
        <v>450</v>
      </c>
      <c r="J84" s="731">
        <f>F66</f>
        <v>1</v>
      </c>
      <c r="K84" s="737">
        <v>1</v>
      </c>
      <c r="L84" s="990">
        <v>6.6</v>
      </c>
      <c r="M84" s="737">
        <v>0.2</v>
      </c>
      <c r="N84" s="315" t="s">
        <v>2209</v>
      </c>
      <c r="P84" s="459"/>
      <c r="Q84" s="736"/>
    </row>
    <row r="85" spans="2:17" x14ac:dyDescent="0.25">
      <c r="B85" s="147"/>
      <c r="C85" s="180" t="s">
        <v>2260</v>
      </c>
      <c r="D85" s="514" t="s">
        <v>2308</v>
      </c>
      <c r="E85" s="514" t="s">
        <v>622</v>
      </c>
      <c r="F85" s="515">
        <v>1200</v>
      </c>
      <c r="G85" s="515">
        <v>1</v>
      </c>
      <c r="H85" s="515">
        <f t="shared" si="19"/>
        <v>1200</v>
      </c>
      <c r="I85" s="751">
        <v>1200</v>
      </c>
      <c r="J85" s="731">
        <f>F69</f>
        <v>1</v>
      </c>
      <c r="K85" s="737">
        <v>1</v>
      </c>
      <c r="L85" s="990"/>
      <c r="M85" s="737">
        <v>0.2</v>
      </c>
      <c r="N85" s="315" t="s">
        <v>2207</v>
      </c>
      <c r="P85" s="459"/>
      <c r="Q85" s="736"/>
    </row>
    <row r="86" spans="2:17" x14ac:dyDescent="0.25">
      <c r="B86" s="147"/>
      <c r="C86" s="860" t="s">
        <v>2192</v>
      </c>
      <c r="D86" s="514" t="s">
        <v>621</v>
      </c>
      <c r="E86" s="514" t="s">
        <v>622</v>
      </c>
      <c r="F86" s="515">
        <v>150</v>
      </c>
      <c r="G86" s="515">
        <v>1</v>
      </c>
      <c r="H86" s="515">
        <f t="shared" si="19"/>
        <v>150</v>
      </c>
      <c r="I86" s="751">
        <f>D92*80</f>
        <v>143.19999999999999</v>
      </c>
      <c r="J86" s="868">
        <f>F71</f>
        <v>3</v>
      </c>
      <c r="K86" s="737">
        <v>1</v>
      </c>
      <c r="L86" s="990"/>
      <c r="M86" s="737">
        <v>0.2</v>
      </c>
      <c r="N86" s="315" t="s">
        <v>2207</v>
      </c>
      <c r="P86" s="459"/>
      <c r="Q86" s="736"/>
    </row>
    <row r="87" spans="2:17" x14ac:dyDescent="0.25">
      <c r="B87" s="147"/>
      <c r="C87" s="860" t="s">
        <v>2191</v>
      </c>
      <c r="D87" s="514" t="s">
        <v>621</v>
      </c>
      <c r="E87" s="514" t="s">
        <v>622</v>
      </c>
      <c r="F87" s="515">
        <v>200</v>
      </c>
      <c r="G87" s="515">
        <v>1</v>
      </c>
      <c r="H87" s="515">
        <f t="shared" si="19"/>
        <v>200</v>
      </c>
      <c r="I87" s="751">
        <v>800</v>
      </c>
      <c r="J87" s="868">
        <f>F73</f>
        <v>1</v>
      </c>
      <c r="K87" s="737">
        <v>1</v>
      </c>
      <c r="L87" s="990"/>
      <c r="M87" s="737">
        <v>0.2</v>
      </c>
      <c r="N87" s="315" t="s">
        <v>2207</v>
      </c>
      <c r="P87" s="459"/>
      <c r="Q87" s="736"/>
    </row>
    <row r="88" spans="2:17" x14ac:dyDescent="0.25">
      <c r="B88" s="147"/>
      <c r="C88" s="1014"/>
      <c r="D88" s="1015"/>
      <c r="E88" s="1015"/>
      <c r="F88" s="866"/>
      <c r="G88" s="866"/>
      <c r="H88" s="866"/>
      <c r="I88" s="866"/>
      <c r="J88" s="1016"/>
      <c r="K88" s="867"/>
      <c r="L88" s="1017"/>
      <c r="M88" s="867"/>
      <c r="N88" s="459"/>
      <c r="P88" s="459"/>
      <c r="Q88" s="736"/>
    </row>
    <row r="89" spans="2:17" x14ac:dyDescent="0.25">
      <c r="B89" s="147"/>
      <c r="C89" s="1014" t="s">
        <v>2295</v>
      </c>
      <c r="D89" s="1015"/>
      <c r="E89" s="1015"/>
      <c r="F89" s="866"/>
      <c r="G89" s="866"/>
      <c r="H89" s="866"/>
      <c r="I89" s="866"/>
      <c r="J89" s="1016"/>
      <c r="K89" s="867"/>
      <c r="L89" s="1017"/>
      <c r="M89" s="867"/>
      <c r="N89" s="459"/>
      <c r="P89" s="459"/>
      <c r="Q89" s="736"/>
    </row>
    <row r="90" spans="2:17" x14ac:dyDescent="0.25">
      <c r="B90" s="147"/>
      <c r="C90" s="175"/>
      <c r="D90" s="140"/>
      <c r="E90" s="140"/>
      <c r="F90" s="140"/>
      <c r="Q90" s="146"/>
    </row>
    <row r="91" spans="2:17" x14ac:dyDescent="0.25">
      <c r="B91" s="147"/>
      <c r="C91" s="179" t="s">
        <v>623</v>
      </c>
      <c r="D91" s="510">
        <v>75.89</v>
      </c>
      <c r="E91" s="671" t="s">
        <v>2208</v>
      </c>
      <c r="F91" s="140"/>
      <c r="Q91" s="146"/>
    </row>
    <row r="92" spans="2:17" ht="17.25" x14ac:dyDescent="0.25">
      <c r="B92" s="147"/>
      <c r="C92" s="179" t="s">
        <v>624</v>
      </c>
      <c r="D92" s="509">
        <v>1.79</v>
      </c>
      <c r="E92" s="671" t="s">
        <v>625</v>
      </c>
      <c r="F92" s="140"/>
      <c r="Q92" s="146"/>
    </row>
    <row r="93" spans="2:17" x14ac:dyDescent="0.25">
      <c r="B93" s="147"/>
      <c r="C93" s="220"/>
      <c r="E93" s="671" t="s">
        <v>626</v>
      </c>
      <c r="F93" s="140"/>
      <c r="Q93" s="146"/>
    </row>
    <row r="94" spans="2:17" x14ac:dyDescent="0.25">
      <c r="B94" s="147"/>
      <c r="C94" s="220"/>
      <c r="E94" s="671"/>
      <c r="F94" s="140"/>
      <c r="Q94" s="146"/>
    </row>
    <row r="95" spans="2:17" x14ac:dyDescent="0.25">
      <c r="B95" s="147"/>
      <c r="C95" s="862" t="s">
        <v>2297</v>
      </c>
      <c r="E95" s="671"/>
      <c r="F95" s="140"/>
      <c r="Q95" s="146"/>
    </row>
    <row r="96" spans="2:17" x14ac:dyDescent="0.25">
      <c r="B96" s="147"/>
      <c r="C96" s="862"/>
      <c r="E96" s="671"/>
      <c r="F96" s="140"/>
      <c r="Q96" s="146"/>
    </row>
    <row r="97" spans="2:17" ht="65.45" customHeight="1" x14ac:dyDescent="0.25">
      <c r="B97" s="147"/>
      <c r="C97" s="1002" t="s">
        <v>2194</v>
      </c>
      <c r="D97" s="1021" t="s">
        <v>2203</v>
      </c>
      <c r="E97" s="1012" t="s">
        <v>2302</v>
      </c>
      <c r="F97" s="1012" t="s">
        <v>2303</v>
      </c>
      <c r="G97" s="1012" t="s">
        <v>2292</v>
      </c>
      <c r="H97" s="1012" t="s">
        <v>2264</v>
      </c>
      <c r="I97" s="1013" t="s">
        <v>2260</v>
      </c>
      <c r="J97" s="863"/>
      <c r="K97" s="863"/>
      <c r="O97" s="146"/>
    </row>
    <row r="98" spans="2:17" x14ac:dyDescent="0.25">
      <c r="B98" s="147"/>
      <c r="C98" s="1002" t="s">
        <v>2195</v>
      </c>
      <c r="D98" s="1032">
        <v>2.96</v>
      </c>
      <c r="E98" s="1005">
        <v>1</v>
      </c>
      <c r="F98" s="1005">
        <v>1</v>
      </c>
      <c r="G98" s="1005">
        <v>1</v>
      </c>
      <c r="H98" s="1005">
        <v>1</v>
      </c>
      <c r="I98" s="1005"/>
      <c r="J98" s="864"/>
      <c r="K98" s="864"/>
      <c r="O98" s="146"/>
    </row>
    <row r="99" spans="2:17" x14ac:dyDescent="0.25">
      <c r="B99" s="147"/>
      <c r="C99" s="1002" t="s">
        <v>2196</v>
      </c>
      <c r="D99" s="1032">
        <v>1.55</v>
      </c>
      <c r="E99" s="1005">
        <v>1</v>
      </c>
      <c r="F99" s="1005">
        <v>1</v>
      </c>
      <c r="G99" s="1005">
        <v>1</v>
      </c>
      <c r="H99" s="1005">
        <v>1</v>
      </c>
      <c r="I99" s="1005"/>
      <c r="J99" s="864"/>
      <c r="K99" s="864"/>
      <c r="O99" s="146"/>
    </row>
    <row r="100" spans="2:17" x14ac:dyDescent="0.25">
      <c r="B100" s="147"/>
      <c r="C100" s="1002" t="s">
        <v>2197</v>
      </c>
      <c r="D100" s="1032">
        <v>1.55</v>
      </c>
      <c r="E100" s="1005">
        <v>1</v>
      </c>
      <c r="F100" s="1005">
        <v>1</v>
      </c>
      <c r="G100" s="1005">
        <v>0</v>
      </c>
      <c r="H100" s="1005">
        <v>0</v>
      </c>
      <c r="I100" s="1005"/>
      <c r="J100" s="864"/>
      <c r="K100" s="864"/>
      <c r="O100" s="146"/>
    </row>
    <row r="101" spans="2:17" x14ac:dyDescent="0.25">
      <c r="B101" s="147"/>
      <c r="C101" s="1002" t="s">
        <v>2198</v>
      </c>
      <c r="D101" s="1032">
        <v>1.55</v>
      </c>
      <c r="E101" s="1005">
        <v>1</v>
      </c>
      <c r="F101" s="1005">
        <v>1</v>
      </c>
      <c r="G101" s="1005">
        <v>1</v>
      </c>
      <c r="H101" s="1005">
        <v>1</v>
      </c>
      <c r="I101" s="1005"/>
      <c r="J101" s="864"/>
      <c r="K101" s="864"/>
      <c r="O101" s="146"/>
    </row>
    <row r="102" spans="2:17" x14ac:dyDescent="0.25">
      <c r="B102" s="147"/>
      <c r="C102" s="1002" t="s">
        <v>2199</v>
      </c>
      <c r="D102" s="1032">
        <v>1.55</v>
      </c>
      <c r="E102" s="1005">
        <v>1</v>
      </c>
      <c r="F102" s="1005">
        <v>1</v>
      </c>
      <c r="G102" s="1005">
        <v>0</v>
      </c>
      <c r="H102" s="1005">
        <v>0</v>
      </c>
      <c r="I102" s="1005"/>
      <c r="J102" s="864"/>
      <c r="K102" s="864"/>
      <c r="O102" s="146"/>
    </row>
    <row r="103" spans="2:17" x14ac:dyDescent="0.25">
      <c r="B103" s="147"/>
      <c r="C103" s="1002" t="s">
        <v>2200</v>
      </c>
      <c r="D103" s="1032">
        <v>213.5</v>
      </c>
      <c r="E103" s="1005">
        <v>0</v>
      </c>
      <c r="F103" s="1005">
        <v>0</v>
      </c>
      <c r="G103" s="1005">
        <v>0</v>
      </c>
      <c r="H103" s="1005">
        <v>1</v>
      </c>
      <c r="I103" s="1005"/>
      <c r="J103" s="864"/>
      <c r="K103" s="864"/>
      <c r="O103" s="146"/>
    </row>
    <row r="104" spans="2:17" x14ac:dyDescent="0.25">
      <c r="B104" s="147"/>
      <c r="C104" s="220"/>
      <c r="D104" s="140" t="s">
        <v>2300</v>
      </c>
      <c r="E104" s="1004">
        <f>($E98*$D$98)+($E99*$D$99)+($E100*$D$100)+($E101*$D$101)+($E102*$D$102)+($E103*$D$103)</f>
        <v>9.16</v>
      </c>
      <c r="F104" s="1004">
        <f>($E98*$D$98)+($E99*$D$99)+($E100*$D$100)+($E101*$D$101)+($E102*$D$102)+($E103*$D$103)</f>
        <v>9.16</v>
      </c>
      <c r="G104" s="1004">
        <f>($G98*$D$98)+($G99*$D$99)+($G100*$D$100)+($G101*$D$101)+($G102*$D$102)+($G103*$D$103)</f>
        <v>6.06</v>
      </c>
      <c r="H104" s="1004">
        <f>($H98*$D$98)+($H99*$D$99)+($H100*$D$100)+($H101*$D$101)+($H102*$D$102)+($H103*$D$103)</f>
        <v>219.56</v>
      </c>
      <c r="I104" s="1004">
        <f>($I98*$D$98)+($I99*$D$99)+($I100*$D$100)+($I101*$D$101)+($I102*$D$102)+($I103*$D$103)</f>
        <v>0</v>
      </c>
      <c r="Q104" s="146"/>
    </row>
    <row r="105" spans="2:17" x14ac:dyDescent="0.25">
      <c r="B105" s="147"/>
      <c r="C105" s="220"/>
      <c r="D105" t="s">
        <v>2293</v>
      </c>
      <c r="Q105" s="146"/>
    </row>
    <row r="106" spans="2:17" x14ac:dyDescent="0.25">
      <c r="B106" s="147"/>
      <c r="C106" s="220" t="s">
        <v>2193</v>
      </c>
      <c r="Q106" s="146"/>
    </row>
    <row r="107" spans="2:17" x14ac:dyDescent="0.25">
      <c r="B107" s="147"/>
      <c r="C107" s="220" t="s">
        <v>2291</v>
      </c>
      <c r="E107" s="671"/>
      <c r="F107" s="140"/>
      <c r="Q107" s="146"/>
    </row>
    <row r="108" spans="2:17" x14ac:dyDescent="0.25">
      <c r="B108" s="148"/>
      <c r="C108" s="149"/>
      <c r="D108" s="149"/>
      <c r="E108" s="149"/>
      <c r="F108" s="149"/>
      <c r="G108" s="149"/>
      <c r="H108" s="149"/>
      <c r="I108" s="149"/>
      <c r="J108" s="149"/>
      <c r="K108" s="149"/>
      <c r="L108" s="149"/>
      <c r="M108" s="149"/>
      <c r="N108" s="149"/>
      <c r="O108" s="149"/>
      <c r="P108" s="149"/>
      <c r="Q108" s="150"/>
    </row>
    <row r="109" spans="2:17" x14ac:dyDescent="0.25">
      <c r="J109" s="149"/>
    </row>
    <row r="110" spans="2:17" x14ac:dyDescent="0.25">
      <c r="B110" s="357" t="s">
        <v>634</v>
      </c>
      <c r="C110" s="762"/>
      <c r="D110" s="762"/>
      <c r="E110" s="762"/>
      <c r="F110" s="762"/>
      <c r="G110" s="762"/>
      <c r="H110" s="762"/>
      <c r="I110" s="762"/>
      <c r="J110" s="762"/>
      <c r="K110" s="762"/>
      <c r="L110" s="762"/>
      <c r="M110" s="762"/>
      <c r="N110" s="762"/>
      <c r="O110" s="762"/>
      <c r="P110" s="762"/>
      <c r="Q110" s="763"/>
    </row>
    <row r="111" spans="2:17" x14ac:dyDescent="0.25">
      <c r="B111" s="208"/>
      <c r="C111" s="202"/>
      <c r="D111" s="202"/>
      <c r="E111" s="202"/>
      <c r="F111" s="202"/>
      <c r="G111" s="202"/>
      <c r="H111" s="202"/>
      <c r="I111" s="202"/>
      <c r="J111" s="202"/>
      <c r="K111" s="202"/>
      <c r="L111" s="202"/>
      <c r="M111" s="202"/>
      <c r="N111" s="202"/>
      <c r="O111" s="202"/>
      <c r="P111" s="202"/>
      <c r="Q111" s="209"/>
    </row>
    <row r="112" spans="2:17" x14ac:dyDescent="0.25">
      <c r="B112" s="208"/>
      <c r="C112" s="543" t="s">
        <v>635</v>
      </c>
      <c r="D112" s="202"/>
      <c r="E112" s="202"/>
      <c r="F112" s="202"/>
      <c r="G112" s="202"/>
      <c r="H112" s="202"/>
      <c r="I112" s="202"/>
      <c r="J112" s="202"/>
      <c r="K112" s="202"/>
      <c r="L112" s="202"/>
      <c r="M112" s="202"/>
      <c r="N112" s="202"/>
      <c r="O112" s="202"/>
      <c r="P112" s="202"/>
      <c r="Q112" s="209"/>
    </row>
    <row r="113" spans="2:17" x14ac:dyDescent="0.25">
      <c r="B113" s="208"/>
      <c r="C113" s="540" t="s">
        <v>636</v>
      </c>
      <c r="D113" s="202"/>
      <c r="E113" s="202"/>
      <c r="F113" s="202"/>
      <c r="G113" s="202"/>
      <c r="H113" s="202"/>
      <c r="I113" s="202"/>
      <c r="J113" s="202"/>
      <c r="K113" s="202"/>
      <c r="L113" s="202"/>
      <c r="M113" s="202"/>
      <c r="N113" s="202"/>
      <c r="O113" s="202"/>
      <c r="P113" s="202"/>
      <c r="Q113" s="209"/>
    </row>
    <row r="114" spans="2:17" x14ac:dyDescent="0.25">
      <c r="B114" s="208"/>
      <c r="C114" s="540" t="s">
        <v>637</v>
      </c>
      <c r="D114" s="202"/>
      <c r="E114" s="202"/>
      <c r="F114" s="202"/>
      <c r="G114" s="202"/>
      <c r="H114" s="202"/>
      <c r="I114" s="202"/>
      <c r="J114" s="202"/>
      <c r="K114" s="202"/>
      <c r="L114" s="202"/>
      <c r="M114" s="202"/>
      <c r="N114" s="202"/>
      <c r="O114" s="202"/>
      <c r="P114" s="202"/>
      <c r="Q114" s="209"/>
    </row>
    <row r="115" spans="2:17" x14ac:dyDescent="0.25">
      <c r="B115" s="208"/>
      <c r="C115" s="406" t="s">
        <v>638</v>
      </c>
      <c r="D115" s="202"/>
      <c r="E115" s="202"/>
      <c r="F115" s="202"/>
      <c r="G115" s="202"/>
      <c r="H115" s="202"/>
      <c r="I115" s="202"/>
      <c r="J115" s="202"/>
      <c r="K115" s="202"/>
      <c r="L115" s="202"/>
      <c r="M115" s="202"/>
      <c r="N115" s="202"/>
      <c r="O115" s="202"/>
      <c r="P115" s="202"/>
      <c r="Q115" s="209"/>
    </row>
    <row r="116" spans="2:17" x14ac:dyDescent="0.25">
      <c r="B116" s="208"/>
      <c r="C116" s="406" t="s">
        <v>2133</v>
      </c>
      <c r="D116" s="202"/>
      <c r="E116" s="202"/>
      <c r="F116" s="202"/>
      <c r="G116" s="202"/>
      <c r="H116" s="202"/>
      <c r="I116" s="202"/>
      <c r="J116" s="202"/>
      <c r="K116" s="202"/>
      <c r="L116" s="202"/>
      <c r="M116" s="202"/>
      <c r="N116" s="202"/>
      <c r="O116" s="202"/>
      <c r="P116" s="202"/>
      <c r="Q116" s="209"/>
    </row>
    <row r="117" spans="2:17" x14ac:dyDescent="0.25">
      <c r="B117" s="208"/>
      <c r="C117" s="811" t="s">
        <v>2135</v>
      </c>
      <c r="D117" s="202"/>
      <c r="E117" s="202"/>
      <c r="F117" s="202"/>
      <c r="G117" s="202"/>
      <c r="H117" s="202"/>
      <c r="I117" s="202"/>
      <c r="J117" s="202"/>
      <c r="K117" s="202"/>
      <c r="L117" s="202"/>
      <c r="M117" s="202"/>
      <c r="N117" s="202"/>
      <c r="O117" s="202"/>
      <c r="P117" s="202"/>
      <c r="Q117" s="209"/>
    </row>
    <row r="118" spans="2:17" x14ac:dyDescent="0.25">
      <c r="B118" s="208"/>
      <c r="C118" s="406" t="s">
        <v>2134</v>
      </c>
      <c r="D118" s="202"/>
      <c r="E118" s="202"/>
      <c r="F118" s="202"/>
      <c r="G118" s="202"/>
      <c r="H118" s="202"/>
      <c r="I118" s="202"/>
      <c r="J118" s="202"/>
      <c r="K118" s="202"/>
      <c r="L118" s="202"/>
      <c r="M118" s="202"/>
      <c r="N118" s="202"/>
      <c r="O118" s="202"/>
      <c r="P118" s="202"/>
      <c r="Q118" s="209"/>
    </row>
    <row r="119" spans="2:17" x14ac:dyDescent="0.25">
      <c r="B119" s="208"/>
      <c r="C119" s="406" t="s">
        <v>2137</v>
      </c>
      <c r="D119" s="202"/>
      <c r="E119" s="202"/>
      <c r="F119" s="202"/>
      <c r="G119" s="202"/>
      <c r="H119" s="202"/>
      <c r="I119" s="202"/>
      <c r="J119" s="202"/>
      <c r="K119" s="202"/>
      <c r="L119" s="202"/>
      <c r="M119" s="202"/>
      <c r="N119" s="202"/>
      <c r="O119" s="202"/>
      <c r="P119" s="202"/>
      <c r="Q119" s="209"/>
    </row>
    <row r="120" spans="2:17" x14ac:dyDescent="0.25">
      <c r="B120" s="208"/>
      <c r="C120" s="406"/>
      <c r="D120" s="202"/>
      <c r="E120" s="202"/>
      <c r="F120" s="202"/>
      <c r="G120" s="202"/>
      <c r="H120" s="202"/>
      <c r="I120" s="202"/>
      <c r="J120" s="202"/>
      <c r="K120" s="202"/>
      <c r="L120" s="202"/>
      <c r="M120" s="202"/>
      <c r="N120" s="202"/>
      <c r="O120" s="202"/>
      <c r="P120" s="202"/>
      <c r="Q120" s="209"/>
    </row>
    <row r="121" spans="2:17" x14ac:dyDescent="0.25">
      <c r="B121" s="208"/>
      <c r="C121" s="542" t="s">
        <v>639</v>
      </c>
      <c r="D121" s="202"/>
      <c r="E121" s="202"/>
      <c r="F121" s="202"/>
      <c r="G121" s="202"/>
      <c r="H121" s="202"/>
      <c r="I121" s="202"/>
      <c r="J121" s="202"/>
      <c r="K121" s="202"/>
      <c r="L121" s="202"/>
      <c r="M121" s="202"/>
      <c r="N121" s="202"/>
      <c r="O121" s="202"/>
      <c r="P121" s="202"/>
      <c r="Q121" s="209"/>
    </row>
    <row r="122" spans="2:17" x14ac:dyDescent="0.25">
      <c r="B122" s="208"/>
      <c r="C122" s="540" t="s">
        <v>640</v>
      </c>
      <c r="D122" s="202"/>
      <c r="E122" s="202"/>
      <c r="F122" s="202"/>
      <c r="G122" s="202"/>
      <c r="H122" s="202"/>
      <c r="I122" s="202"/>
      <c r="J122" s="202"/>
      <c r="K122" s="202"/>
      <c r="L122" s="202"/>
      <c r="M122" s="202"/>
      <c r="N122" s="202"/>
      <c r="O122" s="202"/>
      <c r="P122" s="202"/>
      <c r="Q122" s="209"/>
    </row>
    <row r="123" spans="2:17" x14ac:dyDescent="0.25">
      <c r="B123" s="208"/>
      <c r="C123" s="406" t="s">
        <v>2138</v>
      </c>
      <c r="D123" s="202"/>
      <c r="E123" s="202"/>
      <c r="F123" s="202"/>
      <c r="G123" s="202"/>
      <c r="H123" s="202"/>
      <c r="I123" s="202"/>
      <c r="J123" s="202"/>
      <c r="K123" s="202"/>
      <c r="L123" s="202"/>
      <c r="M123" s="202"/>
      <c r="N123" s="202"/>
      <c r="O123" s="202"/>
      <c r="P123" s="202"/>
      <c r="Q123" s="209"/>
    </row>
    <row r="124" spans="2:17" x14ac:dyDescent="0.25">
      <c r="B124" s="208"/>
      <c r="C124" s="406" t="s">
        <v>2139</v>
      </c>
      <c r="D124" s="202"/>
      <c r="E124" s="202"/>
      <c r="F124" s="202"/>
      <c r="G124" s="202"/>
      <c r="H124" s="202"/>
      <c r="I124" s="202"/>
      <c r="J124" s="202"/>
      <c r="K124" s="202"/>
      <c r="L124" s="202"/>
      <c r="M124" s="202"/>
      <c r="N124" s="202"/>
      <c r="O124" s="202"/>
      <c r="P124" s="202"/>
      <c r="Q124" s="209"/>
    </row>
    <row r="125" spans="2:17" x14ac:dyDescent="0.25">
      <c r="B125" s="206"/>
      <c r="C125" s="210"/>
      <c r="D125" s="205"/>
      <c r="E125" s="205"/>
      <c r="F125" s="205"/>
      <c r="G125" s="205"/>
      <c r="H125" s="205"/>
      <c r="I125" s="205"/>
      <c r="J125" s="205"/>
      <c r="K125" s="205"/>
      <c r="L125" s="205"/>
      <c r="M125" s="205"/>
      <c r="N125" s="205"/>
      <c r="O125" s="205"/>
      <c r="P125" s="205"/>
      <c r="Q125" s="207"/>
    </row>
  </sheetData>
  <sheetProtection algorithmName="SHA-512" hashValue="YK/RorBg8lBaj9t6+rPbFsSrY17y8x5hdgnpeD/drI9wu1YLq/BsT2ntPkrkjmYAltrrM0yhKL3/HK1tdoDO6w==" saltValue="b4PgBUzF6zm2NNqV1YDCFw==" spinCount="100000" sheet="1" objects="1" scenarios="1"/>
  <protectedRanges>
    <protectedRange sqref="D11:D12 D18:D19 D92 G34:J34 D60:F60 E34:F36 D35:D36 K79:M89 K39:P43 K47:P50 K54:P54 G76:I76 E33:J33 D63:F76 G63:H75" name="Range1"/>
    <protectedRange sqref="D27:J32" name="Range1_1"/>
    <protectedRange sqref="D39:I43 D47:I51 D54:G54" name="Range1_2"/>
    <protectedRange sqref="D91" name="Range1_3"/>
  </protectedRanges>
  <mergeCells count="1">
    <mergeCell ref="I77:L77"/>
  </mergeCells>
  <phoneticPr fontId="43" type="noConversion"/>
  <conditionalFormatting sqref="E12 E14 F15:F17">
    <cfRule type="cellIs" dxfId="0" priority="2" operator="equal">
      <formula>0</formula>
    </cfRule>
  </conditionalFormatting>
  <dataValidations disablePrompts="1" count="1">
    <dataValidation type="list" allowBlank="1" showInputMessage="1" showErrorMessage="1" sqref="D11" xr:uid="{A1309421-97D1-407A-BD55-015169719BCD}">
      <formula1>ORGTYPE</formula1>
    </dataValidation>
  </dataValidations>
  <hyperlinks>
    <hyperlink ref="E92" r:id="rId1" display="Source: https://pmc.ncbi.nlm.nih.gov/articles/PMC2812484/" xr:uid="{7AAAE1FD-3721-4715-86B1-492170D088BF}"/>
    <hyperlink ref="E93" r:id="rId2" display="Source: https://pmc.ncbi.nlm.nih.gov/articles/PMC2812484/" xr:uid="{60E081D6-1AD0-4CFA-9AD2-00C5AC10995B}"/>
    <hyperlink ref="C113" r:id="rId3" xr:uid="{9E6038DB-C4EC-431A-B5C3-A48009ECA9D3}"/>
    <hyperlink ref="C114" r:id="rId4" xr:uid="{F90404C9-B340-4E9B-AA51-58D791264704}"/>
    <hyperlink ref="C122" r:id="rId5" xr:uid="{FC9107BA-DC63-4474-BE80-C70D0B07C108}"/>
    <hyperlink ref="C117" r:id="rId6" xr:uid="{D457B1CB-8B19-4A1D-996E-899FA025186B}"/>
    <hyperlink ref="K27" r:id="rId7" display="Cancer registrations, Table 3 2022, C67. Published Oct'24" xr:uid="{3BA4BD83-734A-4CE5-9DBC-05921A2D34E1}"/>
    <hyperlink ref="K29" r:id="rId8" xr:uid="{41CD83A8-B498-47F3-A8F0-31476CADD92D}"/>
    <hyperlink ref="K28" r:id="rId9" xr:uid="{7809A73A-920F-4E1F-AE52-290B68429949}"/>
    <hyperlink ref="E91" r:id="rId10" display="Source; Health Survey for England, 2021." xr:uid="{00072954-2D64-484F-B7C0-E5E73ADEF37A}"/>
  </hyperlinks>
  <pageMargins left="0.7" right="0.7" top="0.75" bottom="0.75" header="0.3" footer="0.3"/>
  <pageSetup paperSize="9" scale="34" fitToHeight="0" orientation="portrait"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Q51"/>
  <sheetViews>
    <sheetView showGridLines="0" zoomScale="80" zoomScaleNormal="80" workbookViewId="0">
      <selection activeCell="C12" sqref="C12"/>
    </sheetView>
  </sheetViews>
  <sheetFormatPr defaultRowHeight="15" x14ac:dyDescent="0.25"/>
  <cols>
    <col min="1" max="1" width="2.42578125" customWidth="1"/>
    <col min="2" max="2" width="5.85546875" customWidth="1"/>
    <col min="3" max="3" width="41.140625" customWidth="1"/>
    <col min="4" max="4" width="45.42578125" customWidth="1"/>
    <col min="5" max="5" width="22.5703125" customWidth="1"/>
    <col min="6" max="6" width="12.140625" customWidth="1"/>
    <col min="7" max="9" width="16.42578125" customWidth="1"/>
    <col min="10" max="10" width="17.5703125" customWidth="1"/>
    <col min="11" max="13" width="16.42578125" customWidth="1"/>
    <col min="14" max="14" width="2.5703125" customWidth="1"/>
    <col min="15" max="15" width="18.5703125" customWidth="1"/>
    <col min="16" max="16" width="13.42578125" customWidth="1"/>
    <col min="17" max="17" width="12.140625" customWidth="1"/>
  </cols>
  <sheetData>
    <row r="1" spans="2:17" ht="30" customHeight="1" x14ac:dyDescent="0.25">
      <c r="B1" s="448" t="str">
        <f>'Inputs and population'!B1</f>
        <v>Enfortumab vedotin with pembrolizumab for untreated unresectable or metastatic urothelial cancer when platinum-based chemotherapy is suitable</v>
      </c>
    </row>
    <row r="2" spans="2:17" ht="30" customHeight="1" x14ac:dyDescent="0.25">
      <c r="B2" s="143" t="s">
        <v>554</v>
      </c>
      <c r="C2" s="143"/>
      <c r="D2" s="142"/>
      <c r="E2" s="157"/>
      <c r="F2" s="157"/>
      <c r="G2" s="157"/>
      <c r="H2" s="157"/>
      <c r="I2" s="142"/>
      <c r="J2" s="142"/>
      <c r="K2" s="142"/>
      <c r="L2" s="142"/>
      <c r="M2" s="142"/>
      <c r="N2" s="142"/>
      <c r="O2" s="142"/>
      <c r="P2" s="142"/>
      <c r="Q2" s="142"/>
    </row>
    <row r="4" spans="2:17" ht="18.75" x14ac:dyDescent="0.3">
      <c r="B4" s="672" t="s">
        <v>641</v>
      </c>
      <c r="C4" s="726"/>
      <c r="D4" s="726"/>
      <c r="E4" s="726"/>
      <c r="F4" s="726"/>
      <c r="G4" s="726"/>
      <c r="H4" s="726"/>
      <c r="I4" s="726"/>
      <c r="J4" s="726"/>
      <c r="K4" s="726"/>
      <c r="L4" s="726"/>
      <c r="M4" s="726"/>
      <c r="N4" s="726"/>
      <c r="O4" s="726"/>
      <c r="P4" s="726"/>
      <c r="Q4" s="692"/>
    </row>
    <row r="5" spans="2:17" x14ac:dyDescent="0.25">
      <c r="B5" s="147" t="s">
        <v>642</v>
      </c>
      <c r="Q5" s="146"/>
    </row>
    <row r="6" spans="2:17" x14ac:dyDescent="0.25">
      <c r="B6" s="147" t="s">
        <v>643</v>
      </c>
      <c r="Q6" s="146"/>
    </row>
    <row r="7" spans="2:17" x14ac:dyDescent="0.25">
      <c r="B7" s="145" t="s">
        <v>644</v>
      </c>
      <c r="Q7" s="146"/>
    </row>
    <row r="8" spans="2:17" x14ac:dyDescent="0.25">
      <c r="B8" s="673"/>
      <c r="C8" s="149"/>
      <c r="D8" s="149"/>
      <c r="E8" s="149"/>
      <c r="F8" s="149"/>
      <c r="G8" s="149"/>
      <c r="H8" s="149"/>
      <c r="I8" s="149"/>
      <c r="J8" s="149"/>
      <c r="K8" s="149"/>
      <c r="L8" s="149"/>
      <c r="M8" s="149"/>
      <c r="N8" s="149"/>
      <c r="O8" s="149"/>
      <c r="P8" s="149"/>
      <c r="Q8" s="150"/>
    </row>
    <row r="9" spans="2:17" x14ac:dyDescent="0.25">
      <c r="B9" s="136"/>
      <c r="D9" s="177"/>
    </row>
    <row r="10" spans="2:17" x14ac:dyDescent="0.25">
      <c r="B10" s="144" t="s">
        <v>645</v>
      </c>
      <c r="C10" s="726"/>
      <c r="E10" s="726"/>
      <c r="F10" s="726"/>
      <c r="G10" s="726"/>
      <c r="H10" s="726"/>
      <c r="I10" s="726"/>
      <c r="J10" s="726"/>
      <c r="K10" s="726"/>
      <c r="L10" s="726"/>
      <c r="M10" s="726"/>
      <c r="N10" s="726"/>
      <c r="O10" s="726"/>
      <c r="P10" s="726"/>
      <c r="Q10" s="692"/>
    </row>
    <row r="11" spans="2:17" x14ac:dyDescent="0.25">
      <c r="B11" s="147"/>
      <c r="C11" s="316"/>
      <c r="D11" s="191"/>
      <c r="E11" s="191"/>
      <c r="F11" s="191"/>
      <c r="G11" s="1042" t="s">
        <v>2168</v>
      </c>
      <c r="H11" s="1042"/>
      <c r="I11" s="1042"/>
      <c r="J11" s="1042"/>
      <c r="K11" s="1042"/>
      <c r="L11" s="1042"/>
      <c r="M11" s="938"/>
      <c r="Q11" s="146"/>
    </row>
    <row r="12" spans="2:17" ht="97.9" customHeight="1" x14ac:dyDescent="0.25">
      <c r="B12" s="147"/>
      <c r="C12" s="361" t="s">
        <v>646</v>
      </c>
      <c r="D12" s="361" t="s">
        <v>647</v>
      </c>
      <c r="E12" s="674" t="s">
        <v>648</v>
      </c>
      <c r="F12" s="222" t="s">
        <v>2301</v>
      </c>
      <c r="G12" s="222" t="s">
        <v>2185</v>
      </c>
      <c r="H12" s="222" t="s">
        <v>2201</v>
      </c>
      <c r="I12" s="222" t="s">
        <v>2202</v>
      </c>
      <c r="J12" s="222" t="s">
        <v>2260</v>
      </c>
      <c r="K12" s="222" t="s">
        <v>2192</v>
      </c>
      <c r="L12" s="222" t="s">
        <v>2191</v>
      </c>
      <c r="M12" s="939"/>
      <c r="O12" s="361" t="s">
        <v>649</v>
      </c>
      <c r="P12" s="361" t="s">
        <v>650</v>
      </c>
      <c r="Q12" s="146"/>
    </row>
    <row r="13" spans="2:17" x14ac:dyDescent="0.25">
      <c r="B13" s="147"/>
      <c r="C13" s="676" t="s">
        <v>651</v>
      </c>
      <c r="D13" s="677" t="s">
        <v>652</v>
      </c>
      <c r="E13" s="723" t="s">
        <v>2169</v>
      </c>
      <c r="F13" s="758"/>
      <c r="G13" s="509"/>
      <c r="H13" s="509"/>
      <c r="I13" s="509"/>
      <c r="J13" s="509"/>
      <c r="K13" s="509"/>
      <c r="L13" s="509"/>
      <c r="M13" s="870"/>
      <c r="O13" s="681" t="s">
        <v>653</v>
      </c>
      <c r="P13" s="759">
        <f>VLOOKUP(O13,payscales!B:N,10,0)</f>
        <v>127.43</v>
      </c>
      <c r="Q13" s="146"/>
    </row>
    <row r="14" spans="2:17" x14ac:dyDescent="0.25">
      <c r="B14" s="147"/>
      <c r="C14" s="676" t="s">
        <v>651</v>
      </c>
      <c r="D14" s="677" t="s">
        <v>654</v>
      </c>
      <c r="E14" s="723" t="s">
        <v>2169</v>
      </c>
      <c r="F14" s="758"/>
      <c r="G14" s="509"/>
      <c r="H14" s="509"/>
      <c r="I14" s="509"/>
      <c r="J14" s="509"/>
      <c r="K14" s="509"/>
      <c r="L14" s="509"/>
      <c r="M14" s="870"/>
      <c r="O14" s="681" t="s">
        <v>653</v>
      </c>
      <c r="P14" s="759">
        <f>VLOOKUP(O14,payscales!B:N,10,0)</f>
        <v>127.43</v>
      </c>
      <c r="Q14" s="146"/>
    </row>
    <row r="15" spans="2:17" x14ac:dyDescent="0.25">
      <c r="B15" s="147"/>
      <c r="C15" s="678" t="s">
        <v>655</v>
      </c>
      <c r="D15" s="677" t="s">
        <v>656</v>
      </c>
      <c r="E15" s="723" t="s">
        <v>2169</v>
      </c>
      <c r="F15" s="758">
        <v>30</v>
      </c>
      <c r="G15" s="509"/>
      <c r="H15" s="509"/>
      <c r="I15" s="509"/>
      <c r="J15" s="509"/>
      <c r="K15" s="509"/>
      <c r="L15" s="509"/>
      <c r="M15" s="991"/>
      <c r="O15" s="681" t="s">
        <v>657</v>
      </c>
      <c r="P15" s="759">
        <f>VLOOKUP(O15,payscales!B:N,10,0)</f>
        <v>44.4</v>
      </c>
      <c r="Q15" s="146"/>
    </row>
    <row r="16" spans="2:17" ht="30" x14ac:dyDescent="0.25">
      <c r="B16" s="147"/>
      <c r="C16" s="678" t="s">
        <v>655</v>
      </c>
      <c r="D16" s="677" t="s">
        <v>658</v>
      </c>
      <c r="E16" s="723" t="s">
        <v>2169</v>
      </c>
      <c r="F16" s="758">
        <v>30</v>
      </c>
      <c r="G16" s="509"/>
      <c r="H16" s="509"/>
      <c r="I16" s="509"/>
      <c r="J16" s="509"/>
      <c r="K16" s="509"/>
      <c r="L16" s="509"/>
      <c r="M16" s="991"/>
      <c r="O16" s="681" t="s">
        <v>657</v>
      </c>
      <c r="P16" s="759">
        <f>VLOOKUP(O16,payscales!B:N,10,0)</f>
        <v>44.4</v>
      </c>
      <c r="Q16" s="146"/>
    </row>
    <row r="17" spans="2:17" x14ac:dyDescent="0.25">
      <c r="B17" s="147"/>
      <c r="C17" s="678" t="s">
        <v>655</v>
      </c>
      <c r="D17" s="677" t="s">
        <v>659</v>
      </c>
      <c r="E17" s="723" t="s">
        <v>2169</v>
      </c>
      <c r="F17" s="758">
        <v>30</v>
      </c>
      <c r="G17" s="509"/>
      <c r="H17" s="509"/>
      <c r="I17" s="509"/>
      <c r="J17" s="509"/>
      <c r="K17" s="509"/>
      <c r="L17" s="509"/>
      <c r="M17" s="991"/>
      <c r="O17" s="681" t="s">
        <v>657</v>
      </c>
      <c r="P17" s="759">
        <f>VLOOKUP(O17,payscales!B:N,10,0)</f>
        <v>44.4</v>
      </c>
      <c r="Q17" s="146"/>
    </row>
    <row r="18" spans="2:17" x14ac:dyDescent="0.25">
      <c r="B18" s="147"/>
      <c r="C18" s="679" t="s">
        <v>660</v>
      </c>
      <c r="D18" s="677" t="s">
        <v>661</v>
      </c>
      <c r="E18" s="723" t="s">
        <v>662</v>
      </c>
      <c r="F18" s="758"/>
      <c r="G18" s="509"/>
      <c r="H18" s="509"/>
      <c r="I18" s="509"/>
      <c r="J18" s="509"/>
      <c r="K18" s="509"/>
      <c r="L18" s="509"/>
      <c r="M18" s="870"/>
      <c r="O18" s="681" t="s">
        <v>663</v>
      </c>
      <c r="P18" s="759">
        <f>VLOOKUP(O18,payscales!B:N,10,0)</f>
        <v>49.24</v>
      </c>
      <c r="Q18" s="146"/>
    </row>
    <row r="19" spans="2:17" hidden="1" x14ac:dyDescent="0.25">
      <c r="B19" s="147"/>
      <c r="C19" s="680" t="s">
        <v>664</v>
      </c>
      <c r="D19" s="677" t="s">
        <v>665</v>
      </c>
      <c r="E19" s="723" t="s">
        <v>666</v>
      </c>
      <c r="F19" s="758"/>
      <c r="G19" s="509"/>
      <c r="H19" s="509"/>
      <c r="I19" s="509"/>
      <c r="J19" s="509"/>
      <c r="K19" s="870"/>
      <c r="L19" s="870"/>
      <c r="M19" s="870"/>
      <c r="O19" s="681" t="s">
        <v>653</v>
      </c>
      <c r="P19" s="759">
        <f>VLOOKUP(O19,payscales!B:N,10,0)</f>
        <v>127.43</v>
      </c>
      <c r="Q19" s="146"/>
    </row>
    <row r="20" spans="2:17" x14ac:dyDescent="0.25">
      <c r="B20" s="147"/>
      <c r="C20" s="316"/>
      <c r="D20" s="191"/>
      <c r="E20" s="191"/>
      <c r="F20" s="191"/>
      <c r="G20" s="191"/>
      <c r="O20" s="724" t="s">
        <v>2157</v>
      </c>
      <c r="Q20" s="146"/>
    </row>
    <row r="21" spans="2:17" x14ac:dyDescent="0.25">
      <c r="B21" s="147"/>
      <c r="C21" s="178" t="s">
        <v>670</v>
      </c>
      <c r="D21" s="140"/>
      <c r="Q21" s="146"/>
    </row>
    <row r="22" spans="2:17" x14ac:dyDescent="0.25">
      <c r="B22" s="147"/>
      <c r="C22" t="s">
        <v>2284</v>
      </c>
      <c r="D22" s="140"/>
      <c r="Q22" s="146"/>
    </row>
    <row r="23" spans="2:17" x14ac:dyDescent="0.25">
      <c r="B23" s="147"/>
      <c r="C23" s="171" t="s">
        <v>671</v>
      </c>
      <c r="D23" s="140"/>
      <c r="Q23" s="146"/>
    </row>
    <row r="24" spans="2:17" x14ac:dyDescent="0.25">
      <c r="B24" s="147"/>
      <c r="C24" s="171" t="s">
        <v>2276</v>
      </c>
      <c r="D24" s="140"/>
      <c r="Q24" s="146"/>
    </row>
    <row r="25" spans="2:17" x14ac:dyDescent="0.25">
      <c r="B25" s="147"/>
      <c r="C25" s="191"/>
      <c r="D25" s="140"/>
      <c r="Q25" s="146"/>
    </row>
    <row r="26" spans="2:17" x14ac:dyDescent="0.25">
      <c r="B26" s="148"/>
      <c r="C26" s="149"/>
      <c r="D26" s="151"/>
      <c r="E26" s="151"/>
      <c r="F26" s="151"/>
      <c r="G26" s="151"/>
      <c r="H26" s="151"/>
      <c r="I26" s="151"/>
      <c r="J26" s="151"/>
      <c r="K26" s="151"/>
      <c r="L26" s="151"/>
      <c r="M26" s="151"/>
      <c r="N26" s="149"/>
      <c r="O26" s="149"/>
      <c r="P26" s="149"/>
      <c r="Q26" s="150"/>
    </row>
    <row r="27" spans="2:17" x14ac:dyDescent="0.25">
      <c r="D27" s="140"/>
      <c r="E27" s="140"/>
      <c r="F27" s="140"/>
      <c r="G27" s="140"/>
      <c r="H27" s="140"/>
      <c r="I27" s="140"/>
      <c r="J27" s="140"/>
      <c r="K27" s="140"/>
      <c r="L27" s="140"/>
      <c r="M27" s="140"/>
    </row>
    <row r="51" spans="2:17" x14ac:dyDescent="0.25">
      <c r="B51" s="726"/>
      <c r="C51" s="726"/>
      <c r="D51" s="726"/>
      <c r="E51" s="726"/>
      <c r="F51" s="726"/>
      <c r="G51" s="726"/>
      <c r="H51" s="726"/>
      <c r="I51" s="726"/>
      <c r="J51" s="726"/>
      <c r="K51" s="726"/>
      <c r="L51" s="726"/>
      <c r="M51" s="726"/>
      <c r="N51" s="726"/>
      <c r="O51" s="726"/>
      <c r="P51" s="726"/>
      <c r="Q51" s="726"/>
    </row>
  </sheetData>
  <sheetProtection algorithmName="SHA-512" hashValue="wF/NvkQHMl17mzLa+dJwlj2vfgJdfbQRnO8WXAjgR3H4C44zRDCKlDe3sD0M/4c8JF1Y0aoBS6gOO5tUpdw7aw==" saltValue="CEpZmbuWwHSKI1Fq6OLtsw==" spinCount="100000" sheet="1" objects="1" scenarios="1"/>
  <protectedRanges>
    <protectedRange sqref="I20:M20 F13:M19" name="Range1"/>
  </protectedRanges>
  <mergeCells count="1">
    <mergeCell ref="G11:L11"/>
  </mergeCells>
  <pageMargins left="0.7" right="0.7" top="0.75" bottom="0.75" header="0.3" footer="0.3"/>
  <pageSetup paperSize="9" scale="38" fitToHeight="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85C9BAD-2C9A-4FAF-9D7D-01DB37D19CFC}">
          <x14:formula1>
            <xm:f>payscales!$B$13:$B$48</xm:f>
          </x14:formula1>
          <xm:sqref>O13:O19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59"/>
  <sheetViews>
    <sheetView showGridLines="0" zoomScale="80" zoomScaleNormal="80" workbookViewId="0">
      <selection activeCell="C58" sqref="C58"/>
    </sheetView>
  </sheetViews>
  <sheetFormatPr defaultRowHeight="15" x14ac:dyDescent="0.25"/>
  <cols>
    <col min="1" max="1" width="3.42578125" customWidth="1"/>
    <col min="2" max="2" width="33" customWidth="1"/>
    <col min="3" max="3" width="11.7109375" customWidth="1"/>
    <col min="4" max="4" width="12.28515625" customWidth="1"/>
    <col min="5" max="5" width="13.7109375" customWidth="1"/>
    <col min="6" max="6" width="14" customWidth="1"/>
    <col min="7" max="7" width="13.28515625" customWidth="1"/>
    <col min="8" max="8" width="15.28515625" customWidth="1"/>
    <col min="9" max="9" width="12.7109375" customWidth="1"/>
    <col min="10" max="14" width="10.5703125" customWidth="1"/>
    <col min="15" max="15" width="2.42578125" customWidth="1"/>
  </cols>
  <sheetData>
    <row r="1" spans="2:15" ht="30" customHeight="1" x14ac:dyDescent="0.25">
      <c r="B1" s="448" t="str">
        <f>'Inputs and population'!B1</f>
        <v>Enfortumab vedotin with pembrolizumab for untreated unresectable or metastatic urothelial cancer when platinum-based chemotherapy is suitable</v>
      </c>
    </row>
    <row r="2" spans="2:15" ht="30" customHeight="1" x14ac:dyDescent="0.25">
      <c r="B2" s="143" t="s">
        <v>672</v>
      </c>
      <c r="C2" s="142"/>
      <c r="D2" s="157"/>
      <c r="E2" s="157"/>
      <c r="F2" s="157"/>
      <c r="G2" s="157"/>
      <c r="H2" s="142"/>
      <c r="I2" s="142"/>
      <c r="J2" s="142"/>
      <c r="K2" s="142"/>
      <c r="L2" s="142"/>
      <c r="M2" s="142"/>
      <c r="N2" s="142"/>
      <c r="O2" s="142"/>
    </row>
    <row r="3" spans="2:15" x14ac:dyDescent="0.25">
      <c r="B3" s="761"/>
      <c r="C3" s="725"/>
      <c r="D3" s="725"/>
      <c r="E3" s="725"/>
      <c r="F3" s="725"/>
      <c r="G3" s="725"/>
      <c r="H3" s="726"/>
      <c r="I3" s="726"/>
      <c r="J3" s="726"/>
      <c r="K3" s="726"/>
      <c r="L3" s="726"/>
    </row>
    <row r="4" spans="2:15" x14ac:dyDescent="0.25">
      <c r="C4" s="1046" t="s">
        <v>673</v>
      </c>
      <c r="D4" s="1046"/>
      <c r="E4" s="1046"/>
      <c r="F4" s="873"/>
      <c r="G4" s="874"/>
      <c r="H4" s="874"/>
      <c r="I4" s="874"/>
    </row>
    <row r="5" spans="2:15" ht="64.900000000000006" customHeight="1" x14ac:dyDescent="0.25">
      <c r="B5" s="222" t="s">
        <v>674</v>
      </c>
      <c r="C5" s="222" t="s">
        <v>2304</v>
      </c>
      <c r="D5" s="222" t="s">
        <v>2237</v>
      </c>
      <c r="E5" s="222" t="s">
        <v>2238</v>
      </c>
      <c r="F5" s="222" t="s">
        <v>2191</v>
      </c>
      <c r="G5" s="222" t="s">
        <v>675</v>
      </c>
      <c r="H5" s="535" t="s">
        <v>620</v>
      </c>
      <c r="I5" s="875"/>
      <c r="J5" s="875"/>
      <c r="K5" s="776"/>
    </row>
    <row r="6" spans="2:15" ht="15" customHeight="1" x14ac:dyDescent="0.25">
      <c r="B6" s="529" t="s">
        <v>2212</v>
      </c>
      <c r="C6" s="530">
        <v>0.05</v>
      </c>
      <c r="D6" s="530">
        <v>2.3E-2</v>
      </c>
      <c r="E6" s="530">
        <v>2.3E-2</v>
      </c>
      <c r="F6" s="530">
        <v>0</v>
      </c>
      <c r="G6" s="1033">
        <v>2505.44</v>
      </c>
      <c r="H6" s="137" t="s">
        <v>2225</v>
      </c>
      <c r="I6" s="154"/>
      <c r="J6" s="177"/>
      <c r="K6" s="155"/>
    </row>
    <row r="7" spans="2:15" ht="15" customHeight="1" x14ac:dyDescent="0.25">
      <c r="B7" s="529" t="s">
        <v>2213</v>
      </c>
      <c r="C7" s="530">
        <v>7.0000000000000007E-2</v>
      </c>
      <c r="D7" s="530">
        <v>0.34200000000000003</v>
      </c>
      <c r="E7" s="530">
        <v>0.34200000000000003</v>
      </c>
      <c r="F7" s="530">
        <v>3.7999999999999999E-2</v>
      </c>
      <c r="G7" s="1033">
        <v>1119.23</v>
      </c>
      <c r="H7" s="137" t="s">
        <v>2226</v>
      </c>
      <c r="I7" s="212"/>
      <c r="J7" s="177"/>
      <c r="K7" s="155"/>
    </row>
    <row r="8" spans="2:15" ht="15" customHeight="1" x14ac:dyDescent="0.25">
      <c r="B8" s="529" t="s">
        <v>2214</v>
      </c>
      <c r="C8" s="530">
        <v>3.9E-2</v>
      </c>
      <c r="D8" s="530">
        <v>4.5999999999999999E-2</v>
      </c>
      <c r="E8" s="530">
        <v>4.5999999999999999E-2</v>
      </c>
      <c r="F8" s="530">
        <v>1.7000000000000001E-2</v>
      </c>
      <c r="G8" s="1033">
        <v>4071.73</v>
      </c>
      <c r="H8" s="137" t="s">
        <v>2227</v>
      </c>
      <c r="I8" s="212"/>
      <c r="J8" s="177"/>
      <c r="K8" s="155"/>
    </row>
    <row r="9" spans="2:15" ht="15" customHeight="1" x14ac:dyDescent="0.25">
      <c r="B9" s="529" t="s">
        <v>2215</v>
      </c>
      <c r="C9" s="530">
        <v>7.2999999999999995E-2</v>
      </c>
      <c r="D9" s="530">
        <v>7.0000000000000001E-3</v>
      </c>
      <c r="E9" s="530">
        <v>7.0000000000000001E-3</v>
      </c>
      <c r="F9" s="530">
        <v>0</v>
      </c>
      <c r="G9" s="1033">
        <v>1674.08</v>
      </c>
      <c r="H9" s="137" t="s">
        <v>2228</v>
      </c>
      <c r="I9" s="212"/>
      <c r="J9" s="177"/>
      <c r="K9" s="155"/>
    </row>
    <row r="10" spans="2:15" ht="15" customHeight="1" x14ac:dyDescent="0.25">
      <c r="B10" s="529" t="s">
        <v>2216</v>
      </c>
      <c r="C10" s="530">
        <v>0.05</v>
      </c>
      <c r="D10" s="530">
        <v>3.5000000000000003E-2</v>
      </c>
      <c r="E10" s="530">
        <v>3.5000000000000003E-2</v>
      </c>
      <c r="F10" s="530">
        <v>0</v>
      </c>
      <c r="G10" s="1033">
        <v>1674.08</v>
      </c>
      <c r="H10" s="137" t="s">
        <v>2229</v>
      </c>
      <c r="I10" s="212"/>
      <c r="J10" s="1035"/>
      <c r="K10" s="1034"/>
    </row>
    <row r="11" spans="2:15" ht="15" customHeight="1" x14ac:dyDescent="0.25">
      <c r="B11" s="529" t="s">
        <v>2217</v>
      </c>
      <c r="C11" s="530">
        <v>0.05</v>
      </c>
      <c r="D11" s="530">
        <v>0.3</v>
      </c>
      <c r="E11" s="530">
        <v>0.3</v>
      </c>
      <c r="F11" s="530">
        <v>0</v>
      </c>
      <c r="G11" s="1033">
        <v>753.88</v>
      </c>
      <c r="H11" s="137" t="s">
        <v>2230</v>
      </c>
      <c r="I11" s="212"/>
      <c r="J11" s="177"/>
      <c r="K11" s="155"/>
    </row>
    <row r="12" spans="2:15" ht="15" customHeight="1" x14ac:dyDescent="0.25">
      <c r="B12" s="529" t="s">
        <v>2218</v>
      </c>
      <c r="C12" s="530">
        <v>2.5000000000000001E-2</v>
      </c>
      <c r="D12" s="530">
        <v>9.1999999999999998E-2</v>
      </c>
      <c r="E12" s="530">
        <v>9.1999999999999998E-2</v>
      </c>
      <c r="F12" s="530">
        <v>0</v>
      </c>
      <c r="G12" s="1033">
        <v>753.88</v>
      </c>
      <c r="H12" s="137" t="s">
        <v>2231</v>
      </c>
      <c r="I12" s="212"/>
      <c r="J12" s="1035"/>
      <c r="K12" s="1034"/>
    </row>
    <row r="13" spans="2:15" ht="15" customHeight="1" x14ac:dyDescent="0.25">
      <c r="B13" s="529" t="s">
        <v>2219</v>
      </c>
      <c r="C13" s="530">
        <v>0</v>
      </c>
      <c r="D13" s="530">
        <v>6.7000000000000004E-2</v>
      </c>
      <c r="E13" s="530">
        <v>6.7000000000000004E-2</v>
      </c>
      <c r="F13" s="530">
        <v>0</v>
      </c>
      <c r="G13" s="1033">
        <v>753.88</v>
      </c>
      <c r="H13" s="137" t="s">
        <v>2231</v>
      </c>
      <c r="I13" s="212"/>
      <c r="J13" s="1035"/>
      <c r="K13" s="1034"/>
    </row>
    <row r="14" spans="2:15" ht="15" customHeight="1" x14ac:dyDescent="0.25">
      <c r="B14" s="529" t="s">
        <v>2220</v>
      </c>
      <c r="C14" s="530">
        <v>8.2000000000000003E-2</v>
      </c>
      <c r="D14" s="530">
        <v>0</v>
      </c>
      <c r="E14" s="530">
        <v>0</v>
      </c>
      <c r="F14" s="530">
        <v>3.0000000000000001E-3</v>
      </c>
      <c r="G14" s="1033">
        <v>1755.59</v>
      </c>
      <c r="H14" s="137" t="s">
        <v>2232</v>
      </c>
      <c r="I14" s="212"/>
      <c r="J14" s="177"/>
      <c r="K14" s="155"/>
    </row>
    <row r="15" spans="2:15" ht="15" customHeight="1" x14ac:dyDescent="0.25">
      <c r="B15" s="529" t="s">
        <v>2221</v>
      </c>
      <c r="C15" s="530">
        <v>8.9999999999999993E-3</v>
      </c>
      <c r="D15" s="530">
        <v>0.20100000000000001</v>
      </c>
      <c r="E15" s="530">
        <v>0.20100000000000001</v>
      </c>
      <c r="F15" s="530">
        <v>0</v>
      </c>
      <c r="G15" s="1033">
        <v>993.37</v>
      </c>
      <c r="H15" s="212" t="s">
        <v>2233</v>
      </c>
      <c r="I15" s="177"/>
      <c r="J15" s="177"/>
      <c r="K15" s="155"/>
    </row>
    <row r="16" spans="2:15" ht="15" customHeight="1" x14ac:dyDescent="0.25">
      <c r="B16" s="529" t="s">
        <v>2222</v>
      </c>
      <c r="C16" s="530">
        <v>0.05</v>
      </c>
      <c r="D16" s="530">
        <v>8.1000000000000003E-2</v>
      </c>
      <c r="E16" s="530">
        <v>8.1000000000000003E-2</v>
      </c>
      <c r="F16" s="530">
        <v>4.3999999999999997E-2</v>
      </c>
      <c r="G16" s="1033">
        <v>2219.67</v>
      </c>
      <c r="H16" s="137" t="s">
        <v>2234</v>
      </c>
      <c r="I16" s="212"/>
      <c r="J16" s="177"/>
      <c r="K16" s="155"/>
    </row>
    <row r="17" spans="2:14" ht="19.149999999999999" customHeight="1" x14ac:dyDescent="0.25">
      <c r="B17" s="529" t="s">
        <v>2223</v>
      </c>
      <c r="C17" s="530">
        <v>0.33600000000000002</v>
      </c>
      <c r="D17" s="530">
        <v>2.5000000000000001E-2</v>
      </c>
      <c r="E17" s="530">
        <v>2.5000000000000001E-2</v>
      </c>
      <c r="F17" s="530">
        <v>0</v>
      </c>
      <c r="G17" s="1033">
        <v>1345.74</v>
      </c>
      <c r="H17" s="1047" t="s">
        <v>2236</v>
      </c>
      <c r="I17" s="1047"/>
      <c r="J17" s="1047"/>
      <c r="K17" s="1047"/>
    </row>
    <row r="18" spans="2:14" ht="22.9" customHeight="1" x14ac:dyDescent="0.25">
      <c r="B18" s="529" t="s">
        <v>2224</v>
      </c>
      <c r="C18" s="530">
        <v>7.6999999999999999E-2</v>
      </c>
      <c r="D18" s="530">
        <v>0</v>
      </c>
      <c r="E18" s="530">
        <v>0</v>
      </c>
      <c r="F18" s="530">
        <v>0</v>
      </c>
      <c r="G18" s="1033">
        <v>1345.74</v>
      </c>
      <c r="H18" s="1047"/>
      <c r="I18" s="1047"/>
      <c r="J18" s="1047"/>
      <c r="K18" s="1047"/>
    </row>
    <row r="19" spans="2:14" ht="28.15" customHeight="1" x14ac:dyDescent="0.25">
      <c r="B19" s="529" t="s">
        <v>2312</v>
      </c>
      <c r="C19" s="530"/>
      <c r="D19" s="530"/>
      <c r="E19" s="530"/>
      <c r="F19" s="530"/>
      <c r="G19" s="1033"/>
      <c r="H19" s="1047" t="s">
        <v>2313</v>
      </c>
      <c r="I19" s="1047"/>
      <c r="J19" s="1047"/>
      <c r="K19" s="1047"/>
    </row>
    <row r="20" spans="2:14" x14ac:dyDescent="0.25">
      <c r="B20" s="5"/>
      <c r="C20" s="876"/>
      <c r="D20" s="876"/>
    </row>
    <row r="21" spans="2:14" x14ac:dyDescent="0.25">
      <c r="B21" s="220" t="s">
        <v>2289</v>
      </c>
      <c r="C21" s="760"/>
      <c r="D21" s="760"/>
      <c r="E21" s="760"/>
    </row>
    <row r="22" spans="2:14" x14ac:dyDescent="0.25">
      <c r="B22" s="220" t="s">
        <v>2235</v>
      </c>
      <c r="C22" s="760"/>
      <c r="D22" s="760"/>
      <c r="E22" s="760"/>
    </row>
    <row r="23" spans="2:14" x14ac:dyDescent="0.25">
      <c r="B23" s="220"/>
      <c r="C23" s="760"/>
      <c r="D23" s="760"/>
      <c r="E23" s="760"/>
    </row>
    <row r="24" spans="2:14" x14ac:dyDescent="0.25">
      <c r="C24" s="5"/>
      <c r="D24" s="5"/>
      <c r="E24" s="5"/>
    </row>
    <row r="25" spans="2:14" x14ac:dyDescent="0.25">
      <c r="C25" s="1043" t="s">
        <v>676</v>
      </c>
      <c r="D25" s="1044"/>
      <c r="E25" s="1044"/>
      <c r="F25" s="1044"/>
      <c r="G25" s="1044"/>
      <c r="H25" s="1045"/>
      <c r="J25" s="1043" t="s">
        <v>677</v>
      </c>
      <c r="K25" s="1044"/>
      <c r="L25" s="1044"/>
      <c r="M25" s="1044"/>
      <c r="N25" s="1045"/>
    </row>
    <row r="26" spans="2:14" ht="45" x14ac:dyDescent="0.25">
      <c r="C26" s="152" t="s">
        <v>678</v>
      </c>
      <c r="D26" s="152" t="s">
        <v>591</v>
      </c>
      <c r="E26" s="152" t="s">
        <v>592</v>
      </c>
      <c r="F26" s="211" t="s">
        <v>593</v>
      </c>
      <c r="G26" s="152" t="s">
        <v>594</v>
      </c>
      <c r="H26" s="152" t="s">
        <v>595</v>
      </c>
      <c r="J26" s="152" t="s">
        <v>591</v>
      </c>
      <c r="K26" s="152" t="s">
        <v>592</v>
      </c>
      <c r="L26" s="211" t="s">
        <v>593</v>
      </c>
      <c r="M26" s="152" t="s">
        <v>594</v>
      </c>
      <c r="N26" s="152" t="s">
        <v>595</v>
      </c>
    </row>
    <row r="27" spans="2:14" x14ac:dyDescent="0.25">
      <c r="B27" s="529" t="s">
        <v>2212</v>
      </c>
      <c r="C27" s="116">
        <f>($C6*'Financial impact (cash)'!D$13)+(Events!$D6*'Financial impact (cash)'!D$15)+(Events!$E6*'Financial impact (cash)'!D$16)+(Events!$F6*'Financial impact (cash)'!D$24)</f>
        <v>29.867126473957647</v>
      </c>
      <c r="D27" s="116">
        <f>($C6*'Financial impact (cash)'!E$13)+(Events!$D6*'Financial impact (cash)'!E$15)+(Events!$E6*'Financial impact (cash)'!E$16)+(Events!$F6*'Financial impact (cash)'!E$24)</f>
        <v>49.582978313608145</v>
      </c>
      <c r="E27" s="116">
        <f>($C6*'Financial impact (cash)'!F$13)+(Events!$D6*'Financial impact (cash)'!F$15)+(Events!$E6*'Financial impact (cash)'!F$16)+(Events!$F6*'Financial impact (cash)'!F$24)</f>
        <v>56.798158940904621</v>
      </c>
      <c r="F27" s="116">
        <f>($C6*'Financial impact (cash)'!G$13)+(Events!$D6*'Financial impact (cash)'!G$15)+(Events!$E6*'Financial impact (cash)'!G$16)+(Events!$F6*'Financial impact (cash)'!G$24)</f>
        <v>59.457114334685151</v>
      </c>
      <c r="G27" s="116">
        <f>($C6*'Financial impact (cash)'!H$13)+(Events!$D6*'Financial impact (cash)'!H$15)+(Events!$E6*'Financial impact (cash)'!H$16)+(Events!$F6*'Financial impact (cash)'!H$24)</f>
        <v>59.979791093442962</v>
      </c>
      <c r="H27" s="116">
        <f>($C6*'Financial impact (cash)'!I$13)+(Events!$D6*'Financial impact (cash)'!I$15)+(Events!$E6*'Financial impact (cash)'!I$16)+(Events!$F6*'Financial impact (cash)'!I$24)</f>
        <v>60.507062609231994</v>
      </c>
      <c r="J27" s="116">
        <f>D27-$C27</f>
        <v>19.715851839650497</v>
      </c>
      <c r="K27" s="116">
        <f>E27-$C27</f>
        <v>26.931032466946974</v>
      </c>
      <c r="L27" s="116">
        <f t="shared" ref="L27:N27" si="0">F27-$C27</f>
        <v>29.589987860727504</v>
      </c>
      <c r="M27" s="116">
        <f t="shared" si="0"/>
        <v>30.112664619485315</v>
      </c>
      <c r="N27" s="116">
        <f t="shared" si="0"/>
        <v>30.639936135274347</v>
      </c>
    </row>
    <row r="28" spans="2:14" x14ac:dyDescent="0.25">
      <c r="B28" s="529" t="s">
        <v>2213</v>
      </c>
      <c r="C28" s="116">
        <f>($C7*'Financial impact (cash)'!D$13)+(Events!$D7*'Financial impact (cash)'!D$15)+(Events!$E7*'Financial impact (cash)'!D$16)+(Events!$F7*'Financial impact (cash)'!D$24)</f>
        <v>458.91489112594053</v>
      </c>
      <c r="D28" s="116">
        <f>($C7*'Financial impact (cash)'!E$13)+(Events!$D7*'Financial impact (cash)'!E$15)+(Events!$E7*'Financial impact (cash)'!E$16)+(Events!$F7*'Financial impact (cash)'!E$24)</f>
        <v>258.76157744483532</v>
      </c>
      <c r="E28" s="116">
        <f>($C7*'Financial impact (cash)'!F$13)+(Events!$D7*'Financial impact (cash)'!F$15)+(Events!$E7*'Financial impact (cash)'!F$16)+(Events!$F7*'Financial impact (cash)'!F$24)</f>
        <v>189.87870333329317</v>
      </c>
      <c r="F28" s="116">
        <f>($C7*'Financial impact (cash)'!G$13)+(Events!$D7*'Financial impact (cash)'!G$15)+(Events!$E7*'Financial impact (cash)'!G$16)+(Events!$F7*'Financial impact (cash)'!G$24)</f>
        <v>168.87953461699362</v>
      </c>
      <c r="G28" s="116">
        <f>($C7*'Financial impact (cash)'!H$13)+(Events!$D7*'Financial impact (cash)'!H$15)+(Events!$E7*'Financial impact (cash)'!H$16)+(Events!$F7*'Financial impact (cash)'!H$24)</f>
        <v>170.36412411922322</v>
      </c>
      <c r="H28" s="116">
        <f>($C7*'Financial impact (cash)'!I$13)+(Events!$D7*'Financial impact (cash)'!I$15)+(Events!$E7*'Financial impact (cash)'!I$16)+(Events!$F7*'Financial impact (cash)'!I$24)</f>
        <v>171.86176437976479</v>
      </c>
      <c r="J28" s="116">
        <f t="shared" ref="J28:J36" si="1">D28-$C28</f>
        <v>-200.1533136811052</v>
      </c>
      <c r="K28" s="116">
        <f t="shared" ref="K28:K36" si="2">E28-$C28</f>
        <v>-269.03618779264735</v>
      </c>
      <c r="L28" s="116">
        <f t="shared" ref="L28:L35" si="3">F28-$C28</f>
        <v>-290.0353565089469</v>
      </c>
      <c r="M28" s="116">
        <f t="shared" ref="M28:M36" si="4">G28-$C28</f>
        <v>-288.55076700671731</v>
      </c>
      <c r="N28" s="116">
        <f t="shared" ref="N28:N36" si="5">H28-$C28</f>
        <v>-287.05312674617574</v>
      </c>
    </row>
    <row r="29" spans="2:14" x14ac:dyDescent="0.25">
      <c r="B29" s="529" t="s">
        <v>2214</v>
      </c>
      <c r="C29" s="116">
        <f>($C8*'Financial impact (cash)'!D$13)+(Events!$D8*'Financial impact (cash)'!D$15)+(Events!$E8*'Financial impact (cash)'!D$16)+(Events!$F8*'Financial impact (cash)'!D$24)</f>
        <v>66.356963600836337</v>
      </c>
      <c r="D29" s="116">
        <f>($C8*'Financial impact (cash)'!E$13)+(Events!$D8*'Financial impact (cash)'!E$15)+(Events!$E8*'Financial impact (cash)'!E$16)+(Events!$F8*'Financial impact (cash)'!E$24)</f>
        <v>58.222337414750704</v>
      </c>
      <c r="E29" s="116">
        <f>($C8*'Financial impact (cash)'!F$13)+(Events!$D8*'Financial impact (cash)'!F$15)+(Events!$E8*'Financial impact (cash)'!F$16)+(Events!$F8*'Financial impact (cash)'!F$24)</f>
        <v>55.696026215062034</v>
      </c>
      <c r="F29" s="116">
        <f>($C8*'Financial impact (cash)'!G$13)+(Events!$D8*'Financial impact (cash)'!G$15)+(Events!$E8*'Financial impact (cash)'!G$16)+(Events!$F8*'Financial impact (cash)'!G$24)</f>
        <v>55.217795420238993</v>
      </c>
      <c r="G29" s="116">
        <f>($C8*'Financial impact (cash)'!H$13)+(Events!$D8*'Financial impact (cash)'!H$15)+(Events!$E8*'Financial impact (cash)'!H$16)+(Events!$F8*'Financial impact (cash)'!H$24)</f>
        <v>55.703205091713173</v>
      </c>
      <c r="H29" s="116">
        <f>($C8*'Financial impact (cash)'!I$13)+(Events!$D8*'Financial impact (cash)'!I$15)+(Events!$E8*'Financial impact (cash)'!I$16)+(Events!$F8*'Financial impact (cash)'!I$24)</f>
        <v>56.192881911981821</v>
      </c>
      <c r="J29" s="116">
        <f t="shared" si="1"/>
        <v>-8.134626186085633</v>
      </c>
      <c r="K29" s="116">
        <f t="shared" si="2"/>
        <v>-10.660937385774304</v>
      </c>
      <c r="L29" s="116">
        <f t="shared" si="3"/>
        <v>-11.139168180597345</v>
      </c>
      <c r="M29" s="116">
        <f t="shared" si="4"/>
        <v>-10.653758509123165</v>
      </c>
      <c r="N29" s="116">
        <f t="shared" si="5"/>
        <v>-10.164081688854516</v>
      </c>
    </row>
    <row r="30" spans="2:14" x14ac:dyDescent="0.25">
      <c r="B30" s="529" t="s">
        <v>2215</v>
      </c>
      <c r="C30" s="116">
        <f>($C9*'Financial impact (cash)'!D$13)+(Events!$D9*'Financial impact (cash)'!D$15)+(Events!$E9*'Financial impact (cash)'!D$16)+(Events!$F9*'Financial impact (cash)'!D$24)</f>
        <v>9.089995013813196</v>
      </c>
      <c r="D30" s="116">
        <f>($C9*'Financial impact (cash)'!E$13)+(Events!$D9*'Financial impact (cash)'!E$15)+(Events!$E9*'Financial impact (cash)'!E$16)+(Events!$F9*'Financial impact (cash)'!E$24)</f>
        <v>56.722403196280915</v>
      </c>
      <c r="E30" s="116">
        <f>($C9*'Financial impact (cash)'!F$13)+(Events!$D9*'Financial impact (cash)'!F$15)+(Events!$E9*'Financial impact (cash)'!F$16)+(Events!$F9*'Financial impact (cash)'!F$24)</f>
        <v>73.792675552817911</v>
      </c>
      <c r="F30" s="116">
        <f>($C9*'Financial impact (cash)'!G$13)+(Events!$D9*'Financial impact (cash)'!G$15)+(Events!$E9*'Financial impact (cash)'!G$16)+(Events!$F9*'Financial impact (cash)'!G$24)</f>
        <v>79.720525498075602</v>
      </c>
      <c r="G30" s="116">
        <f>($C9*'Financial impact (cash)'!H$13)+(Events!$D9*'Financial impact (cash)'!H$15)+(Events!$E9*'Financial impact (cash)'!H$16)+(Events!$F9*'Financial impact (cash)'!H$24)</f>
        <v>80.421334246365205</v>
      </c>
      <c r="H30" s="116">
        <f>($C9*'Financial impact (cash)'!I$13)+(Events!$D9*'Financial impact (cash)'!I$15)+(Events!$E9*'Financial impact (cash)'!I$16)+(Events!$F9*'Financial impact (cash)'!I$24)</f>
        <v>81.128303677849175</v>
      </c>
      <c r="J30" s="116">
        <f t="shared" si="1"/>
        <v>47.632408182467721</v>
      </c>
      <c r="K30" s="116">
        <f t="shared" si="2"/>
        <v>64.702680539004717</v>
      </c>
      <c r="L30" s="116">
        <f t="shared" si="3"/>
        <v>70.630530484262408</v>
      </c>
      <c r="M30" s="116">
        <f t="shared" si="4"/>
        <v>71.331339232552011</v>
      </c>
      <c r="N30" s="116">
        <f t="shared" si="5"/>
        <v>72.038308664035981</v>
      </c>
    </row>
    <row r="31" spans="2:14" x14ac:dyDescent="0.25">
      <c r="B31" s="529" t="s">
        <v>2216</v>
      </c>
      <c r="C31" s="116">
        <f>($C10*'Financial impact (cash)'!D$13)+(Events!$D10*'Financial impact (cash)'!D$15)+(Events!$E10*'Financial impact (cash)'!D$16)+(Events!$F10*'Financial impact (cash)'!D$24)</f>
        <v>45.449975069065985</v>
      </c>
      <c r="D31" s="116">
        <f>($C10*'Financial impact (cash)'!E$13)+(Events!$D10*'Financial impact (cash)'!E$15)+(Events!$E10*'Financial impact (cash)'!E$16)+(Events!$F10*'Financial impact (cash)'!E$24)</f>
        <v>56.656903885430708</v>
      </c>
      <c r="E31" s="116">
        <f>($C10*'Financial impact (cash)'!F$13)+(Events!$D10*'Financial impact (cash)'!F$15)+(Events!$E10*'Financial impact (cash)'!F$16)+(Events!$F10*'Financial impact (cash)'!F$24)</f>
        <v>60.921245397294165</v>
      </c>
      <c r="F31" s="116">
        <f>($C10*'Financial impact (cash)'!G$13)+(Events!$D10*'Financial impact (cash)'!G$15)+(Events!$E10*'Financial impact (cash)'!G$16)+(Events!$F10*'Financial impact (cash)'!G$24)</f>
        <v>62.656600307852067</v>
      </c>
      <c r="G31" s="116">
        <f>($C10*'Financial impact (cash)'!H$13)+(Events!$D10*'Financial impact (cash)'!H$15)+(Events!$E10*'Financial impact (cash)'!H$16)+(Events!$F10*'Financial impact (cash)'!H$24)</f>
        <v>63.207403170220168</v>
      </c>
      <c r="H31" s="116">
        <f>($C10*'Financial impact (cash)'!I$13)+(Events!$D10*'Financial impact (cash)'!I$15)+(Events!$E10*'Financial impact (cash)'!I$16)+(Events!$F10*'Financial impact (cash)'!I$24)</f>
        <v>63.763048041118921</v>
      </c>
      <c r="J31" s="116">
        <f t="shared" si="1"/>
        <v>11.206928816364723</v>
      </c>
      <c r="K31" s="116">
        <f t="shared" si="2"/>
        <v>15.471270328228179</v>
      </c>
      <c r="L31" s="116">
        <f>F31-$C31</f>
        <v>17.206625238786081</v>
      </c>
      <c r="M31" s="116">
        <f t="shared" si="4"/>
        <v>17.757428101154183</v>
      </c>
      <c r="N31" s="116">
        <f t="shared" si="5"/>
        <v>18.313072972052936</v>
      </c>
    </row>
    <row r="32" spans="2:14" x14ac:dyDescent="0.25">
      <c r="B32" s="529" t="s">
        <v>2217</v>
      </c>
      <c r="C32" s="116">
        <f>($C11*'Financial impact (cash)'!D$13)+(Events!$D11*'Financial impact (cash)'!D$15)+(Events!$E11*'Financial impact (cash)'!D$16)+(Events!$F11*'Financial impact (cash)'!D$24)</f>
        <v>389.57121487770837</v>
      </c>
      <c r="D32" s="116">
        <f>($C11*'Financial impact (cash)'!E$13)+(Events!$D11*'Financial impact (cash)'!E$15)+(Events!$E11*'Financial impact (cash)'!E$16)+(Events!$F11*'Financial impact (cash)'!E$24)</f>
        <v>212.87276026317892</v>
      </c>
      <c r="E32" s="116">
        <f>($C11*'Financial impact (cash)'!F$13)+(Events!$D11*'Financial impact (cash)'!F$15)+(Events!$E11*'Financial impact (cash)'!F$16)+(Events!$F11*'Financial impact (cash)'!F$24)</f>
        <v>151.97273797589651</v>
      </c>
      <c r="F32" s="116">
        <f>($C11*'Financial impact (cash)'!G$13)+(Events!$D11*'Financial impact (cash)'!G$15)+(Events!$E11*'Financial impact (cash)'!G$16)+(Events!$F11*'Financial impact (cash)'!G$24)</f>
        <v>133.31191554862141</v>
      </c>
      <c r="G32" s="116">
        <f>($C11*'Financial impact (cash)'!H$13)+(Events!$D11*'Financial impact (cash)'!H$15)+(Events!$E11*'Financial impact (cash)'!H$16)+(Events!$F11*'Financial impact (cash)'!H$24)</f>
        <v>134.48383653238332</v>
      </c>
      <c r="H32" s="116">
        <f>($C11*'Financial impact (cash)'!I$13)+(Events!$D11*'Financial impact (cash)'!I$15)+(Events!$E11*'Financial impact (cash)'!I$16)+(Events!$F11*'Financial impact (cash)'!I$24)</f>
        <v>135.66605966195513</v>
      </c>
      <c r="J32" s="116">
        <f t="shared" si="1"/>
        <v>-176.69845461452945</v>
      </c>
      <c r="K32" s="116">
        <f t="shared" si="2"/>
        <v>-237.59847690181186</v>
      </c>
      <c r="L32" s="116">
        <f t="shared" si="3"/>
        <v>-256.25929932908696</v>
      </c>
      <c r="M32" s="116">
        <f t="shared" si="4"/>
        <v>-255.08737834532505</v>
      </c>
      <c r="N32" s="116">
        <f t="shared" si="5"/>
        <v>-253.90515521575324</v>
      </c>
    </row>
    <row r="33" spans="2:14" x14ac:dyDescent="0.25">
      <c r="B33" s="529" t="s">
        <v>2218</v>
      </c>
      <c r="C33" s="116">
        <f>($C12*'Financial impact (cash)'!D$13)+(Events!$D12*'Financial impact (cash)'!D$15)+(Events!$E12*'Financial impact (cash)'!D$16)+(Events!$F12*'Financial impact (cash)'!D$24)</f>
        <v>119.46850589583059</v>
      </c>
      <c r="D33" s="116">
        <f>($C12*'Financial impact (cash)'!E$13)+(Events!$D12*'Financial impact (cash)'!E$15)+(Events!$E12*'Financial impact (cash)'!E$16)+(Events!$F12*'Financial impact (cash)'!E$24)</f>
        <v>72.245739867780429</v>
      </c>
      <c r="E33" s="116">
        <f>($C12*'Financial impact (cash)'!F$13)+(Events!$D12*'Financial impact (cash)'!F$15)+(Events!$E12*'Financial impact (cash)'!F$16)+(Events!$F12*'Financial impact (cash)'!F$24)</f>
        <v>56.058117782065473</v>
      </c>
      <c r="F33" s="116">
        <f>($C12*'Financial impact (cash)'!G$13)+(Events!$D12*'Financial impact (cash)'!G$15)+(Events!$E12*'Financial impact (cash)'!G$16)+(Events!$F12*'Financial impact (cash)'!G$24)</f>
        <v>51.191775570670629</v>
      </c>
      <c r="G33" s="116">
        <f>($C12*'Financial impact (cash)'!H$13)+(Events!$D12*'Financial impact (cash)'!H$15)+(Events!$E12*'Financial impact (cash)'!H$16)+(Events!$F12*'Financial impact (cash)'!H$24)</f>
        <v>51.641793228435191</v>
      </c>
      <c r="H33" s="116">
        <f>($C12*'Financial impact (cash)'!I$13)+(Events!$D12*'Financial impact (cash)'!I$15)+(Events!$E12*'Financial impact (cash)'!I$16)+(Events!$F12*'Financial impact (cash)'!I$24)</f>
        <v>52.095766910190768</v>
      </c>
      <c r="J33" s="116">
        <f t="shared" si="1"/>
        <v>-47.22276602805016</v>
      </c>
      <c r="K33" s="116">
        <f t="shared" si="2"/>
        <v>-63.410388113765116</v>
      </c>
      <c r="L33" s="116">
        <f t="shared" si="3"/>
        <v>-68.27673032515996</v>
      </c>
      <c r="M33" s="116">
        <f t="shared" si="4"/>
        <v>-67.826712667395398</v>
      </c>
      <c r="N33" s="116">
        <f t="shared" si="5"/>
        <v>-67.372738985639813</v>
      </c>
    </row>
    <row r="34" spans="2:14" x14ac:dyDescent="0.25">
      <c r="B34" s="529" t="s">
        <v>2219</v>
      </c>
      <c r="C34" s="116">
        <f>($C13*'Financial impact (cash)'!D$13)+(Events!$D13*'Financial impact (cash)'!D$15)+(Events!$E13*'Financial impact (cash)'!D$16)+(Events!$F13*'Financial impact (cash)'!D$24)</f>
        <v>87.004237989354877</v>
      </c>
      <c r="D34" s="116">
        <f>($C13*'Financial impact (cash)'!E$13)+(Events!$D13*'Financial impact (cash)'!E$15)+(Events!$E13*'Financial impact (cash)'!E$16)+(Events!$F13*'Financial impact (cash)'!E$24)</f>
        <v>39.496084442675965</v>
      </c>
      <c r="E34" s="116">
        <f>($C13*'Financial impact (cash)'!F$13)+(Events!$D13*'Financial impact (cash)'!F$15)+(Events!$E13*'Financial impact (cash)'!F$16)+(Events!$F13*'Financial impact (cash)'!F$24)</f>
        <v>23.020566048174931</v>
      </c>
      <c r="F34" s="116">
        <f>($C13*'Financial impact (cash)'!G$13)+(Events!$D13*'Financial impact (cash)'!G$15)+(Events!$E13*'Financial impact (cash)'!G$16)+(Events!$F13*'Financial impact (cash)'!G$24)</f>
        <v>17.863796683515268</v>
      </c>
      <c r="G34" s="116">
        <f>($C13*'Financial impact (cash)'!H$13)+(Events!$D13*'Financial impact (cash)'!H$15)+(Events!$E13*'Financial impact (cash)'!H$16)+(Events!$F13*'Financial impact (cash)'!H$24)</f>
        <v>18.020834095339367</v>
      </c>
      <c r="H34" s="116">
        <f>($C13*'Financial impact (cash)'!I$13)+(Events!$D13*'Financial impact (cash)'!I$15)+(Events!$E13*'Financial impact (cash)'!I$16)+(Events!$F13*'Financial impact (cash)'!I$24)</f>
        <v>18.179251994701989</v>
      </c>
      <c r="J34" s="116">
        <f t="shared" si="1"/>
        <v>-47.508153546678912</v>
      </c>
      <c r="K34" s="116">
        <f t="shared" si="2"/>
        <v>-63.983671941179949</v>
      </c>
      <c r="L34" s="116">
        <f t="shared" si="3"/>
        <v>-69.140441305839602</v>
      </c>
      <c r="M34" s="116">
        <f t="shared" si="4"/>
        <v>-68.98340389401551</v>
      </c>
      <c r="N34" s="116">
        <f t="shared" si="5"/>
        <v>-68.824985994652891</v>
      </c>
    </row>
    <row r="35" spans="2:14" x14ac:dyDescent="0.25">
      <c r="B35" s="529" t="s">
        <v>2220</v>
      </c>
      <c r="C35" s="116">
        <f>($C14*'Financial impact (cash)'!D$13)+(Events!$D14*'Financial impact (cash)'!D$15)+(Events!$E14*'Financial impact (cash)'!D$16)+(Events!$F14*'Financial impact (cash)'!D$24)</f>
        <v>1.1687136446331252</v>
      </c>
      <c r="D35" s="116">
        <f>($C14*'Financial impact (cash)'!E$13)+(Events!$D14*'Financial impact (cash)'!E$15)+(Events!$E14*'Financial impact (cash)'!E$16)+(Events!$F14*'Financial impact (cash)'!E$24)</f>
        <v>59.610922804775136</v>
      </c>
      <c r="E35" s="116">
        <f>($C14*'Financial impact (cash)'!F$13)+(Events!$D14*'Financial impact (cash)'!F$15)+(Events!$E14*'Financial impact (cash)'!F$16)+(Events!$F14*'Financial impact (cash)'!F$24)</f>
        <v>80.497977052728345</v>
      </c>
      <c r="F35" s="116">
        <f>($C14*'Financial impact (cash)'!G$13)+(Events!$D14*'Financial impact (cash)'!G$15)+(Events!$E14*'Financial impact (cash)'!G$16)+(Events!$F14*'Financial impact (cash)'!G$24)</f>
        <v>87.692578047883174</v>
      </c>
      <c r="G35" s="116">
        <f>($C14*'Financial impact (cash)'!H$13)+(Events!$D14*'Financial impact (cash)'!H$15)+(Events!$E14*'Financial impact (cash)'!H$16)+(Events!$F14*'Financial impact (cash)'!H$24)</f>
        <v>88.463467671001766</v>
      </c>
      <c r="H35" s="116">
        <f>($C14*'Financial impact (cash)'!I$13)+(Events!$D14*'Financial impact (cash)'!I$15)+(Events!$E14*'Financial impact (cash)'!I$16)+(Events!$F14*'Financial impact (cash)'!I$24)</f>
        <v>89.241134045634084</v>
      </c>
      <c r="J35" s="116">
        <f t="shared" si="1"/>
        <v>58.442209160142014</v>
      </c>
      <c r="K35" s="116">
        <f t="shared" si="2"/>
        <v>79.329263408095215</v>
      </c>
      <c r="L35" s="116">
        <f t="shared" si="3"/>
        <v>86.523864403250045</v>
      </c>
      <c r="M35" s="116">
        <f t="shared" si="4"/>
        <v>87.294754026368636</v>
      </c>
      <c r="N35" s="116">
        <f t="shared" si="5"/>
        <v>88.072420401000954</v>
      </c>
    </row>
    <row r="36" spans="2:14" x14ac:dyDescent="0.25">
      <c r="B36" s="529" t="s">
        <v>2221</v>
      </c>
      <c r="C36" s="116">
        <f>($C15*'Financial impact (cash)'!D$13)+(Events!$D15*'Financial impact (cash)'!D$15)+(Events!$E15*'Financial impact (cash)'!D$16)+(Events!$F15*'Financial impact (cash)'!D$24)</f>
        <v>261.01271396806465</v>
      </c>
      <c r="D36" s="116">
        <f>($C15*'Financial impact (cash)'!E$13)+(Events!$D15*'Financial impact (cash)'!E$15)+(Events!$E15*'Financial impact (cash)'!E$16)+(Events!$F15*'Financial impact (cash)'!E$24)</f>
        <v>124.9726851021986</v>
      </c>
      <c r="E36" s="116">
        <f>($C15*'Financial impact (cash)'!F$13)+(Events!$D15*'Financial impact (cash)'!F$15)+(Events!$E15*'Financial impact (cash)'!F$16)+(Events!$F15*'Financial impact (cash)'!F$24)</f>
        <v>77.862901926433238</v>
      </c>
      <c r="F36" s="116">
        <f>($C15*'Financial impact (cash)'!G$13)+(Events!$D15*'Financial impact (cash)'!G$15)+(Events!$E15*'Financial impact (cash)'!G$16)+(Events!$F15*'Financial impact (cash)'!G$24)</f>
        <v>63.189847970046557</v>
      </c>
      <c r="G36" s="116">
        <f>($C15*'Financial impact (cash)'!H$13)+(Events!$D15*'Financial impact (cash)'!H$15)+(Events!$E15*'Financial impact (cash)'!H$16)+(Events!$F15*'Financial impact (cash)'!H$24)</f>
        <v>63.745338516349697</v>
      </c>
      <c r="H36" s="116">
        <f>($C15*'Financial impact (cash)'!I$13)+(Events!$D15*'Financial impact (cash)'!I$15)+(Events!$E15*'Financial impact (cash)'!I$16)+(Events!$F15*'Financial impact (cash)'!I$24)</f>
        <v>64.305712279766738</v>
      </c>
      <c r="J36" s="116">
        <f t="shared" si="1"/>
        <v>-136.04002886586605</v>
      </c>
      <c r="K36" s="116">
        <f t="shared" si="2"/>
        <v>-183.14981204163141</v>
      </c>
      <c r="L36" s="116">
        <f>F36-$C36</f>
        <v>-197.82286599801807</v>
      </c>
      <c r="M36" s="116">
        <f t="shared" si="4"/>
        <v>-197.26737545171494</v>
      </c>
      <c r="N36" s="116">
        <f t="shared" si="5"/>
        <v>-196.70700168829791</v>
      </c>
    </row>
    <row r="37" spans="2:14" x14ac:dyDescent="0.25">
      <c r="B37" s="529" t="s">
        <v>2222</v>
      </c>
      <c r="C37" s="116">
        <f>($C16*'Financial impact (cash)'!D$13)+(Events!$D16*'Financial impact (cash)'!D$15)+(Events!$E16*'Financial impact (cash)'!D$16)+(Events!$F16*'Financial impact (cash)'!D$24)</f>
        <v>122.32536147160044</v>
      </c>
      <c r="D37" s="116">
        <f>($C16*'Financial impact (cash)'!E$13)+(Events!$D16*'Financial impact (cash)'!E$15)+(Events!$E16*'Financial impact (cash)'!E$16)+(Events!$F16*'Financial impact (cash)'!E$24)</f>
        <v>91.554936706422012</v>
      </c>
      <c r="E37" s="116">
        <f>($C16*'Financial impact (cash)'!F$13)+(Events!$D16*'Financial impact (cash)'!F$15)+(Events!$E16*'Financial impact (cash)'!F$16)+(Events!$F16*'Financial impact (cash)'!F$24)</f>
        <v>81.26180524881589</v>
      </c>
      <c r="F37" s="116">
        <f>($C16*'Financial impact (cash)'!G$13)+(Events!$D16*'Financial impact (cash)'!G$15)+(Events!$E16*'Financial impact (cash)'!G$16)+(Events!$F16*'Financial impact (cash)'!G$24)</f>
        <v>78.440731108808848</v>
      </c>
      <c r="G37" s="116">
        <f>($C16*'Financial impact (cash)'!H$13)+(Events!$D16*'Financial impact (cash)'!H$15)+(Events!$E16*'Financial impact (cash)'!H$16)+(Events!$F16*'Financial impact (cash)'!H$24)</f>
        <v>79.130289415654346</v>
      </c>
      <c r="H37" s="116">
        <f>($C16*'Financial impact (cash)'!I$13)+(Events!$D16*'Financial impact (cash)'!I$15)+(Events!$E16*'Financial impact (cash)'!I$16)+(Events!$F16*'Financial impact (cash)'!I$24)</f>
        <v>79.825909505094415</v>
      </c>
      <c r="J37" s="116">
        <f t="shared" ref="J37:J38" si="6">D37-$C37</f>
        <v>-30.770424765178433</v>
      </c>
      <c r="K37" s="116">
        <f t="shared" ref="K37:K39" si="7">E37-$C37</f>
        <v>-41.063556222784555</v>
      </c>
      <c r="L37" s="116">
        <f t="shared" ref="L37:L39" si="8">F37-$C37</f>
        <v>-43.884630362791597</v>
      </c>
      <c r="M37" s="116">
        <f t="shared" ref="M37:M39" si="9">G37-$C37</f>
        <v>-43.195072055946099</v>
      </c>
      <c r="N37" s="116">
        <f t="shared" ref="N37:N38" si="10">H37-$C37</f>
        <v>-42.49945196650603</v>
      </c>
    </row>
    <row r="38" spans="2:14" x14ac:dyDescent="0.25">
      <c r="B38" s="529" t="s">
        <v>2223</v>
      </c>
      <c r="C38" s="116">
        <f>($C17*'Financial impact (cash)'!D$13)+(Events!$D17*'Financial impact (cash)'!D$15)+(Events!$E17*'Financial impact (cash)'!D$16)+(Events!$F17*'Financial impact (cash)'!D$24)</f>
        <v>32.464267906475705</v>
      </c>
      <c r="D38" s="116">
        <f>($C17*'Financial impact (cash)'!E$13)+(Events!$D17*'Financial impact (cash)'!E$15)+(Events!$E17*'Financial impact (cash)'!E$16)+(Events!$F17*'Financial impact (cash)'!E$24)</f>
        <v>256.82279784366921</v>
      </c>
      <c r="E38" s="116">
        <f>($C17*'Financial impact (cash)'!F$13)+(Events!$D17*'Financial impact (cash)'!F$15)+(Events!$E17*'Financial impact (cash)'!F$16)+(Events!$F17*'Financial impact (cash)'!F$24)</f>
        <v>337.1680379753933</v>
      </c>
      <c r="F38" s="116">
        <f>($C17*'Financial impact (cash)'!G$13)+(Events!$D17*'Financial impact (cash)'!G$15)+(Events!$E17*'Financial impact (cash)'!G$16)+(Events!$F17*'Financial impact (cash)'!G$24)</f>
        <v>365.00802477212551</v>
      </c>
      <c r="G38" s="116">
        <f>($C17*'Financial impact (cash)'!H$13)+(Events!$D17*'Financial impact (cash)'!H$15)+(Events!$E17*'Financial impact (cash)'!H$16)+(Events!$F17*'Financial impact (cash)'!H$24)</f>
        <v>368.21674442566558</v>
      </c>
      <c r="H38" s="116">
        <f>($C17*'Financial impact (cash)'!I$13)+(Events!$D17*'Financial impact (cash)'!I$15)+(Events!$E17*'Financial impact (cash)'!I$16)+(Events!$F17*'Financial impact (cash)'!I$24)</f>
        <v>371.4536713544332</v>
      </c>
      <c r="J38" s="116">
        <f t="shared" si="6"/>
        <v>224.35852993719351</v>
      </c>
      <c r="K38" s="116">
        <f t="shared" si="7"/>
        <v>304.70377006891761</v>
      </c>
      <c r="L38" s="116">
        <f t="shared" si="8"/>
        <v>332.54375686564981</v>
      </c>
      <c r="M38" s="116">
        <f t="shared" si="9"/>
        <v>335.75247651918988</v>
      </c>
      <c r="N38" s="116">
        <f t="shared" si="10"/>
        <v>338.9894034479575</v>
      </c>
    </row>
    <row r="39" spans="2:14" x14ac:dyDescent="0.25">
      <c r="B39" s="529" t="s">
        <v>2224</v>
      </c>
      <c r="C39" s="116">
        <f>($C18*'Financial impact (cash)'!D$13)+(Events!$D18*'Financial impact (cash)'!D$15)+(Events!$E18*'Financial impact (cash)'!D$16)+(Events!$F18*'Financial impact (cash)'!D$24)</f>
        <v>0</v>
      </c>
      <c r="D39" s="116">
        <f>($C18*'Financial impact (cash)'!E$13)+(Events!$D18*'Financial impact (cash)'!E$15)+(Events!$E18*'Financial impact (cash)'!E$16)+(Events!$F18*'Financial impact (cash)'!E$24)</f>
        <v>55.477916290126949</v>
      </c>
      <c r="E39" s="116">
        <f>($C18*'Financial impact (cash)'!F$13)+(Events!$D18*'Financial impact (cash)'!F$15)+(Events!$E18*'Financial impact (cash)'!F$16)+(Events!$F18*'Financial impact (cash)'!F$24)</f>
        <v>75.299187911883322</v>
      </c>
      <c r="F39" s="116">
        <f>($C18*'Financial impact (cash)'!G$13)+(Events!$D18*'Financial impact (cash)'!G$15)+(Events!$E18*'Financial impact (cash)'!G$16)+(Events!$F18*'Financial impact (cash)'!G$24)</f>
        <v>82.120139977950785</v>
      </c>
      <c r="G39" s="116">
        <f>($C18*'Financial impact (cash)'!H$13)+(Events!$D18*'Financial impact (cash)'!H$15)+(Events!$E18*'Financial impact (cash)'!H$16)+(Events!$F18*'Financial impact (cash)'!H$24)</f>
        <v>82.842043303948131</v>
      </c>
      <c r="H39" s="116">
        <f>($C18*'Financial impact (cash)'!I$13)+(Events!$D18*'Financial impact (cash)'!I$15)+(Events!$E18*'Financial impact (cash)'!I$16)+(Events!$F18*'Financial impact (cash)'!I$24)</f>
        <v>83.570292751764356</v>
      </c>
      <c r="J39" s="116">
        <f>D39-$C39</f>
        <v>55.477916290126949</v>
      </c>
      <c r="K39" s="116">
        <f t="shared" si="7"/>
        <v>75.299187911883322</v>
      </c>
      <c r="L39" s="116">
        <f t="shared" si="8"/>
        <v>82.120139977950785</v>
      </c>
      <c r="M39" s="116">
        <f t="shared" si="9"/>
        <v>82.842043303948131</v>
      </c>
      <c r="N39" s="116">
        <f>H39-$C39</f>
        <v>83.570292751764356</v>
      </c>
    </row>
    <row r="40" spans="2:14" x14ac:dyDescent="0.25">
      <c r="B40" s="529" t="s">
        <v>2312</v>
      </c>
      <c r="C40" s="116">
        <f>($C19*'Financial impact (cash)'!D$13)+(Events!$D19*'Financial impact (cash)'!D$15)+(Events!$E19*'Financial impact (cash)'!D$16)+(Events!$F19*'Financial impact (cash)'!D$24)</f>
        <v>0</v>
      </c>
      <c r="D40" s="116">
        <f>($C19*'Financial impact (cash)'!E$13)+(Events!$D19*'Financial impact (cash)'!E$15)+(Events!$E19*'Financial impact (cash)'!E$16)+(Events!$F19*'Financial impact (cash)'!E$24)</f>
        <v>0</v>
      </c>
      <c r="E40" s="116">
        <f>($C19*'Financial impact (cash)'!F$13)+(Events!$D19*'Financial impact (cash)'!F$15)+(Events!$E19*'Financial impact (cash)'!F$16)+(Events!$F19*'Financial impact (cash)'!F$24)</f>
        <v>0</v>
      </c>
      <c r="F40" s="116">
        <f>($C19*'Financial impact (cash)'!G$13)+(Events!$D19*'Financial impact (cash)'!G$15)+(Events!$E19*'Financial impact (cash)'!G$16)+(Events!$F19*'Financial impact (cash)'!G$24)</f>
        <v>0</v>
      </c>
      <c r="G40" s="116">
        <f>($C19*'Financial impact (cash)'!H$13)+(Events!$D19*'Financial impact (cash)'!H$15)+(Events!$E19*'Financial impact (cash)'!H$16)+(Events!$F19*'Financial impact (cash)'!H$24)</f>
        <v>0</v>
      </c>
      <c r="H40" s="116">
        <f>($C19*'Financial impact (cash)'!I$13)+(Events!$D19*'Financial impact (cash)'!I$15)+(Events!$E19*'Financial impact (cash)'!I$16)+(Events!$F19*'Financial impact (cash)'!I$24)</f>
        <v>0</v>
      </c>
      <c r="J40" s="116">
        <f>D40-$C40</f>
        <v>0</v>
      </c>
      <c r="K40" s="116">
        <f t="shared" ref="K40" si="11">E40-$C40</f>
        <v>0</v>
      </c>
      <c r="L40" s="116">
        <f t="shared" ref="L40" si="12">F40-$C40</f>
        <v>0</v>
      </c>
      <c r="M40" s="116">
        <f t="shared" ref="M40" si="13">G40-$C40</f>
        <v>0</v>
      </c>
      <c r="N40" s="116">
        <f>H40-$C40</f>
        <v>0</v>
      </c>
    </row>
    <row r="41" spans="2:14" s="136" customFormat="1" x14ac:dyDescent="0.25">
      <c r="B41" s="777"/>
      <c r="C41" s="163">
        <f>SUM(C27:C40)</f>
        <v>1622.6939670372813</v>
      </c>
      <c r="D41" s="163">
        <f t="shared" ref="D41:H41" si="14">SUM(D27:D40)</f>
        <v>1393.0000435757331</v>
      </c>
      <c r="E41" s="163">
        <f t="shared" si="14"/>
        <v>1320.2281413607627</v>
      </c>
      <c r="F41" s="163">
        <f t="shared" si="14"/>
        <v>1304.7503798574678</v>
      </c>
      <c r="G41" s="163">
        <f t="shared" si="14"/>
        <v>1316.2202049097423</v>
      </c>
      <c r="H41" s="163">
        <f t="shared" si="14"/>
        <v>1327.7908591234873</v>
      </c>
      <c r="J41" s="163">
        <f>SUM(J27:J40)</f>
        <v>-229.69392346154839</v>
      </c>
      <c r="K41" s="163">
        <f t="shared" ref="K41:N41" si="15">SUM(K27:K40)</f>
        <v>-302.46582567651853</v>
      </c>
      <c r="L41" s="163">
        <f t="shared" si="15"/>
        <v>-317.94358717981379</v>
      </c>
      <c r="M41" s="163">
        <f t="shared" si="15"/>
        <v>-306.47376212753926</v>
      </c>
      <c r="N41" s="163">
        <f t="shared" si="15"/>
        <v>-294.9031079137942</v>
      </c>
    </row>
    <row r="42" spans="2:14" x14ac:dyDescent="0.25">
      <c r="J42" s="726"/>
    </row>
    <row r="43" spans="2:14" x14ac:dyDescent="0.25">
      <c r="C43" s="1043" t="s">
        <v>679</v>
      </c>
      <c r="D43" s="1044"/>
      <c r="E43" s="1044"/>
      <c r="F43" s="1044"/>
      <c r="G43" s="1044"/>
      <c r="H43" s="1045"/>
      <c r="J43" s="1043" t="s">
        <v>680</v>
      </c>
      <c r="K43" s="1044"/>
      <c r="L43" s="1044"/>
      <c r="M43" s="1044"/>
      <c r="N43" s="1045"/>
    </row>
    <row r="44" spans="2:14" ht="45" x14ac:dyDescent="0.25">
      <c r="C44" s="152" t="s">
        <v>678</v>
      </c>
      <c r="D44" s="152" t="s">
        <v>591</v>
      </c>
      <c r="E44" s="152" t="s">
        <v>592</v>
      </c>
      <c r="F44" s="211" t="s">
        <v>593</v>
      </c>
      <c r="G44" s="152" t="s">
        <v>594</v>
      </c>
      <c r="H44" s="152" t="s">
        <v>595</v>
      </c>
      <c r="J44" s="152" t="s">
        <v>591</v>
      </c>
      <c r="K44" s="152" t="s">
        <v>592</v>
      </c>
      <c r="L44" s="211" t="s">
        <v>593</v>
      </c>
      <c r="M44" s="152" t="s">
        <v>594</v>
      </c>
      <c r="N44" s="152" t="s">
        <v>595</v>
      </c>
    </row>
    <row r="45" spans="2:14" x14ac:dyDescent="0.25">
      <c r="B45" s="529" t="s">
        <v>2212</v>
      </c>
      <c r="C45" s="263">
        <f t="shared" ref="C45:H58" si="16">C27*$G6/1000</f>
        <v>74.830293352912449</v>
      </c>
      <c r="D45" s="263">
        <f t="shared" si="16"/>
        <v>124.22717718604639</v>
      </c>
      <c r="E45" s="263">
        <f t="shared" si="16"/>
        <v>142.30437933690007</v>
      </c>
      <c r="F45" s="263">
        <f t="shared" si="16"/>
        <v>148.96623253869356</v>
      </c>
      <c r="G45" s="263">
        <f t="shared" si="16"/>
        <v>150.27576779715574</v>
      </c>
      <c r="H45" s="263">
        <f t="shared" si="16"/>
        <v>151.59681494367422</v>
      </c>
      <c r="J45" s="263">
        <f>D45-$C45</f>
        <v>49.396883833133941</v>
      </c>
      <c r="K45" s="263">
        <f>E45-$C45</f>
        <v>67.474085983987621</v>
      </c>
      <c r="L45" s="263">
        <f>F45-$C45</f>
        <v>74.135939185781112</v>
      </c>
      <c r="M45" s="263">
        <f>G45-$C45</f>
        <v>75.445474444243288</v>
      </c>
      <c r="N45" s="263">
        <f>H45-$C45</f>
        <v>76.766521590761769</v>
      </c>
    </row>
    <row r="46" spans="2:14" x14ac:dyDescent="0.25">
      <c r="B46" s="529" t="s">
        <v>2213</v>
      </c>
      <c r="C46" s="263">
        <f t="shared" si="16"/>
        <v>513.63131359488648</v>
      </c>
      <c r="D46" s="263">
        <f t="shared" si="16"/>
        <v>289.61372032358304</v>
      </c>
      <c r="E46" s="263">
        <f t="shared" si="16"/>
        <v>212.51794113172173</v>
      </c>
      <c r="F46" s="263">
        <f t="shared" si="16"/>
        <v>189.01504152937778</v>
      </c>
      <c r="G46" s="263">
        <f t="shared" si="16"/>
        <v>190.67663863795821</v>
      </c>
      <c r="H46" s="263">
        <f t="shared" si="16"/>
        <v>192.35284254676415</v>
      </c>
      <c r="J46" s="263">
        <f t="shared" ref="J46:J54" si="17">D46-$C46</f>
        <v>-224.01759327130344</v>
      </c>
      <c r="K46" s="263">
        <f t="shared" ref="K46:K54" si="18">E46-$C46</f>
        <v>-301.11337246316475</v>
      </c>
      <c r="L46" s="263">
        <f t="shared" ref="L46:L54" si="19">F46-$C46</f>
        <v>-324.61627206550872</v>
      </c>
      <c r="M46" s="263">
        <f t="shared" ref="M46:M53" si="20">G46-$C46</f>
        <v>-322.95467495692827</v>
      </c>
      <c r="N46" s="263">
        <f t="shared" ref="N46:N54" si="21">H46-$C46</f>
        <v>-321.27847104812236</v>
      </c>
    </row>
    <row r="47" spans="2:14" x14ac:dyDescent="0.25">
      <c r="B47" s="529" t="s">
        <v>2214</v>
      </c>
      <c r="C47" s="263">
        <f t="shared" si="16"/>
        <v>270.18763940243338</v>
      </c>
      <c r="D47" s="263">
        <f t="shared" si="16"/>
        <v>237.06563792176289</v>
      </c>
      <c r="E47" s="263">
        <f t="shared" si="16"/>
        <v>226.77918082065452</v>
      </c>
      <c r="F47" s="263">
        <f t="shared" si="16"/>
        <v>224.8319541464497</v>
      </c>
      <c r="G47" s="263">
        <f t="shared" si="16"/>
        <v>226.80841126808127</v>
      </c>
      <c r="H47" s="263">
        <f t="shared" si="16"/>
        <v>228.80224306747377</v>
      </c>
      <c r="J47" s="263">
        <f t="shared" si="17"/>
        <v>-33.122001480670491</v>
      </c>
      <c r="K47" s="263">
        <f t="shared" si="18"/>
        <v>-43.408458581778859</v>
      </c>
      <c r="L47" s="263">
        <f>F47-$C47</f>
        <v>-45.355685255983673</v>
      </c>
      <c r="M47" s="263">
        <f t="shared" si="20"/>
        <v>-43.379228134352104</v>
      </c>
      <c r="N47" s="263">
        <f t="shared" si="21"/>
        <v>-41.385396334959609</v>
      </c>
    </row>
    <row r="48" spans="2:14" x14ac:dyDescent="0.25">
      <c r="B48" s="529" t="s">
        <v>2215</v>
      </c>
      <c r="C48" s="263">
        <f t="shared" si="16"/>
        <v>15.217378852724394</v>
      </c>
      <c r="D48" s="263">
        <f t="shared" si="16"/>
        <v>94.957840742829958</v>
      </c>
      <c r="E48" s="263">
        <f t="shared" si="16"/>
        <v>123.53484228946141</v>
      </c>
      <c r="F48" s="263">
        <f t="shared" si="16"/>
        <v>133.45853732581841</v>
      </c>
      <c r="G48" s="263">
        <f t="shared" si="16"/>
        <v>134.63174723515505</v>
      </c>
      <c r="H48" s="263">
        <f t="shared" si="16"/>
        <v>135.81527062101375</v>
      </c>
      <c r="J48" s="263">
        <f t="shared" si="17"/>
        <v>79.740461890105564</v>
      </c>
      <c r="K48" s="263">
        <f t="shared" si="18"/>
        <v>108.31746343673701</v>
      </c>
      <c r="L48" s="263">
        <f t="shared" si="19"/>
        <v>118.24115847309402</v>
      </c>
      <c r="M48" s="263">
        <f t="shared" si="20"/>
        <v>119.41436838243065</v>
      </c>
      <c r="N48" s="263">
        <f t="shared" si="21"/>
        <v>120.59789176828936</v>
      </c>
    </row>
    <row r="49" spans="2:14" x14ac:dyDescent="0.25">
      <c r="B49" s="529" t="s">
        <v>2216</v>
      </c>
      <c r="C49" s="263">
        <f t="shared" si="16"/>
        <v>76.086894263621986</v>
      </c>
      <c r="D49" s="263">
        <f t="shared" si="16"/>
        <v>94.848189656521839</v>
      </c>
      <c r="E49" s="263">
        <f t="shared" si="16"/>
        <v>101.9870384947022</v>
      </c>
      <c r="F49" s="263">
        <f t="shared" si="16"/>
        <v>104.89216144336898</v>
      </c>
      <c r="G49" s="263">
        <f t="shared" si="16"/>
        <v>105.81424949920216</v>
      </c>
      <c r="H49" s="263">
        <f t="shared" si="16"/>
        <v>106.74444346467635</v>
      </c>
      <c r="J49" s="263">
        <f t="shared" si="17"/>
        <v>18.761295392899854</v>
      </c>
      <c r="K49" s="263">
        <f t="shared" si="18"/>
        <v>25.900144231080219</v>
      </c>
      <c r="L49" s="263">
        <f t="shared" si="19"/>
        <v>28.805267179746991</v>
      </c>
      <c r="M49" s="263">
        <f t="shared" si="20"/>
        <v>29.727355235580177</v>
      </c>
      <c r="N49" s="263">
        <f t="shared" si="21"/>
        <v>30.657549201054366</v>
      </c>
    </row>
    <row r="50" spans="2:14" x14ac:dyDescent="0.25">
      <c r="B50" s="529" t="s">
        <v>2217</v>
      </c>
      <c r="C50" s="263">
        <f t="shared" si="16"/>
        <v>293.68994747200679</v>
      </c>
      <c r="D50" s="263">
        <f t="shared" si="16"/>
        <v>160.48051650720532</v>
      </c>
      <c r="E50" s="263">
        <f t="shared" si="16"/>
        <v>114.56920770526885</v>
      </c>
      <c r="F50" s="263">
        <f t="shared" si="16"/>
        <v>100.50118689379471</v>
      </c>
      <c r="G50" s="263">
        <f t="shared" si="16"/>
        <v>101.38467468503315</v>
      </c>
      <c r="H50" s="263">
        <f t="shared" si="16"/>
        <v>102.27592905795474</v>
      </c>
      <c r="J50" s="263">
        <f t="shared" si="17"/>
        <v>-133.20943096480147</v>
      </c>
      <c r="K50" s="263">
        <f t="shared" si="18"/>
        <v>-179.12073976673793</v>
      </c>
      <c r="L50" s="263">
        <f t="shared" si="19"/>
        <v>-193.18876057821208</v>
      </c>
      <c r="M50" s="263">
        <f>G50-$C50</f>
        <v>-192.30527278697366</v>
      </c>
      <c r="N50" s="263">
        <f t="shared" si="21"/>
        <v>-191.41401841405207</v>
      </c>
    </row>
    <row r="51" spans="2:14" x14ac:dyDescent="0.25">
      <c r="B51" s="529" t="s">
        <v>2218</v>
      </c>
      <c r="C51" s="263">
        <f t="shared" si="16"/>
        <v>90.064917224748754</v>
      </c>
      <c r="D51" s="263">
        <f t="shared" si="16"/>
        <v>54.464618371522306</v>
      </c>
      <c r="E51" s="263">
        <f t="shared" si="16"/>
        <v>42.261093833543519</v>
      </c>
      <c r="F51" s="263">
        <f t="shared" si="16"/>
        <v>38.592455767217174</v>
      </c>
      <c r="G51" s="263">
        <f t="shared" si="16"/>
        <v>38.931715079052722</v>
      </c>
      <c r="H51" s="263">
        <f t="shared" si="16"/>
        <v>39.273956758254613</v>
      </c>
      <c r="J51" s="263">
        <f t="shared" si="17"/>
        <v>-35.600298853226448</v>
      </c>
      <c r="K51" s="263">
        <f t="shared" si="18"/>
        <v>-47.803823391205235</v>
      </c>
      <c r="L51" s="263">
        <f t="shared" si="19"/>
        <v>-51.47246145753158</v>
      </c>
      <c r="M51" s="263">
        <f t="shared" si="20"/>
        <v>-51.133202145696032</v>
      </c>
      <c r="N51" s="263">
        <f t="shared" si="21"/>
        <v>-50.790960466494141</v>
      </c>
    </row>
    <row r="52" spans="2:14" x14ac:dyDescent="0.25">
      <c r="B52" s="529" t="s">
        <v>2219</v>
      </c>
      <c r="C52" s="263">
        <f t="shared" si="16"/>
        <v>65.59075493541485</v>
      </c>
      <c r="D52" s="263">
        <f t="shared" si="16"/>
        <v>29.775308139644554</v>
      </c>
      <c r="E52" s="263">
        <f t="shared" si="16"/>
        <v>17.354744332398116</v>
      </c>
      <c r="F52" s="263">
        <f t="shared" si="16"/>
        <v>13.46715904376849</v>
      </c>
      <c r="G52" s="263">
        <f t="shared" si="16"/>
        <v>13.585546407794441</v>
      </c>
      <c r="H52" s="263">
        <f t="shared" si="16"/>
        <v>13.704974493765937</v>
      </c>
      <c r="J52" s="263">
        <f>D52-$C52</f>
        <v>-35.815446795770299</v>
      </c>
      <c r="K52" s="263">
        <f t="shared" si="18"/>
        <v>-48.236010603016737</v>
      </c>
      <c r="L52" s="263">
        <f t="shared" si="19"/>
        <v>-52.12359589164636</v>
      </c>
      <c r="M52" s="263">
        <f t="shared" si="20"/>
        <v>-52.005208527620411</v>
      </c>
      <c r="N52" s="263">
        <f t="shared" si="21"/>
        <v>-51.885780441648912</v>
      </c>
    </row>
    <row r="53" spans="2:14" x14ac:dyDescent="0.25">
      <c r="B53" s="529" t="s">
        <v>2220</v>
      </c>
      <c r="C53" s="263">
        <f t="shared" si="16"/>
        <v>2.0517819873814682</v>
      </c>
      <c r="D53" s="263">
        <f t="shared" si="16"/>
        <v>104.65233996683517</v>
      </c>
      <c r="E53" s="263">
        <f t="shared" si="16"/>
        <v>141.32144353399934</v>
      </c>
      <c r="F53" s="263">
        <f t="shared" si="16"/>
        <v>153.95221309508321</v>
      </c>
      <c r="G53" s="263">
        <f t="shared" si="16"/>
        <v>155.30557920853397</v>
      </c>
      <c r="H53" s="263">
        <f t="shared" si="16"/>
        <v>156.67084251917473</v>
      </c>
      <c r="J53" s="263">
        <f t="shared" si="17"/>
        <v>102.6005579794537</v>
      </c>
      <c r="K53" s="263">
        <f t="shared" si="18"/>
        <v>139.26966154661787</v>
      </c>
      <c r="L53" s="263">
        <f t="shared" si="19"/>
        <v>151.90043110770173</v>
      </c>
      <c r="M53" s="263">
        <f t="shared" si="20"/>
        <v>153.2537972211525</v>
      </c>
      <c r="N53" s="263">
        <f t="shared" si="21"/>
        <v>154.61906053179325</v>
      </c>
    </row>
    <row r="54" spans="2:14" x14ac:dyDescent="0.25">
      <c r="B54" s="529" t="s">
        <v>2221</v>
      </c>
      <c r="C54" s="263">
        <f t="shared" si="16"/>
        <v>259.28219967445636</v>
      </c>
      <c r="D54" s="263">
        <f t="shared" si="16"/>
        <v>124.14411619997102</v>
      </c>
      <c r="E54" s="263">
        <f t="shared" si="16"/>
        <v>77.346670886660988</v>
      </c>
      <c r="F54" s="263">
        <f t="shared" si="16"/>
        <v>62.770899278005146</v>
      </c>
      <c r="G54" s="263">
        <f t="shared" si="16"/>
        <v>63.322706921986295</v>
      </c>
      <c r="H54" s="263">
        <f t="shared" si="16"/>
        <v>63.879365407351884</v>
      </c>
      <c r="J54" s="263">
        <f t="shared" si="17"/>
        <v>-135.13808347448534</v>
      </c>
      <c r="K54" s="263">
        <f t="shared" si="18"/>
        <v>-181.93552878779536</v>
      </c>
      <c r="L54" s="263">
        <f t="shared" si="19"/>
        <v>-196.51130039645122</v>
      </c>
      <c r="M54" s="263">
        <f>G54-$C54</f>
        <v>-195.95949275247006</v>
      </c>
      <c r="N54" s="263">
        <f t="shared" si="21"/>
        <v>-195.40283426710448</v>
      </c>
    </row>
    <row r="55" spans="2:14" x14ac:dyDescent="0.25">
      <c r="B55" s="529" t="s">
        <v>2222</v>
      </c>
      <c r="C55" s="263">
        <f t="shared" si="16"/>
        <v>271.52193509766738</v>
      </c>
      <c r="D55" s="263">
        <f t="shared" si="16"/>
        <v>203.22174635914376</v>
      </c>
      <c r="E55" s="263">
        <f t="shared" si="16"/>
        <v>180.37439125663917</v>
      </c>
      <c r="F55" s="263">
        <f t="shared" si="16"/>
        <v>174.11253762028974</v>
      </c>
      <c r="G55" s="263">
        <f t="shared" si="16"/>
        <v>175.6431295072455</v>
      </c>
      <c r="H55" s="263">
        <f t="shared" si="16"/>
        <v>177.18717655117291</v>
      </c>
      <c r="J55" s="263">
        <f t="shared" ref="J55:J57" si="22">D55-$C55</f>
        <v>-68.300188738523616</v>
      </c>
      <c r="K55" s="263">
        <f t="shared" ref="K55:K57" si="23">E55-$C55</f>
        <v>-91.147543841028209</v>
      </c>
      <c r="L55" s="263">
        <f t="shared" ref="L55:L57" si="24">F55-$C55</f>
        <v>-97.409397477377638</v>
      </c>
      <c r="M55" s="263">
        <f t="shared" ref="M55:M57" si="25">G55-$C55</f>
        <v>-95.878805590421877</v>
      </c>
      <c r="N55" s="263">
        <f t="shared" ref="N55:N56" si="26">H55-$C55</f>
        <v>-94.33475854649447</v>
      </c>
    </row>
    <row r="56" spans="2:14" x14ac:dyDescent="0.25">
      <c r="B56" s="529" t="s">
        <v>2223</v>
      </c>
      <c r="C56" s="263">
        <f t="shared" si="16"/>
        <v>43.688463892460611</v>
      </c>
      <c r="D56" s="263">
        <f t="shared" si="16"/>
        <v>345.61671197013942</v>
      </c>
      <c r="E56" s="263">
        <f t="shared" si="16"/>
        <v>453.74051542500581</v>
      </c>
      <c r="F56" s="263">
        <f t="shared" si="16"/>
        <v>491.20589925684015</v>
      </c>
      <c r="G56" s="263">
        <f t="shared" si="16"/>
        <v>495.52400164339525</v>
      </c>
      <c r="H56" s="263">
        <f t="shared" si="16"/>
        <v>499.88006368851495</v>
      </c>
      <c r="J56" s="263">
        <f t="shared" si="22"/>
        <v>301.9282480776788</v>
      </c>
      <c r="K56" s="263">
        <f>E56-$C56</f>
        <v>410.05205153254519</v>
      </c>
      <c r="L56" s="263">
        <f t="shared" si="24"/>
        <v>447.51743536437954</v>
      </c>
      <c r="M56" s="263">
        <f t="shared" si="25"/>
        <v>451.83553775093463</v>
      </c>
      <c r="N56" s="263">
        <f t="shared" si="26"/>
        <v>456.19159979605433</v>
      </c>
    </row>
    <row r="57" spans="2:14" x14ac:dyDescent="0.25">
      <c r="B57" s="529" t="s">
        <v>2224</v>
      </c>
      <c r="C57" s="263">
        <f t="shared" si="16"/>
        <v>0</v>
      </c>
      <c r="D57" s="263">
        <f t="shared" si="16"/>
        <v>74.658851068275439</v>
      </c>
      <c r="E57" s="263">
        <f t="shared" si="16"/>
        <v>101.33312914053786</v>
      </c>
      <c r="F57" s="263">
        <f t="shared" si="16"/>
        <v>110.5123571739275</v>
      </c>
      <c r="G57" s="263">
        <f t="shared" si="16"/>
        <v>111.48385135585517</v>
      </c>
      <c r="H57" s="263">
        <f t="shared" si="16"/>
        <v>112.46388576775936</v>
      </c>
      <c r="J57" s="263">
        <f t="shared" si="22"/>
        <v>74.658851068275439</v>
      </c>
      <c r="K57" s="263">
        <f t="shared" si="23"/>
        <v>101.33312914053786</v>
      </c>
      <c r="L57" s="263">
        <f t="shared" si="24"/>
        <v>110.5123571739275</v>
      </c>
      <c r="M57" s="263">
        <f t="shared" si="25"/>
        <v>111.48385135585517</v>
      </c>
      <c r="N57" s="263">
        <f>H57-$C57</f>
        <v>112.46388576775936</v>
      </c>
    </row>
    <row r="58" spans="2:14" x14ac:dyDescent="0.25">
      <c r="B58" s="529" t="s">
        <v>2312</v>
      </c>
      <c r="C58" s="263">
        <f t="shared" si="16"/>
        <v>0</v>
      </c>
      <c r="D58" s="263">
        <f t="shared" si="16"/>
        <v>0</v>
      </c>
      <c r="E58" s="263">
        <f t="shared" si="16"/>
        <v>0</v>
      </c>
      <c r="F58" s="263">
        <f t="shared" si="16"/>
        <v>0</v>
      </c>
      <c r="G58" s="263">
        <f t="shared" si="16"/>
        <v>0</v>
      </c>
      <c r="H58" s="263">
        <f t="shared" si="16"/>
        <v>0</v>
      </c>
      <c r="J58" s="263">
        <f t="shared" ref="J58" si="27">D58-$C58</f>
        <v>0</v>
      </c>
      <c r="K58" s="263">
        <f t="shared" ref="K58" si="28">E58-$C58</f>
        <v>0</v>
      </c>
      <c r="L58" s="263">
        <f t="shared" ref="L58" si="29">F58-$C58</f>
        <v>0</v>
      </c>
      <c r="M58" s="263">
        <f t="shared" ref="M58" si="30">G58-$C58</f>
        <v>0</v>
      </c>
      <c r="N58" s="263">
        <f>H58-$C58</f>
        <v>0</v>
      </c>
    </row>
    <row r="59" spans="2:14" x14ac:dyDescent="0.25">
      <c r="C59" s="264">
        <f>SUM(C45:C58)</f>
        <v>1975.8435197507147</v>
      </c>
      <c r="D59" s="264">
        <f t="shared" ref="D59:H59" si="31">SUM(D45:D58)</f>
        <v>1937.7267744134808</v>
      </c>
      <c r="E59" s="264">
        <f t="shared" si="31"/>
        <v>1935.4245781874938</v>
      </c>
      <c r="F59" s="264">
        <f t="shared" si="31"/>
        <v>1946.2786351126344</v>
      </c>
      <c r="G59" s="264">
        <f t="shared" si="31"/>
        <v>1963.3880192464489</v>
      </c>
      <c r="H59" s="264">
        <f t="shared" si="31"/>
        <v>1980.6478088875513</v>
      </c>
      <c r="J59" s="264">
        <f>SUM(J45:J58)</f>
        <v>-38.116745337233809</v>
      </c>
      <c r="K59" s="264">
        <f t="shared" ref="K59:N59" si="32">SUM(K45:K58)</f>
        <v>-40.418941563221409</v>
      </c>
      <c r="L59" s="264">
        <f t="shared" si="32"/>
        <v>-29.564884638080414</v>
      </c>
      <c r="M59" s="264">
        <f t="shared" si="32"/>
        <v>-12.455500504265956</v>
      </c>
      <c r="N59" s="264">
        <f t="shared" si="32"/>
        <v>4.8042891368363314</v>
      </c>
    </row>
  </sheetData>
  <sheetProtection algorithmName="SHA-512" hashValue="oDHRF1xy04RLdydzOkBgoKFSyqQRMKoRVXRkMzgqVUvRnuh3YwUrjrLxm2kdtzkApV3qYUa6CxXRr9PXymVA2Q==" saltValue="QDbjAk/R+WJfevMQsFGQoQ==" spinCount="100000" sheet="1" objects="1" scenarios="1"/>
  <protectedRanges>
    <protectedRange sqref="B6:F19 B27:B41 B45:B58" name="Range1_1"/>
  </protectedRanges>
  <mergeCells count="7">
    <mergeCell ref="C43:H43"/>
    <mergeCell ref="J43:N43"/>
    <mergeCell ref="C4:E4"/>
    <mergeCell ref="C25:H25"/>
    <mergeCell ref="J25:N25"/>
    <mergeCell ref="H17:K18"/>
    <mergeCell ref="H19:K19"/>
  </mergeCell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136"/>
  <sheetViews>
    <sheetView showGridLines="0" zoomScale="90" zoomScaleNormal="90" workbookViewId="0">
      <selection activeCell="C79" sqref="C79"/>
    </sheetView>
  </sheetViews>
  <sheetFormatPr defaultColWidth="9.140625" defaultRowHeight="12.75" x14ac:dyDescent="0.2"/>
  <cols>
    <col min="1" max="1" width="3.5703125" style="3" customWidth="1"/>
    <col min="2" max="2" width="43.28515625" style="3" customWidth="1"/>
    <col min="3" max="3" width="29.85546875" style="3" bestFit="1" customWidth="1"/>
    <col min="4" max="4" width="11.140625" style="3" customWidth="1"/>
    <col min="5" max="5" width="12" style="3" customWidth="1"/>
    <col min="6" max="6" width="12.7109375" style="3" customWidth="1"/>
    <col min="7" max="8" width="11.140625" style="3" customWidth="1"/>
    <col min="9" max="9" width="11.85546875" style="3" customWidth="1"/>
    <col min="10" max="10" width="13.7109375" style="3" customWidth="1"/>
    <col min="11" max="12" width="10.5703125" style="3" customWidth="1"/>
    <col min="13" max="13" width="12.5703125" style="3" customWidth="1"/>
    <col min="14" max="16" width="12.42578125" style="3" customWidth="1"/>
    <col min="17" max="18" width="12.140625" style="3" customWidth="1"/>
    <col min="19" max="19" width="3.5703125" style="3" customWidth="1"/>
    <col min="20" max="20" width="9.42578125" style="3" customWidth="1"/>
    <col min="21" max="16384" width="9.140625" style="3"/>
  </cols>
  <sheetData>
    <row r="1" spans="1:19" ht="30" customHeight="1" x14ac:dyDescent="0.35">
      <c r="A1" s="173"/>
      <c r="B1" s="448" t="str">
        <f>'Inputs and population'!B1</f>
        <v>Enfortumab vedotin with pembrolizumab for untreated unresectable or metastatic urothelial cancer when platinum-based chemotherapy is suitable</v>
      </c>
      <c r="C1" s="135"/>
      <c r="D1" s="119"/>
      <c r="E1" s="119"/>
      <c r="F1" s="119"/>
      <c r="G1" s="119"/>
      <c r="H1" s="119"/>
      <c r="I1" s="119"/>
      <c r="J1" s="119" t="s">
        <v>599</v>
      </c>
      <c r="K1" s="119" t="s">
        <v>599</v>
      </c>
      <c r="L1" s="119" t="s">
        <v>599</v>
      </c>
      <c r="M1" s="119" t="s">
        <v>599</v>
      </c>
      <c r="N1" s="141"/>
      <c r="O1" s="141"/>
      <c r="P1" s="141"/>
      <c r="Q1" s="173"/>
      <c r="R1" s="173"/>
      <c r="S1" s="173"/>
    </row>
    <row r="2" spans="1:19" ht="26.25" customHeight="1" x14ac:dyDescent="0.35">
      <c r="A2" s="173"/>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73"/>
      <c r="R2" s="173"/>
      <c r="S2" s="173"/>
    </row>
    <row r="3" spans="1:19" ht="14.45" customHeight="1" x14ac:dyDescent="0.35">
      <c r="A3" s="173"/>
      <c r="B3" s="117"/>
      <c r="C3" s="135"/>
      <c r="D3" s="119"/>
      <c r="E3" s="119"/>
      <c r="F3" s="119"/>
      <c r="G3" s="119" t="s">
        <v>599</v>
      </c>
      <c r="H3" s="119" t="s">
        <v>599</v>
      </c>
      <c r="I3" s="119" t="s">
        <v>599</v>
      </c>
      <c r="J3" s="119" t="s">
        <v>599</v>
      </c>
      <c r="K3" s="120" t="s">
        <v>599</v>
      </c>
      <c r="L3" s="120"/>
      <c r="M3" s="120"/>
      <c r="N3" s="120"/>
      <c r="O3" s="120"/>
      <c r="P3" s="120"/>
      <c r="Q3" s="173"/>
      <c r="R3" s="173"/>
      <c r="S3" s="173"/>
    </row>
    <row r="4" spans="1:19" ht="14.45" customHeight="1" x14ac:dyDescent="0.35">
      <c r="A4" s="173"/>
      <c r="B4" t="s">
        <v>681</v>
      </c>
      <c r="C4" s="135"/>
      <c r="D4" s="119"/>
      <c r="E4" s="119"/>
      <c r="F4" s="119"/>
      <c r="G4" s="119" t="s">
        <v>599</v>
      </c>
      <c r="H4" s="119" t="s">
        <v>599</v>
      </c>
      <c r="I4" s="119" t="s">
        <v>599</v>
      </c>
      <c r="J4" s="119" t="s">
        <v>599</v>
      </c>
      <c r="K4" s="120" t="s">
        <v>599</v>
      </c>
      <c r="L4" s="119"/>
      <c r="M4" s="120"/>
      <c r="N4" s="120"/>
      <c r="O4" s="120"/>
      <c r="P4" s="120"/>
      <c r="Q4" s="120"/>
      <c r="R4" s="120"/>
      <c r="S4" s="120"/>
    </row>
    <row r="5" spans="1:19" ht="14.45" customHeight="1" x14ac:dyDescent="0.35">
      <c r="A5" s="173"/>
      <c r="B5" t="s">
        <v>581</v>
      </c>
      <c r="C5" s="135"/>
      <c r="D5" s="119"/>
      <c r="E5" s="119"/>
      <c r="F5" s="119"/>
      <c r="G5" s="119"/>
      <c r="H5" s="119" t="s">
        <v>599</v>
      </c>
      <c r="I5" s="119" t="s">
        <v>599</v>
      </c>
      <c r="J5" s="119" t="s">
        <v>599</v>
      </c>
      <c r="K5" s="120" t="s">
        <v>599</v>
      </c>
      <c r="L5" s="119"/>
      <c r="M5" s="120"/>
      <c r="N5" s="120"/>
      <c r="O5" s="120"/>
      <c r="P5" s="120"/>
      <c r="Q5" s="120"/>
      <c r="R5" s="120"/>
      <c r="S5" s="120"/>
    </row>
    <row r="6" spans="1:19" ht="14.45" customHeight="1" x14ac:dyDescent="0.35">
      <c r="A6" s="173"/>
      <c r="B6"/>
      <c r="C6" s="135"/>
      <c r="D6" s="853"/>
      <c r="E6" s="119"/>
      <c r="F6" s="119"/>
      <c r="G6" s="119"/>
      <c r="H6" s="119"/>
      <c r="I6" s="119"/>
      <c r="J6" s="119"/>
      <c r="K6" s="120"/>
      <c r="L6" s="119"/>
      <c r="M6" s="120"/>
      <c r="N6" s="120"/>
      <c r="O6" s="120"/>
      <c r="P6" s="120"/>
      <c r="Q6" s="120"/>
      <c r="R6" s="120"/>
      <c r="S6" s="120"/>
    </row>
    <row r="7" spans="1:19" ht="19.5" customHeight="1" x14ac:dyDescent="0.35">
      <c r="A7" s="173"/>
      <c r="B7" s="136" t="s">
        <v>682</v>
      </c>
      <c r="C7" s="135"/>
      <c r="D7" s="1048" t="s">
        <v>2167</v>
      </c>
      <c r="E7" s="1049"/>
      <c r="F7" s="1049"/>
      <c r="G7" s="1049"/>
      <c r="H7" s="1049"/>
      <c r="I7" s="1050"/>
      <c r="J7" s="120"/>
      <c r="K7" s="120"/>
      <c r="L7" s="120"/>
      <c r="M7" s="120"/>
      <c r="N7" s="120"/>
      <c r="O7" s="141"/>
      <c r="P7" s="141"/>
      <c r="Q7" s="141"/>
      <c r="R7" s="141"/>
    </row>
    <row r="8" spans="1:19" ht="34.15" customHeight="1" x14ac:dyDescent="0.25">
      <c r="A8" s="173"/>
      <c r="B8" s="693"/>
      <c r="C8" s="694"/>
      <c r="D8" s="222" t="s">
        <v>2185</v>
      </c>
      <c r="E8" s="222" t="s">
        <v>2188</v>
      </c>
      <c r="F8" s="222" t="s">
        <v>2237</v>
      </c>
      <c r="G8" s="222" t="s">
        <v>2251</v>
      </c>
      <c r="H8" s="222" t="s">
        <v>2190</v>
      </c>
      <c r="I8" s="222" t="s">
        <v>2260</v>
      </c>
      <c r="J8" s="120"/>
      <c r="K8" s="120"/>
      <c r="L8" s="120"/>
      <c r="M8" s="120"/>
      <c r="N8" s="120"/>
      <c r="O8" s="141"/>
      <c r="P8" s="141"/>
      <c r="Q8" s="141"/>
      <c r="R8" s="141"/>
    </row>
    <row r="9" spans="1:19" ht="14.45" customHeight="1" x14ac:dyDescent="0.25">
      <c r="A9" s="173"/>
      <c r="B9" s="660" t="s">
        <v>683</v>
      </c>
      <c r="C9" s="661"/>
      <c r="D9" s="662">
        <f>J25+J26</f>
        <v>95</v>
      </c>
      <c r="E9" s="662">
        <f>J27</f>
        <v>200</v>
      </c>
      <c r="F9" s="662">
        <f>J47</f>
        <v>1790</v>
      </c>
      <c r="G9" s="662">
        <f>H48</f>
        <v>125.3</v>
      </c>
      <c r="H9" s="662">
        <f>J64</f>
        <v>450</v>
      </c>
      <c r="I9" s="662">
        <f>K79</f>
        <v>1200</v>
      </c>
      <c r="J9" s="120"/>
      <c r="K9" s="120"/>
      <c r="L9" s="120"/>
      <c r="M9" s="120"/>
      <c r="N9" s="120"/>
      <c r="O9" s="141"/>
      <c r="P9" s="141"/>
      <c r="Q9" s="141"/>
      <c r="R9" s="141"/>
    </row>
    <row r="10" spans="1:19" ht="14.45" customHeight="1" x14ac:dyDescent="0.2">
      <c r="A10" s="173"/>
      <c r="B10" s="119"/>
      <c r="C10" s="119"/>
      <c r="D10" s="119"/>
      <c r="E10" s="119"/>
      <c r="F10" s="119"/>
      <c r="G10" s="119"/>
      <c r="H10" s="119"/>
      <c r="I10" s="120"/>
      <c r="J10" s="120"/>
      <c r="K10" s="120"/>
      <c r="L10" s="120"/>
      <c r="M10" s="120"/>
      <c r="N10" s="120"/>
      <c r="O10" s="120"/>
      <c r="P10" s="141"/>
      <c r="Q10" s="141"/>
      <c r="R10" s="141"/>
      <c r="S10" s="141"/>
    </row>
    <row r="11" spans="1:19" ht="30" customHeight="1" x14ac:dyDescent="0.25">
      <c r="A11" s="173"/>
      <c r="B11" s="666" t="s">
        <v>2305</v>
      </c>
      <c r="C11" s="667"/>
      <c r="D11" s="222" t="s">
        <v>2185</v>
      </c>
      <c r="E11" s="222" t="s">
        <v>2237</v>
      </c>
      <c r="F11" s="222" t="s">
        <v>2238</v>
      </c>
      <c r="G11" s="222" t="s">
        <v>2260</v>
      </c>
      <c r="H11" s="119"/>
      <c r="I11" s="120"/>
      <c r="J11" s="120"/>
      <c r="K11" s="120"/>
      <c r="L11" s="120"/>
      <c r="M11" s="120"/>
      <c r="N11" s="120"/>
      <c r="O11" s="120"/>
      <c r="P11" s="141"/>
      <c r="Q11" s="141"/>
      <c r="R11" s="141"/>
      <c r="S11" s="141"/>
    </row>
    <row r="12" spans="1:19" ht="14.45" customHeight="1" x14ac:dyDescent="0.25">
      <c r="A12" s="173"/>
      <c r="B12" s="663" t="s">
        <v>685</v>
      </c>
      <c r="C12" s="661"/>
      <c r="D12" s="664">
        <f>R28</f>
        <v>0</v>
      </c>
      <c r="E12" s="664">
        <f>R49</f>
        <v>0</v>
      </c>
      <c r="F12" s="664">
        <f>R65</f>
        <v>0</v>
      </c>
      <c r="G12" s="664">
        <f>R82</f>
        <v>0</v>
      </c>
      <c r="H12" s="119"/>
      <c r="I12" s="120"/>
      <c r="J12" s="120"/>
      <c r="K12" s="120"/>
      <c r="L12" s="120"/>
      <c r="M12" s="120"/>
      <c r="N12" s="120"/>
      <c r="O12" s="120"/>
      <c r="P12" s="141"/>
      <c r="Q12" s="141"/>
      <c r="R12" s="141"/>
      <c r="S12" s="141"/>
    </row>
    <row r="13" spans="1:19" ht="14.45" customHeight="1" x14ac:dyDescent="0.25">
      <c r="A13" s="173"/>
      <c r="B13" s="663" t="s">
        <v>472</v>
      </c>
      <c r="C13" s="661"/>
      <c r="D13" s="664">
        <f>R31</f>
        <v>0</v>
      </c>
      <c r="E13" s="956"/>
      <c r="F13" s="956"/>
      <c r="G13" s="956"/>
      <c r="H13" s="119"/>
      <c r="I13" s="120"/>
      <c r="J13" s="120"/>
      <c r="K13" s="120"/>
      <c r="L13" s="120"/>
      <c r="M13" s="120"/>
      <c r="N13" s="120"/>
      <c r="O13" s="120"/>
      <c r="P13" s="141"/>
      <c r="Q13" s="141"/>
      <c r="R13" s="141"/>
      <c r="S13" s="141"/>
    </row>
    <row r="14" spans="1:19" ht="14.45" customHeight="1" x14ac:dyDescent="0.25">
      <c r="A14" s="173"/>
      <c r="B14" s="659" t="s">
        <v>2288</v>
      </c>
      <c r="C14" s="119"/>
      <c r="D14" s="119"/>
      <c r="E14" s="119"/>
      <c r="F14" s="119"/>
      <c r="G14" s="119"/>
      <c r="H14" s="119"/>
      <c r="I14" s="119"/>
      <c r="J14" s="119"/>
      <c r="K14" s="120"/>
      <c r="L14" s="119"/>
      <c r="M14" s="120"/>
      <c r="N14" s="120"/>
      <c r="O14" s="120"/>
      <c r="P14" s="120"/>
      <c r="Q14" s="120"/>
      <c r="R14" s="120"/>
      <c r="S14" s="120"/>
    </row>
    <row r="15" spans="1:19" ht="14.45" customHeight="1" x14ac:dyDescent="0.35">
      <c r="A15" s="173"/>
      <c r="B15" s="135"/>
      <c r="C15" s="135"/>
      <c r="D15" s="1051" t="s">
        <v>684</v>
      </c>
      <c r="E15" s="1052"/>
      <c r="F15" s="1052"/>
      <c r="G15" s="1053"/>
      <c r="H15" s="1051" t="s">
        <v>2307</v>
      </c>
      <c r="I15" s="1052"/>
      <c r="J15" s="1052"/>
      <c r="K15" s="1053"/>
      <c r="L15" s="119"/>
      <c r="M15" s="120"/>
      <c r="N15" s="120"/>
      <c r="O15" s="120"/>
      <c r="P15" s="120"/>
      <c r="Q15" s="120"/>
      <c r="R15" s="120"/>
      <c r="S15" s="120"/>
    </row>
    <row r="16" spans="1:19" ht="29.45" customHeight="1" x14ac:dyDescent="0.25">
      <c r="A16" s="173"/>
      <c r="B16" s="666" t="s">
        <v>2306</v>
      </c>
      <c r="C16" s="667"/>
      <c r="D16" s="222" t="s">
        <v>2185</v>
      </c>
      <c r="E16" s="222" t="s">
        <v>2237</v>
      </c>
      <c r="F16" s="222" t="s">
        <v>2238</v>
      </c>
      <c r="G16" s="222" t="s">
        <v>2260</v>
      </c>
      <c r="H16" s="222" t="s">
        <v>2185</v>
      </c>
      <c r="I16" s="222" t="s">
        <v>2237</v>
      </c>
      <c r="J16" s="222" t="s">
        <v>2238</v>
      </c>
      <c r="K16" s="222" t="s">
        <v>2260</v>
      </c>
      <c r="L16" s="141"/>
      <c r="M16" s="141"/>
      <c r="N16" s="141"/>
      <c r="O16" s="141"/>
      <c r="P16" s="141"/>
      <c r="Q16" s="141"/>
      <c r="R16" s="141"/>
      <c r="S16" s="141"/>
    </row>
    <row r="17" spans="1:22" ht="14.45" customHeight="1" x14ac:dyDescent="0.25">
      <c r="A17" s="173"/>
      <c r="B17" s="663" t="s">
        <v>685</v>
      </c>
      <c r="C17" s="661"/>
      <c r="D17" s="662">
        <f>'Inputs and population'!G63</f>
        <v>0</v>
      </c>
      <c r="E17" s="662">
        <f>'Inputs and population'!G65</f>
        <v>0</v>
      </c>
      <c r="F17" s="662">
        <f>'Inputs and population'!G67</f>
        <v>0</v>
      </c>
      <c r="G17" s="662">
        <f>'Inputs and population'!H67</f>
        <v>0</v>
      </c>
      <c r="H17" s="662">
        <f>$O$35*D17</f>
        <v>0</v>
      </c>
      <c r="I17" s="662">
        <f>$O$54*E17</f>
        <v>0</v>
      </c>
      <c r="J17" s="662">
        <f>$O$70*F17</f>
        <v>0</v>
      </c>
      <c r="K17" s="662">
        <f>$O$70*G17</f>
        <v>0</v>
      </c>
      <c r="L17" s="141"/>
      <c r="M17" s="141"/>
      <c r="N17" s="141"/>
      <c r="O17" s="141"/>
      <c r="P17" s="141"/>
      <c r="Q17" s="141"/>
      <c r="R17" s="141"/>
      <c r="S17" s="141"/>
    </row>
    <row r="18" spans="1:22" ht="14.45" customHeight="1" x14ac:dyDescent="0.25">
      <c r="A18" s="173"/>
      <c r="B18" s="663" t="s">
        <v>472</v>
      </c>
      <c r="C18" s="661"/>
      <c r="D18" s="662">
        <f>'Inputs and population'!H63</f>
        <v>0</v>
      </c>
      <c r="E18" s="662">
        <f>'Inputs and population'!H65</f>
        <v>0</v>
      </c>
      <c r="F18" s="662">
        <f>'Inputs and population'!H67</f>
        <v>0</v>
      </c>
      <c r="G18" s="662">
        <f>'Inputs and population'!I67</f>
        <v>0</v>
      </c>
      <c r="H18" s="662">
        <f>$O$35*D18</f>
        <v>0</v>
      </c>
      <c r="I18" s="662">
        <f>$O$54*E18</f>
        <v>0</v>
      </c>
      <c r="J18" s="662">
        <f>$O$70*F18</f>
        <v>0</v>
      </c>
      <c r="K18" s="662">
        <f>$O$70*G18</f>
        <v>0</v>
      </c>
      <c r="L18" s="141"/>
      <c r="M18" s="141"/>
      <c r="N18" s="141"/>
      <c r="O18" s="141"/>
      <c r="P18" s="141"/>
      <c r="Q18" s="141"/>
      <c r="R18" s="141"/>
      <c r="S18" s="141"/>
    </row>
    <row r="19" spans="1:22" ht="14.45" customHeight="1" x14ac:dyDescent="0.35">
      <c r="A19" s="173"/>
      <c r="B19" s="659"/>
      <c r="C19" s="135"/>
      <c r="D19" s="119"/>
      <c r="E19" s="119"/>
      <c r="F19" s="119"/>
      <c r="G19" s="119"/>
      <c r="H19" s="119"/>
      <c r="I19" s="119"/>
      <c r="J19" s="119"/>
      <c r="K19" s="120"/>
      <c r="L19" s="119"/>
      <c r="M19" s="120"/>
      <c r="N19" s="120"/>
      <c r="O19" s="120"/>
      <c r="P19" s="120"/>
      <c r="Q19" s="120"/>
      <c r="R19" s="120"/>
      <c r="S19" s="120"/>
    </row>
    <row r="20" spans="1:22" ht="14.45" customHeight="1" x14ac:dyDescent="0.35">
      <c r="A20" s="173"/>
      <c r="B20" s="764" t="s">
        <v>2304</v>
      </c>
      <c r="C20" s="765"/>
      <c r="D20" s="668"/>
      <c r="E20" s="668"/>
      <c r="F20" s="668"/>
      <c r="G20" s="668"/>
      <c r="H20" s="668"/>
      <c r="I20" s="668"/>
      <c r="J20" s="668"/>
      <c r="K20" s="668"/>
      <c r="L20" s="668"/>
      <c r="M20" s="668"/>
      <c r="N20" s="668"/>
      <c r="O20" s="668"/>
      <c r="P20" s="668"/>
      <c r="Q20" s="668"/>
      <c r="R20" s="766"/>
      <c r="S20" s="120"/>
    </row>
    <row r="21" spans="1:22" ht="14.45" customHeight="1" thickBot="1" x14ac:dyDescent="0.4">
      <c r="A21" s="173"/>
      <c r="B21" s="775" t="s">
        <v>686</v>
      </c>
      <c r="C21" s="960"/>
      <c r="D21" s="961"/>
      <c r="E21" s="961"/>
      <c r="F21" s="961"/>
      <c r="G21" s="961"/>
      <c r="H21" s="773"/>
      <c r="I21" s="773"/>
      <c r="J21" s="773"/>
      <c r="K21" s="773"/>
      <c r="L21" s="773"/>
      <c r="M21" s="773"/>
      <c r="N21" s="773"/>
      <c r="O21" s="773"/>
      <c r="P21" s="773"/>
      <c r="Q21" s="773"/>
      <c r="R21" s="774"/>
      <c r="S21" s="120"/>
    </row>
    <row r="22" spans="1:22" s="218" customFormat="1" ht="15" x14ac:dyDescent="0.25">
      <c r="A22" s="669"/>
      <c r="B22" s="220"/>
      <c r="C22" s="962" t="s">
        <v>609</v>
      </c>
      <c r="D22" s="963"/>
      <c r="E22" s="963"/>
      <c r="F22" s="963"/>
      <c r="G22" s="964"/>
      <c r="H22" s="957" t="s">
        <v>687</v>
      </c>
      <c r="I22" s="769"/>
      <c r="J22" s="769"/>
      <c r="K22" s="769"/>
      <c r="L22" s="769"/>
      <c r="M22" s="769"/>
      <c r="N22" s="769"/>
      <c r="O22" s="769"/>
      <c r="P22" s="769"/>
      <c r="Q22" s="769"/>
      <c r="R22" s="770"/>
      <c r="S22" s="120"/>
      <c r="V22" s="3"/>
    </row>
    <row r="23" spans="1:22" s="218" customFormat="1" ht="58.15" customHeight="1" x14ac:dyDescent="0.25">
      <c r="A23" s="220"/>
      <c r="B23" s="884" t="s">
        <v>688</v>
      </c>
      <c r="C23" s="965" t="s">
        <v>612</v>
      </c>
      <c r="D23" s="885" t="s">
        <v>613</v>
      </c>
      <c r="E23" s="885" t="s">
        <v>614</v>
      </c>
      <c r="F23" s="885" t="s">
        <v>615</v>
      </c>
      <c r="G23" s="966" t="s">
        <v>616</v>
      </c>
      <c r="H23" s="958" t="s">
        <v>689</v>
      </c>
      <c r="I23" s="885" t="s">
        <v>691</v>
      </c>
      <c r="J23" s="885" t="s">
        <v>709</v>
      </c>
      <c r="K23" s="885" t="s">
        <v>692</v>
      </c>
      <c r="L23" s="885" t="s">
        <v>693</v>
      </c>
      <c r="M23" s="887" t="s">
        <v>2249</v>
      </c>
      <c r="N23" s="887" t="s">
        <v>2250</v>
      </c>
      <c r="O23" s="887" t="s">
        <v>696</v>
      </c>
      <c r="P23" s="915" t="s">
        <v>2254</v>
      </c>
      <c r="Q23" s="886" t="s">
        <v>697</v>
      </c>
      <c r="R23" s="885" t="s">
        <v>698</v>
      </c>
      <c r="S23" s="120"/>
      <c r="V23" s="3"/>
    </row>
    <row r="24" spans="1:22" s="218" customFormat="1" ht="14.45" customHeight="1" x14ac:dyDescent="0.25">
      <c r="A24" s="220"/>
      <c r="B24" s="224" t="s">
        <v>471</v>
      </c>
      <c r="C24" s="967"/>
      <c r="D24" s="875"/>
      <c r="E24" s="875"/>
      <c r="F24" s="875"/>
      <c r="G24" s="968"/>
      <c r="H24" s="896"/>
      <c r="I24" s="875"/>
      <c r="J24" s="875"/>
      <c r="K24" s="875"/>
      <c r="L24" s="875"/>
      <c r="M24" s="875"/>
      <c r="N24" s="875"/>
      <c r="O24" s="875"/>
      <c r="P24" s="896"/>
      <c r="Q24" s="896"/>
      <c r="R24" s="776"/>
      <c r="S24" s="120"/>
      <c r="V24" s="3"/>
    </row>
    <row r="25" spans="1:22" s="218" customFormat="1" ht="15" x14ac:dyDescent="0.25">
      <c r="A25" s="220"/>
      <c r="B25" s="888" t="str">
        <f>'Inputs and population'!C79</f>
        <v>Enfortumab vedotin - 20mg</v>
      </c>
      <c r="C25" s="969" t="str">
        <f>'Inputs and population'!D79</f>
        <v>IV</v>
      </c>
      <c r="D25" s="889" t="str">
        <f>'Inputs and population'!E79</f>
        <v>vial</v>
      </c>
      <c r="E25" s="890">
        <f>'Inputs and population'!F79</f>
        <v>20</v>
      </c>
      <c r="F25" s="890">
        <f>'Inputs and population'!G79</f>
        <v>1</v>
      </c>
      <c r="G25" s="970">
        <f>'Inputs and population'!H79</f>
        <v>20</v>
      </c>
      <c r="H25" s="959">
        <f>'Inputs and population'!I79</f>
        <v>5</v>
      </c>
      <c r="I25" s="891">
        <f>'Inputs and population'!$D$91</f>
        <v>75.89</v>
      </c>
      <c r="J25" s="890">
        <f>H25</f>
        <v>5</v>
      </c>
      <c r="K25" s="892">
        <f>'Inputs and population'!J79</f>
        <v>2</v>
      </c>
      <c r="L25" s="892">
        <f>'Inputs and population'!G63</f>
        <v>0</v>
      </c>
      <c r="M25" s="908">
        <f>ROUNDUP(J25/G25,0)</f>
        <v>1</v>
      </c>
      <c r="N25" s="893">
        <f>K25*L25*M25</f>
        <v>0</v>
      </c>
      <c r="O25" s="894">
        <f>'Inputs and population'!L79</f>
        <v>0</v>
      </c>
      <c r="P25" s="895">
        <f>'Inputs and population'!K79</f>
        <v>1</v>
      </c>
      <c r="Q25" s="895">
        <f>'Inputs and population'!M79</f>
        <v>0.2</v>
      </c>
      <c r="R25" s="877">
        <f>(N25*O25*(100%+Q25))*P25</f>
        <v>0</v>
      </c>
      <c r="S25" s="120"/>
      <c r="V25" s="3"/>
    </row>
    <row r="26" spans="1:22" s="218" customFormat="1" ht="15" x14ac:dyDescent="0.25">
      <c r="A26" s="220"/>
      <c r="B26" s="729" t="str">
        <f>'Inputs and population'!C80</f>
        <v>Enfortumab vedotin - 30mg</v>
      </c>
      <c r="C26" s="971" t="str">
        <f>'Inputs and population'!D80</f>
        <v>IV</v>
      </c>
      <c r="D26" s="727" t="str">
        <f>'Inputs and population'!E80</f>
        <v>vial</v>
      </c>
      <c r="E26" s="728">
        <f>'Inputs and population'!F80</f>
        <v>30</v>
      </c>
      <c r="F26" s="728">
        <f>'Inputs and population'!G80</f>
        <v>1</v>
      </c>
      <c r="G26" s="972">
        <f>'Inputs and population'!H80</f>
        <v>30</v>
      </c>
      <c r="H26" s="767">
        <f>'Inputs and population'!I80</f>
        <v>90</v>
      </c>
      <c r="I26" s="732">
        <f>'Inputs and population'!$D$91</f>
        <v>75.89</v>
      </c>
      <c r="J26" s="728">
        <f>H26</f>
        <v>90</v>
      </c>
      <c r="K26" s="529">
        <f>'Inputs and population'!J80</f>
        <v>2</v>
      </c>
      <c r="L26" s="529">
        <f>'Inputs and population'!G63</f>
        <v>0</v>
      </c>
      <c r="M26" s="909">
        <f>ROUNDUP(J26/G26,0)</f>
        <v>3</v>
      </c>
      <c r="N26" s="733">
        <f>K26*L26*M26</f>
        <v>0</v>
      </c>
      <c r="O26" s="734">
        <f>'Inputs and population'!L80</f>
        <v>0</v>
      </c>
      <c r="P26" s="895">
        <f>'Inputs and population'!K80</f>
        <v>1</v>
      </c>
      <c r="Q26" s="735">
        <f>'Inputs and population'!M80</f>
        <v>0.2</v>
      </c>
      <c r="R26" s="877">
        <f>(N26*O26*(100%+Q26))*P26</f>
        <v>0</v>
      </c>
      <c r="S26" s="120"/>
      <c r="V26" s="3"/>
    </row>
    <row r="27" spans="1:22" s="218" customFormat="1" ht="15.75" thickBot="1" x14ac:dyDescent="0.3">
      <c r="A27" s="220"/>
      <c r="B27" s="729" t="str">
        <f>'Inputs and population'!C81</f>
        <v>Pembrolizumab</v>
      </c>
      <c r="C27" s="973" t="str">
        <f>'Inputs and population'!D81</f>
        <v>IV</v>
      </c>
      <c r="D27" s="974" t="str">
        <f>'Inputs and population'!E81</f>
        <v>vial</v>
      </c>
      <c r="E27" s="975">
        <f>'Inputs and population'!F81</f>
        <v>100</v>
      </c>
      <c r="F27" s="975">
        <f>'Inputs and population'!G81</f>
        <v>1</v>
      </c>
      <c r="G27" s="976">
        <f>'Inputs and population'!H81</f>
        <v>100</v>
      </c>
      <c r="H27" s="767">
        <f>'Inputs and population'!I81</f>
        <v>200</v>
      </c>
      <c r="I27" s="732">
        <f>'Inputs and population'!$D$91</f>
        <v>75.89</v>
      </c>
      <c r="J27" s="728">
        <f>H27</f>
        <v>200</v>
      </c>
      <c r="K27" s="529">
        <f>'Inputs and population'!J81</f>
        <v>1</v>
      </c>
      <c r="L27" s="529">
        <f>'Inputs and population'!G64</f>
        <v>0</v>
      </c>
      <c r="M27" s="909">
        <f>ROUNDUP(J27/G27,0)</f>
        <v>2</v>
      </c>
      <c r="N27" s="733">
        <f t="shared" ref="N27" si="0">K27*L27*M27</f>
        <v>0</v>
      </c>
      <c r="O27" s="734">
        <f>'Inputs and population'!L81</f>
        <v>0</v>
      </c>
      <c r="P27" s="895">
        <f>'Inputs and population'!K81</f>
        <v>1</v>
      </c>
      <c r="Q27" s="735">
        <f>'Inputs and population'!M81</f>
        <v>0.2</v>
      </c>
      <c r="R27" s="877">
        <f>(N27*O27*(100%+Q27))*P27</f>
        <v>0</v>
      </c>
      <c r="S27" s="120"/>
      <c r="V27" s="3"/>
    </row>
    <row r="28" spans="1:22" s="218" customFormat="1" ht="15.75" thickBot="1" x14ac:dyDescent="0.3">
      <c r="A28" s="220"/>
      <c r="B28" s="764" t="s">
        <v>472</v>
      </c>
      <c r="C28" s="977"/>
      <c r="D28" s="977"/>
      <c r="E28" s="978"/>
      <c r="F28" s="978"/>
      <c r="G28" s="978"/>
      <c r="H28" s="878"/>
      <c r="I28" s="879"/>
      <c r="J28" s="878"/>
      <c r="K28" s="880"/>
      <c r="L28" s="880"/>
      <c r="M28" s="881"/>
      <c r="N28" s="881"/>
      <c r="O28" s="882"/>
      <c r="P28" s="883"/>
      <c r="Q28" s="920" t="s">
        <v>2257</v>
      </c>
      <c r="R28" s="538">
        <f>SUM(R25:R27)</f>
        <v>0</v>
      </c>
      <c r="S28" s="120"/>
      <c r="V28" s="3"/>
    </row>
    <row r="29" spans="1:22" s="218" customFormat="1" ht="15" x14ac:dyDescent="0.25">
      <c r="A29" s="220"/>
      <c r="B29" s="888" t="str">
        <f>'Inputs and population'!C79</f>
        <v>Enfortumab vedotin - 20mg</v>
      </c>
      <c r="C29" s="979" t="str">
        <f>'Inputs and population'!D79</f>
        <v>IV</v>
      </c>
      <c r="D29" s="980" t="str">
        <f>'Inputs and population'!E79</f>
        <v>vial</v>
      </c>
      <c r="E29" s="981">
        <f>'Inputs and population'!F79</f>
        <v>20</v>
      </c>
      <c r="F29" s="981">
        <f>'Inputs and population'!G79</f>
        <v>1</v>
      </c>
      <c r="G29" s="982">
        <f>'Inputs and population'!H79</f>
        <v>20</v>
      </c>
      <c r="H29" s="959">
        <f>'Inputs and population'!I79</f>
        <v>5</v>
      </c>
      <c r="I29" s="891">
        <f>'Inputs and population'!$D$91</f>
        <v>75.89</v>
      </c>
      <c r="J29" s="890">
        <f>H25</f>
        <v>5</v>
      </c>
      <c r="K29" s="892">
        <f>'Inputs and population'!J79</f>
        <v>2</v>
      </c>
      <c r="L29" s="892">
        <f>'Inputs and population'!H63</f>
        <v>0</v>
      </c>
      <c r="M29" s="908">
        <f>ROUNDUP(J25/G25,0)</f>
        <v>1</v>
      </c>
      <c r="N29" s="908">
        <f>K29*L29*M29</f>
        <v>0</v>
      </c>
      <c r="O29" s="894">
        <f>'Inputs and population'!L79</f>
        <v>0</v>
      </c>
      <c r="P29" s="895">
        <f>'Inputs and population'!K79</f>
        <v>1</v>
      </c>
      <c r="Q29" s="895">
        <f>'Inputs and population'!M79</f>
        <v>0.2</v>
      </c>
      <c r="R29" s="877">
        <f>(N29*O29*(100%+Q29))*P29</f>
        <v>0</v>
      </c>
      <c r="S29" s="120"/>
      <c r="V29" s="3"/>
    </row>
    <row r="30" spans="1:22" s="218" customFormat="1" ht="15.75" thickBot="1" x14ac:dyDescent="0.3">
      <c r="A30" s="220"/>
      <c r="B30" s="729" t="str">
        <f>'Inputs and population'!C80</f>
        <v>Enfortumab vedotin - 30mg</v>
      </c>
      <c r="C30" s="973" t="str">
        <f>'Inputs and population'!D80</f>
        <v>IV</v>
      </c>
      <c r="D30" s="974" t="str">
        <f>'Inputs and population'!E80</f>
        <v>vial</v>
      </c>
      <c r="E30" s="975">
        <f>'Inputs and population'!F80</f>
        <v>30</v>
      </c>
      <c r="F30" s="975">
        <f>'Inputs and population'!G80</f>
        <v>1</v>
      </c>
      <c r="G30" s="976">
        <f>'Inputs and population'!H80</f>
        <v>30</v>
      </c>
      <c r="H30" s="767">
        <f>'Inputs and population'!I80</f>
        <v>90</v>
      </c>
      <c r="I30" s="732">
        <f>'Inputs and population'!$D$91</f>
        <v>75.89</v>
      </c>
      <c r="J30" s="728">
        <f>H26</f>
        <v>90</v>
      </c>
      <c r="K30" s="529">
        <f>'Inputs and population'!J80</f>
        <v>2</v>
      </c>
      <c r="L30" s="892">
        <f>'Inputs and population'!H63</f>
        <v>0</v>
      </c>
      <c r="M30" s="909">
        <f>ROUNDUP(J26/G26,0)</f>
        <v>3</v>
      </c>
      <c r="N30" s="908">
        <f>K30*L30*M30</f>
        <v>0</v>
      </c>
      <c r="O30" s="734">
        <f>'Inputs and population'!L80</f>
        <v>0</v>
      </c>
      <c r="P30" s="895">
        <f>'Inputs and population'!K80</f>
        <v>1</v>
      </c>
      <c r="Q30" s="735">
        <f>'Inputs and population'!M80</f>
        <v>0.2</v>
      </c>
      <c r="R30" s="877">
        <f>(N30*O30*(100%+Q30))*P30</f>
        <v>0</v>
      </c>
      <c r="S30" s="120"/>
      <c r="V30" s="3"/>
    </row>
    <row r="31" spans="1:22" s="218" customFormat="1" ht="15" x14ac:dyDescent="0.25">
      <c r="A31" s="220"/>
      <c r="B31" s="223" t="s">
        <v>701</v>
      </c>
      <c r="C31" s="534"/>
      <c r="D31" s="534"/>
      <c r="E31" s="534"/>
      <c r="F31" s="534"/>
      <c r="G31" s="534"/>
      <c r="H31" s="534"/>
      <c r="I31" s="534"/>
      <c r="J31" s="534"/>
      <c r="K31" s="534"/>
      <c r="L31" s="534"/>
      <c r="M31" s="534"/>
      <c r="N31" s="534"/>
      <c r="O31" s="534"/>
      <c r="P31" s="534"/>
      <c r="Q31" s="921" t="s">
        <v>2258</v>
      </c>
      <c r="R31" s="538">
        <f>R29+R30</f>
        <v>0</v>
      </c>
      <c r="S31" s="120"/>
      <c r="V31" s="3"/>
    </row>
    <row r="32" spans="1:22" s="218" customFormat="1" ht="15" x14ac:dyDescent="0.25">
      <c r="A32" s="669"/>
      <c r="B32" s="220"/>
      <c r="C32" s="220"/>
      <c r="D32" s="220"/>
      <c r="E32" s="220"/>
      <c r="F32" s="220"/>
      <c r="G32" s="220"/>
      <c r="H32" s="220"/>
      <c r="I32" s="220"/>
      <c r="J32" s="220"/>
      <c r="K32" s="220"/>
      <c r="L32" s="220"/>
      <c r="M32" s="220"/>
      <c r="N32" s="220"/>
      <c r="O32" s="220"/>
      <c r="P32" s="220"/>
      <c r="Q32" s="220"/>
      <c r="R32" s="669"/>
      <c r="S32" s="220"/>
      <c r="V32" s="3"/>
    </row>
    <row r="33" spans="1:22" s="218" customFormat="1" ht="15" x14ac:dyDescent="0.25">
      <c r="A33" s="669"/>
      <c r="B33" s="216" t="s">
        <v>702</v>
      </c>
      <c r="C33" s="220"/>
      <c r="D33" s="159"/>
      <c r="E33" s="102"/>
      <c r="F33" s="160"/>
      <c r="G33" s="161"/>
      <c r="H33" s="5"/>
      <c r="I33" s="5"/>
      <c r="J33" s="162"/>
      <c r="K33" s="161"/>
      <c r="L33" s="161"/>
      <c r="M33" s="161"/>
      <c r="N33" s="161"/>
      <c r="O33" s="220"/>
      <c r="P33" s="220"/>
      <c r="Q33" s="220"/>
      <c r="R33" s="669"/>
      <c r="S33" s="220"/>
      <c r="V33" s="3"/>
    </row>
    <row r="34" spans="1:22" s="218" customFormat="1" ht="30" x14ac:dyDescent="0.25">
      <c r="A34" s="220"/>
      <c r="B34" s="219" t="s">
        <v>703</v>
      </c>
      <c r="C34" s="221" t="s">
        <v>704</v>
      </c>
      <c r="D34" s="224" t="s">
        <v>705</v>
      </c>
      <c r="E34" s="395"/>
      <c r="F34" s="396"/>
      <c r="G34" s="396"/>
      <c r="H34" s="396"/>
      <c r="I34" s="396"/>
      <c r="J34" s="397"/>
      <c r="K34" s="396"/>
      <c r="L34" s="397"/>
      <c r="M34" s="396"/>
      <c r="N34" s="535" t="s">
        <v>2281</v>
      </c>
      <c r="O34" s="535" t="s">
        <v>706</v>
      </c>
      <c r="P34" s="222" t="s">
        <v>693</v>
      </c>
      <c r="Q34" s="219" t="s">
        <v>707</v>
      </c>
      <c r="R34" s="219" t="s">
        <v>698</v>
      </c>
      <c r="S34" s="220"/>
      <c r="V34" s="3"/>
    </row>
    <row r="35" spans="1:22" s="218" customFormat="1" ht="14.45" customHeight="1" x14ac:dyDescent="0.25">
      <c r="A35" s="220"/>
      <c r="B35" s="533" t="s">
        <v>2247</v>
      </c>
      <c r="C35" s="690" t="s">
        <v>2244</v>
      </c>
      <c r="D35" s="521" t="s">
        <v>2241</v>
      </c>
      <c r="E35" s="522"/>
      <c r="F35" s="523"/>
      <c r="G35" s="524"/>
      <c r="H35" s="524"/>
      <c r="I35" s="524"/>
      <c r="J35" s="524"/>
      <c r="K35" s="524"/>
      <c r="L35" s="523"/>
      <c r="M35" s="523"/>
      <c r="N35" s="689">
        <v>1</v>
      </c>
      <c r="O35" s="520">
        <v>1</v>
      </c>
      <c r="P35" s="513">
        <f>L$25</f>
        <v>0</v>
      </c>
      <c r="Q35" s="526">
        <v>345</v>
      </c>
      <c r="R35" s="526">
        <f>O35*Q35*P35</f>
        <v>0</v>
      </c>
      <c r="S35" s="220"/>
      <c r="V35" s="3"/>
    </row>
    <row r="36" spans="1:22" s="218" customFormat="1" ht="14.45" customHeight="1" x14ac:dyDescent="0.25">
      <c r="A36" s="220"/>
      <c r="B36" s="533" t="s">
        <v>2239</v>
      </c>
      <c r="C36" s="690" t="s">
        <v>2243</v>
      </c>
      <c r="D36" s="521" t="s">
        <v>2242</v>
      </c>
      <c r="E36" s="522"/>
      <c r="F36" s="523"/>
      <c r="G36" s="524"/>
      <c r="H36" s="524"/>
      <c r="I36" s="524"/>
      <c r="J36" s="524"/>
      <c r="K36" s="524"/>
      <c r="L36" s="523"/>
      <c r="M36" s="523"/>
      <c r="N36" s="689">
        <v>8</v>
      </c>
      <c r="O36" s="520">
        <v>1</v>
      </c>
      <c r="P36" s="513">
        <f>L$25</f>
        <v>0</v>
      </c>
      <c r="Q36" s="526">
        <v>345</v>
      </c>
      <c r="R36" s="526">
        <f>O36*Q36*P36</f>
        <v>0</v>
      </c>
      <c r="S36" s="220"/>
      <c r="V36" s="3"/>
    </row>
    <row r="37" spans="1:22" s="218" customFormat="1" ht="14.45" customHeight="1" x14ac:dyDescent="0.25">
      <c r="A37" s="220"/>
      <c r="B37" s="533" t="s">
        <v>2248</v>
      </c>
      <c r="C37" s="690" t="s">
        <v>2244</v>
      </c>
      <c r="D37" s="521" t="s">
        <v>2245</v>
      </c>
      <c r="E37" s="522"/>
      <c r="F37" s="523"/>
      <c r="G37" s="524"/>
      <c r="H37" s="524"/>
      <c r="I37" s="524"/>
      <c r="J37" s="524"/>
      <c r="K37" s="524"/>
      <c r="L37" s="523"/>
      <c r="M37" s="523"/>
      <c r="N37" s="689">
        <v>1</v>
      </c>
      <c r="O37" s="520">
        <v>1</v>
      </c>
      <c r="P37" s="513">
        <f>L$29</f>
        <v>0</v>
      </c>
      <c r="Q37" s="526">
        <v>345</v>
      </c>
      <c r="R37" s="526">
        <f>O37*Q37*P37</f>
        <v>0</v>
      </c>
      <c r="S37" s="220"/>
      <c r="V37" s="3"/>
    </row>
    <row r="38" spans="1:22" s="218" customFormat="1" ht="14.45" customHeight="1" x14ac:dyDescent="0.25">
      <c r="A38" s="220"/>
      <c r="B38" s="533" t="s">
        <v>2240</v>
      </c>
      <c r="C38" s="690" t="s">
        <v>2243</v>
      </c>
      <c r="D38" s="521" t="s">
        <v>2246</v>
      </c>
      <c r="E38" s="522"/>
      <c r="F38" s="523"/>
      <c r="G38" s="524"/>
      <c r="H38" s="524"/>
      <c r="I38" s="524"/>
      <c r="J38" s="524"/>
      <c r="K38" s="524"/>
      <c r="L38" s="523"/>
      <c r="M38" s="523"/>
      <c r="N38" s="689">
        <v>8</v>
      </c>
      <c r="O38" s="520">
        <v>1</v>
      </c>
      <c r="P38" s="513">
        <f>L$29</f>
        <v>0</v>
      </c>
      <c r="Q38" s="526">
        <v>345</v>
      </c>
      <c r="R38" s="526">
        <f>O38*Q38*P38</f>
        <v>0</v>
      </c>
      <c r="S38" s="220"/>
      <c r="V38" s="3"/>
    </row>
    <row r="39" spans="1:22" s="218" customFormat="1" ht="15" x14ac:dyDescent="0.25">
      <c r="A39" s="220"/>
      <c r="B39" s="665" t="s">
        <v>670</v>
      </c>
      <c r="C39" s="220"/>
      <c r="D39" s="220"/>
      <c r="E39" s="220"/>
      <c r="F39" s="220"/>
      <c r="G39" s="220"/>
      <c r="H39" s="220"/>
      <c r="I39" s="220"/>
      <c r="J39" s="220"/>
      <c r="K39" s="220"/>
      <c r="L39" s="220"/>
      <c r="M39" s="220"/>
      <c r="N39" s="220"/>
      <c r="O39" s="220"/>
      <c r="P39" s="220"/>
      <c r="Q39" s="220"/>
      <c r="R39" s="220"/>
      <c r="S39" s="220"/>
      <c r="V39" s="3"/>
    </row>
    <row r="40" spans="1:22" s="218" customFormat="1" ht="15" x14ac:dyDescent="0.25">
      <c r="A40" s="220"/>
      <c r="B40" s="544" t="s">
        <v>2158</v>
      </c>
      <c r="C40" s="220"/>
      <c r="D40" s="220"/>
      <c r="E40" s="220"/>
      <c r="F40" s="220"/>
      <c r="G40" s="220"/>
      <c r="H40" s="220"/>
      <c r="I40" s="220"/>
      <c r="J40" s="220"/>
      <c r="K40" s="220"/>
      <c r="L40" s="220"/>
      <c r="M40" s="220"/>
      <c r="N40" s="220"/>
      <c r="O40" s="220"/>
      <c r="P40" s="220"/>
      <c r="Q40" s="220"/>
      <c r="R40" s="220"/>
      <c r="S40" s="531"/>
      <c r="V40" s="3"/>
    </row>
    <row r="41" spans="1:22" s="218" customFormat="1" ht="15" x14ac:dyDescent="0.25">
      <c r="A41" s="220"/>
      <c r="B41" s="1018" t="s">
        <v>2296</v>
      </c>
      <c r="C41" s="220"/>
      <c r="D41" s="220"/>
      <c r="E41" s="220"/>
      <c r="F41" s="220"/>
      <c r="G41" s="220"/>
      <c r="H41" s="220"/>
      <c r="I41" s="220"/>
      <c r="J41" s="220"/>
      <c r="K41" s="220"/>
      <c r="L41" s="220"/>
      <c r="M41" s="220"/>
      <c r="N41" s="220"/>
      <c r="O41" s="220"/>
      <c r="P41" s="220"/>
      <c r="Q41" s="220"/>
      <c r="R41" s="220"/>
      <c r="S41" s="531"/>
      <c r="V41" s="3"/>
    </row>
    <row r="42" spans="1:22" s="218" customFormat="1" ht="15" x14ac:dyDescent="0.25">
      <c r="A42" s="220"/>
      <c r="B42" s="174"/>
      <c r="C42" s="220"/>
      <c r="D42" s="220"/>
      <c r="E42" s="220"/>
      <c r="F42" s="220"/>
      <c r="G42" s="220"/>
      <c r="H42" s="220"/>
      <c r="I42" s="220"/>
      <c r="J42" s="220"/>
      <c r="K42" s="220"/>
      <c r="L42" s="220"/>
      <c r="M42" s="220"/>
      <c r="N42" s="220"/>
      <c r="O42" s="220"/>
      <c r="P42" s="220"/>
      <c r="Q42" s="220"/>
      <c r="R42" s="220"/>
      <c r="S42" s="531"/>
      <c r="V42" s="3"/>
    </row>
    <row r="43" spans="1:22" s="218" customFormat="1" ht="14.45" customHeight="1" x14ac:dyDescent="0.35">
      <c r="A43" s="220"/>
      <c r="B43" s="764" t="s">
        <v>2237</v>
      </c>
      <c r="C43" s="765"/>
      <c r="D43" s="668"/>
      <c r="E43" s="668"/>
      <c r="F43" s="668"/>
      <c r="G43" s="668"/>
      <c r="H43" s="668"/>
      <c r="I43" s="668"/>
      <c r="J43" s="668"/>
      <c r="K43" s="668"/>
      <c r="L43" s="668"/>
      <c r="M43" s="668"/>
      <c r="N43" s="668"/>
      <c r="O43" s="668"/>
      <c r="P43" s="668"/>
      <c r="Q43" s="668"/>
      <c r="R43" s="766"/>
      <c r="S43" s="531"/>
      <c r="V43" s="3"/>
    </row>
    <row r="44" spans="1:22" s="218" customFormat="1" ht="14.45" customHeight="1" x14ac:dyDescent="0.35">
      <c r="A44" s="220"/>
      <c r="B44" s="775" t="s">
        <v>686</v>
      </c>
      <c r="C44" s="772"/>
      <c r="D44" s="773"/>
      <c r="E44" s="773"/>
      <c r="F44" s="773"/>
      <c r="G44" s="773"/>
      <c r="H44" s="773"/>
      <c r="I44" s="773"/>
      <c r="J44" s="773"/>
      <c r="K44" s="773"/>
      <c r="L44" s="773"/>
      <c r="M44" s="773"/>
      <c r="N44" s="773"/>
      <c r="O44" s="773"/>
      <c r="P44" s="773"/>
      <c r="Q44" s="773"/>
      <c r="R44" s="774"/>
      <c r="S44" s="531"/>
      <c r="V44" s="3"/>
    </row>
    <row r="45" spans="1:22" s="218" customFormat="1" ht="15" x14ac:dyDescent="0.25">
      <c r="A45" s="669"/>
      <c r="B45" s="220"/>
      <c r="C45" s="768" t="s">
        <v>609</v>
      </c>
      <c r="D45" s="769"/>
      <c r="E45" s="769"/>
      <c r="F45" s="769"/>
      <c r="G45" s="770"/>
      <c r="H45" s="768" t="s">
        <v>687</v>
      </c>
      <c r="I45" s="769"/>
      <c r="J45" s="769"/>
      <c r="K45" s="769"/>
      <c r="L45" s="769"/>
      <c r="M45" s="769"/>
      <c r="N45" s="769"/>
      <c r="O45" s="769"/>
      <c r="P45" s="769"/>
      <c r="Q45" s="769"/>
      <c r="R45" s="770"/>
      <c r="S45" s="531"/>
      <c r="V45" s="3"/>
    </row>
    <row r="46" spans="1:22" s="218" customFormat="1" ht="61.9" customHeight="1" x14ac:dyDescent="0.25">
      <c r="A46" s="220"/>
      <c r="B46" s="221" t="s">
        <v>688</v>
      </c>
      <c r="C46" s="222" t="s">
        <v>612</v>
      </c>
      <c r="D46" s="222" t="s">
        <v>613</v>
      </c>
      <c r="E46" s="222" t="s">
        <v>614</v>
      </c>
      <c r="F46" s="222" t="s">
        <v>615</v>
      </c>
      <c r="G46" s="222" t="s">
        <v>616</v>
      </c>
      <c r="H46" s="776" t="s">
        <v>709</v>
      </c>
      <c r="I46" s="222" t="s">
        <v>690</v>
      </c>
      <c r="J46" s="222" t="s">
        <v>709</v>
      </c>
      <c r="K46" s="222" t="s">
        <v>692</v>
      </c>
      <c r="L46" s="222" t="s">
        <v>693</v>
      </c>
      <c r="M46" s="222" t="s">
        <v>2249</v>
      </c>
      <c r="N46" s="222" t="s">
        <v>2250</v>
      </c>
      <c r="O46" s="535" t="s">
        <v>696</v>
      </c>
      <c r="P46" s="222" t="s">
        <v>2254</v>
      </c>
      <c r="Q46" s="219" t="s">
        <v>697</v>
      </c>
      <c r="R46" s="222" t="s">
        <v>698</v>
      </c>
      <c r="S46" s="120"/>
      <c r="V46" s="3"/>
    </row>
    <row r="47" spans="1:22" s="218" customFormat="1" ht="15" x14ac:dyDescent="0.25">
      <c r="A47" s="220"/>
      <c r="B47" s="729" t="s">
        <v>2189</v>
      </c>
      <c r="C47" s="727" t="str">
        <f>'Inputs and population'!D82</f>
        <v>IV</v>
      </c>
      <c r="D47" s="727" t="str">
        <f>'Inputs and population'!E82</f>
        <v>vial</v>
      </c>
      <c r="E47" s="728">
        <f>'Inputs and population'!F82</f>
        <v>1800</v>
      </c>
      <c r="F47" s="728">
        <f>'Inputs and population'!G82</f>
        <v>1</v>
      </c>
      <c r="G47" s="728">
        <f>'Inputs and population'!H82</f>
        <v>1800</v>
      </c>
      <c r="H47" s="767">
        <f>'Inputs and population'!I82</f>
        <v>1790</v>
      </c>
      <c r="I47" s="732">
        <f>'Inputs and population'!$D$92</f>
        <v>1.79</v>
      </c>
      <c r="J47" s="728">
        <f>H47</f>
        <v>1790</v>
      </c>
      <c r="K47" s="529">
        <f>'Inputs and population'!J82</f>
        <v>2</v>
      </c>
      <c r="L47" s="983">
        <f>'Inputs and population'!G65</f>
        <v>0</v>
      </c>
      <c r="M47" s="908">
        <f>ROUNDUP(J47/G47,0)</f>
        <v>1</v>
      </c>
      <c r="N47" s="893">
        <f>K47*L47*M47</f>
        <v>0</v>
      </c>
      <c r="O47" s="734">
        <f>'Inputs and population'!L82</f>
        <v>0</v>
      </c>
      <c r="P47" s="735">
        <f>'Inputs and population'!K82</f>
        <v>1</v>
      </c>
      <c r="Q47" s="735">
        <f>'Inputs and population'!M82</f>
        <v>0.2</v>
      </c>
      <c r="R47" s="907">
        <f>(N47*O47*(100%+Q47))*P47</f>
        <v>0</v>
      </c>
      <c r="S47" s="531"/>
      <c r="V47" s="3"/>
    </row>
    <row r="48" spans="1:22" s="218" customFormat="1" ht="15" x14ac:dyDescent="0.25">
      <c r="A48" s="220"/>
      <c r="B48" s="897" t="s">
        <v>2251</v>
      </c>
      <c r="C48" s="727" t="str">
        <f>'Inputs and population'!D83</f>
        <v>IV</v>
      </c>
      <c r="D48" s="727" t="str">
        <f>'Inputs and population'!E83</f>
        <v>vial</v>
      </c>
      <c r="E48" s="728">
        <f>'Inputs and population'!F83</f>
        <v>50</v>
      </c>
      <c r="F48" s="728">
        <f>'Inputs and population'!G83</f>
        <v>1</v>
      </c>
      <c r="G48" s="728">
        <f>'Inputs and population'!H83</f>
        <v>50</v>
      </c>
      <c r="H48" s="767">
        <f>'Inputs and population'!I83</f>
        <v>125.3</v>
      </c>
      <c r="I48" s="732">
        <f>'Inputs and population'!$D$92</f>
        <v>1.79</v>
      </c>
      <c r="J48" s="728">
        <f>H48</f>
        <v>125.3</v>
      </c>
      <c r="K48" s="529">
        <f>'Inputs and population'!J83</f>
        <v>1</v>
      </c>
      <c r="L48" s="983">
        <f>'Inputs and population'!G67</f>
        <v>0</v>
      </c>
      <c r="M48" s="909">
        <f>ROUNDUP(J48/G48,0)</f>
        <v>3</v>
      </c>
      <c r="N48" s="733">
        <f>K48*L48*M48</f>
        <v>0</v>
      </c>
      <c r="O48" s="734">
        <f>'Inputs and population'!L83</f>
        <v>24.33</v>
      </c>
      <c r="P48" s="735">
        <f>'Inputs and population'!K83</f>
        <v>1</v>
      </c>
      <c r="Q48" s="735">
        <f>'Inputs and population'!M83</f>
        <v>0.2</v>
      </c>
      <c r="R48" s="907">
        <f>(N48*O48*(100%+Q48))*P48</f>
        <v>0</v>
      </c>
      <c r="S48" s="531"/>
      <c r="V48" s="3"/>
    </row>
    <row r="49" spans="1:22" s="218" customFormat="1" ht="15" x14ac:dyDescent="0.25">
      <c r="A49" s="220"/>
      <c r="B49" s="223" t="s">
        <v>701</v>
      </c>
      <c r="C49" s="534"/>
      <c r="D49" s="534"/>
      <c r="E49" s="534"/>
      <c r="F49" s="534"/>
      <c r="G49" s="534"/>
      <c r="H49" s="534"/>
      <c r="I49" s="534"/>
      <c r="J49" s="534"/>
      <c r="K49" s="534"/>
      <c r="L49" s="534"/>
      <c r="M49" s="539"/>
      <c r="N49" s="539"/>
      <c r="O49" s="539"/>
      <c r="P49" s="534"/>
      <c r="Q49" s="537"/>
      <c r="R49" s="538">
        <f>SUM(R47:R48)</f>
        <v>0</v>
      </c>
      <c r="S49" s="531"/>
      <c r="V49" s="3"/>
    </row>
    <row r="50" spans="1:22" s="218" customFormat="1" ht="15" x14ac:dyDescent="0.25">
      <c r="A50" s="669"/>
      <c r="B50" s="220"/>
      <c r="C50" s="220"/>
      <c r="D50" s="220"/>
      <c r="E50" s="220"/>
      <c r="F50" s="220"/>
      <c r="G50" s="220"/>
      <c r="H50" s="220"/>
      <c r="I50" s="220"/>
      <c r="J50" s="220"/>
      <c r="K50" s="220"/>
      <c r="L50" s="220"/>
      <c r="M50" s="507"/>
      <c r="N50" s="507"/>
      <c r="O50" s="507"/>
      <c r="P50" s="220"/>
      <c r="Q50" s="220"/>
      <c r="R50" s="669"/>
      <c r="S50" s="531"/>
      <c r="V50" s="3"/>
    </row>
    <row r="51" spans="1:22" s="218" customFormat="1" ht="15" x14ac:dyDescent="0.25">
      <c r="A51" s="669"/>
      <c r="B51" s="216" t="s">
        <v>702</v>
      </c>
      <c r="C51" s="220"/>
      <c r="D51" s="159"/>
      <c r="E51" s="102"/>
      <c r="F51" s="160"/>
      <c r="G51" s="161"/>
      <c r="H51" s="5"/>
      <c r="I51" s="5"/>
      <c r="J51" s="162"/>
      <c r="K51" s="161"/>
      <c r="L51" s="161"/>
      <c r="M51" s="161"/>
      <c r="N51" s="161"/>
      <c r="O51" s="220"/>
      <c r="P51" s="220"/>
      <c r="Q51" s="220"/>
      <c r="R51" s="669"/>
      <c r="S51" s="531"/>
      <c r="V51" s="3"/>
    </row>
    <row r="52" spans="1:22" s="218" customFormat="1" ht="30" x14ac:dyDescent="0.25">
      <c r="A52" s="220"/>
      <c r="B52" s="219" t="s">
        <v>703</v>
      </c>
      <c r="C52" s="221" t="s">
        <v>704</v>
      </c>
      <c r="D52" s="224" t="s">
        <v>705</v>
      </c>
      <c r="E52" s="395"/>
      <c r="F52" s="396"/>
      <c r="G52" s="396"/>
      <c r="H52" s="396"/>
      <c r="I52" s="396"/>
      <c r="J52" s="397"/>
      <c r="K52" s="396"/>
      <c r="L52" s="397"/>
      <c r="M52" s="396"/>
      <c r="N52" s="875"/>
      <c r="O52" s="535" t="s">
        <v>706</v>
      </c>
      <c r="P52" s="222" t="s">
        <v>693</v>
      </c>
      <c r="Q52" s="219" t="s">
        <v>707</v>
      </c>
      <c r="R52" s="219" t="s">
        <v>698</v>
      </c>
      <c r="S52" s="531"/>
      <c r="V52" s="3"/>
    </row>
    <row r="53" spans="1:22" s="218" customFormat="1" ht="15" x14ac:dyDescent="0.25">
      <c r="A53" s="220"/>
      <c r="B53" s="899" t="s">
        <v>2237</v>
      </c>
      <c r="C53" s="690" t="s">
        <v>2244</v>
      </c>
      <c r="D53" s="1054" t="s">
        <v>2294</v>
      </c>
      <c r="E53" s="1055"/>
      <c r="F53" s="1055"/>
      <c r="G53" s="1055"/>
      <c r="H53" s="1055"/>
      <c r="I53" s="1055"/>
      <c r="J53" s="1055"/>
      <c r="K53" s="1055"/>
      <c r="L53" s="1056"/>
      <c r="M53" s="898"/>
      <c r="N53" s="900"/>
      <c r="O53" s="996">
        <v>1</v>
      </c>
      <c r="P53" s="513">
        <f>L47</f>
        <v>0</v>
      </c>
      <c r="Q53" s="526">
        <v>345</v>
      </c>
      <c r="R53" s="526">
        <f>O53*Q53*P53</f>
        <v>0</v>
      </c>
      <c r="S53" s="531"/>
      <c r="V53" s="3"/>
    </row>
    <row r="54" spans="1:22" s="218" customFormat="1" ht="15" x14ac:dyDescent="0.25">
      <c r="A54" s="220"/>
      <c r="B54" s="899" t="s">
        <v>2237</v>
      </c>
      <c r="C54" s="690" t="s">
        <v>2243</v>
      </c>
      <c r="D54" s="1054" t="s">
        <v>2252</v>
      </c>
      <c r="E54" s="1055"/>
      <c r="F54" s="1055"/>
      <c r="G54" s="1055"/>
      <c r="H54" s="1055"/>
      <c r="I54" s="1055"/>
      <c r="J54" s="1055"/>
      <c r="K54" s="1055"/>
      <c r="L54" s="1056"/>
      <c r="M54" s="523"/>
      <c r="N54" s="901"/>
      <c r="O54" s="996">
        <v>1</v>
      </c>
      <c r="P54" s="513">
        <f>L47</f>
        <v>0</v>
      </c>
      <c r="Q54" s="526">
        <v>345</v>
      </c>
      <c r="R54" s="526">
        <f>O54*Q54*P54</f>
        <v>0</v>
      </c>
      <c r="S54" s="531"/>
      <c r="V54" s="3"/>
    </row>
    <row r="55" spans="1:22" s="218" customFormat="1" ht="15" x14ac:dyDescent="0.25">
      <c r="A55" s="220"/>
      <c r="B55" s="665" t="s">
        <v>670</v>
      </c>
      <c r="C55" s="220"/>
      <c r="D55" s="220"/>
      <c r="E55" s="220"/>
      <c r="F55" s="220"/>
      <c r="G55" s="220"/>
      <c r="H55" s="220"/>
      <c r="I55" s="220"/>
      <c r="J55" s="220"/>
      <c r="K55" s="220"/>
      <c r="L55" s="220"/>
      <c r="M55" s="220"/>
      <c r="N55" s="220"/>
      <c r="O55" s="220"/>
      <c r="P55" s="220"/>
      <c r="Q55" s="220"/>
      <c r="R55" s="220"/>
      <c r="S55" s="531"/>
      <c r="V55" s="3"/>
    </row>
    <row r="56" spans="1:22" s="218" customFormat="1" ht="15" x14ac:dyDescent="0.25">
      <c r="A56" s="997"/>
      <c r="B56" s="999" t="s">
        <v>2282</v>
      </c>
      <c r="C56" s="220"/>
      <c r="D56" s="220"/>
      <c r="E56" s="220"/>
      <c r="F56" s="220"/>
      <c r="G56" s="220"/>
      <c r="H56" s="220"/>
      <c r="I56" s="220"/>
      <c r="J56" s="220"/>
      <c r="K56" s="220"/>
      <c r="L56" s="220"/>
      <c r="M56" s="220"/>
      <c r="N56" s="507"/>
      <c r="O56" s="507"/>
      <c r="P56" s="507"/>
      <c r="Q56" s="220"/>
      <c r="R56" s="220"/>
      <c r="S56" s="531"/>
      <c r="V56" s="3"/>
    </row>
    <row r="57" spans="1:22" s="218" customFormat="1" ht="15" x14ac:dyDescent="0.25">
      <c r="A57" s="997"/>
      <c r="B57" s="998" t="s">
        <v>2158</v>
      </c>
      <c r="C57" s="220"/>
      <c r="D57" s="220"/>
      <c r="E57" s="220"/>
      <c r="F57" s="220"/>
      <c r="G57" s="220"/>
      <c r="H57" s="220"/>
      <c r="I57" s="220"/>
      <c r="J57" s="220"/>
      <c r="K57" s="220"/>
      <c r="L57" s="220"/>
      <c r="M57" s="220"/>
      <c r="N57" s="507"/>
      <c r="O57" s="507"/>
      <c r="P57" s="507"/>
      <c r="Q57" s="220"/>
      <c r="R57" s="220"/>
      <c r="S57" s="531"/>
      <c r="V57" s="3"/>
    </row>
    <row r="58" spans="1:22" s="218" customFormat="1" ht="15" x14ac:dyDescent="0.25">
      <c r="A58" s="220"/>
      <c r="B58" s="216"/>
      <c r="C58" s="216"/>
      <c r="D58" s="216"/>
      <c r="E58" s="216"/>
      <c r="F58" s="216"/>
      <c r="G58" s="216"/>
      <c r="H58" s="216"/>
      <c r="I58" s="216"/>
      <c r="J58" s="216"/>
      <c r="K58" s="216"/>
      <c r="L58" s="216"/>
      <c r="M58" s="216"/>
      <c r="N58" s="216"/>
      <c r="O58" s="216"/>
      <c r="P58" s="216"/>
      <c r="Q58" s="216"/>
      <c r="R58" s="216"/>
      <c r="S58" s="531"/>
      <c r="V58" s="3"/>
    </row>
    <row r="59" spans="1:22" s="218" customFormat="1" ht="14.45" customHeight="1" x14ac:dyDescent="0.35">
      <c r="A59" s="220"/>
      <c r="B59" s="764" t="s">
        <v>2238</v>
      </c>
      <c r="C59" s="765"/>
      <c r="D59" s="668"/>
      <c r="E59" s="668"/>
      <c r="F59" s="668"/>
      <c r="G59" s="668"/>
      <c r="H59" s="668"/>
      <c r="I59" s="668"/>
      <c r="J59" s="668"/>
      <c r="K59" s="668"/>
      <c r="L59" s="668"/>
      <c r="M59" s="668"/>
      <c r="N59" s="668"/>
      <c r="O59" s="668"/>
      <c r="P59" s="668"/>
      <c r="Q59" s="668"/>
      <c r="R59" s="766"/>
      <c r="S59" s="531"/>
      <c r="V59" s="3"/>
    </row>
    <row r="60" spans="1:22" s="218" customFormat="1" ht="14.45" customHeight="1" x14ac:dyDescent="0.35">
      <c r="A60" s="220"/>
      <c r="B60" s="775" t="s">
        <v>686</v>
      </c>
      <c r="C60" s="772"/>
      <c r="D60" s="773"/>
      <c r="E60" s="773"/>
      <c r="F60" s="773"/>
      <c r="G60" s="773"/>
      <c r="H60" s="773"/>
      <c r="I60" s="773"/>
      <c r="J60" s="773"/>
      <c r="K60" s="773"/>
      <c r="L60" s="773"/>
      <c r="M60" s="773"/>
      <c r="N60" s="773"/>
      <c r="O60" s="773"/>
      <c r="P60" s="773"/>
      <c r="Q60" s="773"/>
      <c r="R60" s="774"/>
      <c r="S60" s="531"/>
      <c r="V60" s="3"/>
    </row>
    <row r="61" spans="1:22" s="218" customFormat="1" ht="15" x14ac:dyDescent="0.25">
      <c r="A61" s="669"/>
      <c r="B61" s="220"/>
      <c r="C61" s="768" t="s">
        <v>609</v>
      </c>
      <c r="D61" s="769"/>
      <c r="E61" s="769"/>
      <c r="F61" s="769"/>
      <c r="G61" s="770"/>
      <c r="H61" s="768" t="s">
        <v>687</v>
      </c>
      <c r="I61" s="769"/>
      <c r="J61" s="769"/>
      <c r="K61" s="769"/>
      <c r="L61" s="769"/>
      <c r="M61" s="769"/>
      <c r="N61" s="769"/>
      <c r="O61" s="769"/>
      <c r="P61" s="769"/>
      <c r="Q61" s="769"/>
      <c r="R61" s="770"/>
      <c r="S61" s="531"/>
      <c r="V61" s="3"/>
    </row>
    <row r="62" spans="1:22" s="218" customFormat="1" ht="43.5" customHeight="1" x14ac:dyDescent="0.25">
      <c r="A62" s="220"/>
      <c r="B62" s="221" t="s">
        <v>688</v>
      </c>
      <c r="C62" s="222" t="s">
        <v>612</v>
      </c>
      <c r="D62" s="222" t="s">
        <v>613</v>
      </c>
      <c r="E62" s="222" t="s">
        <v>614</v>
      </c>
      <c r="F62" s="222" t="s">
        <v>615</v>
      </c>
      <c r="G62" s="222" t="s">
        <v>616</v>
      </c>
      <c r="H62" s="219" t="s">
        <v>689</v>
      </c>
      <c r="I62" s="222" t="s">
        <v>690</v>
      </c>
      <c r="J62" s="222" t="s">
        <v>709</v>
      </c>
      <c r="K62" s="222" t="s">
        <v>692</v>
      </c>
      <c r="L62" s="222" t="s">
        <v>693</v>
      </c>
      <c r="M62" s="535" t="s">
        <v>694</v>
      </c>
      <c r="N62" s="535" t="s">
        <v>695</v>
      </c>
      <c r="O62" s="535" t="s">
        <v>696</v>
      </c>
      <c r="P62" s="222" t="s">
        <v>2254</v>
      </c>
      <c r="Q62" s="219" t="s">
        <v>697</v>
      </c>
      <c r="R62" s="222" t="s">
        <v>698</v>
      </c>
      <c r="S62" s="120"/>
      <c r="V62" s="3"/>
    </row>
    <row r="63" spans="1:22" s="218" customFormat="1" ht="15" x14ac:dyDescent="0.25">
      <c r="A63" s="220"/>
      <c r="B63" s="897" t="s">
        <v>2189</v>
      </c>
      <c r="C63" s="902" t="str">
        <f>'Inputs and population'!D82</f>
        <v>IV</v>
      </c>
      <c r="D63" s="902" t="str">
        <f>'Inputs and population'!E82</f>
        <v>vial</v>
      </c>
      <c r="E63" s="903">
        <f>'Inputs and population'!F82</f>
        <v>1800</v>
      </c>
      <c r="F63" s="903">
        <f>'Inputs and population'!G82</f>
        <v>1</v>
      </c>
      <c r="G63" s="903">
        <f>'Inputs and population'!H82</f>
        <v>1800</v>
      </c>
      <c r="H63" s="903">
        <f>'Inputs and population'!I82</f>
        <v>1790</v>
      </c>
      <c r="I63" s="732">
        <f>'Inputs and population'!$D$92</f>
        <v>1.79</v>
      </c>
      <c r="J63" s="903">
        <f>H63</f>
        <v>1790</v>
      </c>
      <c r="K63" s="904">
        <f>'Inputs and population'!J82</f>
        <v>2</v>
      </c>
      <c r="L63" s="987">
        <f>'Inputs and population'!G67</f>
        <v>0</v>
      </c>
      <c r="M63" s="904">
        <f>L63*K63*J63</f>
        <v>0</v>
      </c>
      <c r="N63" s="984">
        <f>M63/G63</f>
        <v>0</v>
      </c>
      <c r="O63" s="905">
        <f>'Inputs and population'!L82</f>
        <v>0</v>
      </c>
      <c r="P63" s="906">
        <f>'Inputs and population'!K82</f>
        <v>1</v>
      </c>
      <c r="Q63" s="906">
        <f>'Inputs and population'!M82</f>
        <v>0.2</v>
      </c>
      <c r="R63" s="907">
        <f>(N63*O63*(100%+Q63))*P63</f>
        <v>0</v>
      </c>
      <c r="S63" s="531"/>
      <c r="V63" s="3"/>
    </row>
    <row r="64" spans="1:22" s="218" customFormat="1" ht="15" x14ac:dyDescent="0.25">
      <c r="A64" s="220"/>
      <c r="B64" s="897" t="s">
        <v>2190</v>
      </c>
      <c r="C64" s="902" t="str">
        <f>'Inputs and population'!D84</f>
        <v>IV</v>
      </c>
      <c r="D64" s="902" t="str">
        <f>'Inputs and population'!E84</f>
        <v>vial</v>
      </c>
      <c r="E64" s="903">
        <f>'Inputs and population'!F84</f>
        <v>150</v>
      </c>
      <c r="F64" s="903">
        <f>'Inputs and population'!G84</f>
        <v>1</v>
      </c>
      <c r="G64" s="903">
        <f>'Inputs and population'!H84</f>
        <v>150</v>
      </c>
      <c r="H64" s="903">
        <f>'Inputs and population'!I84</f>
        <v>450</v>
      </c>
      <c r="I64" s="732">
        <f>'Inputs and population'!$D$92</f>
        <v>1.79</v>
      </c>
      <c r="J64" s="903">
        <f>H64</f>
        <v>450</v>
      </c>
      <c r="K64" s="904">
        <f>'Inputs and population'!F68</f>
        <v>1</v>
      </c>
      <c r="L64" s="904">
        <f>'Inputs and population'!G68</f>
        <v>0</v>
      </c>
      <c r="M64" s="904">
        <f>L64*K64*J64</f>
        <v>0</v>
      </c>
      <c r="N64" s="904">
        <f>M64/G64</f>
        <v>0</v>
      </c>
      <c r="O64" s="905">
        <f>'Inputs and population'!L84</f>
        <v>6.6</v>
      </c>
      <c r="P64" s="906">
        <f>'Inputs and population'!K84</f>
        <v>1</v>
      </c>
      <c r="Q64" s="906">
        <f>'Inputs and population'!M84</f>
        <v>0.2</v>
      </c>
      <c r="R64" s="907">
        <f>(N64*O64*(100%+Q64))*P64</f>
        <v>0</v>
      </c>
      <c r="S64" s="531"/>
      <c r="V64" s="3"/>
    </row>
    <row r="65" spans="1:22" s="218" customFormat="1" ht="15" x14ac:dyDescent="0.25">
      <c r="A65" s="220"/>
      <c r="B65" s="223" t="s">
        <v>701</v>
      </c>
      <c r="C65" s="534"/>
      <c r="D65" s="534"/>
      <c r="E65" s="534"/>
      <c r="F65" s="534"/>
      <c r="G65" s="534"/>
      <c r="H65" s="534"/>
      <c r="I65" s="534"/>
      <c r="J65" s="534"/>
      <c r="K65" s="534"/>
      <c r="L65" s="534"/>
      <c r="M65" s="534"/>
      <c r="N65" s="534"/>
      <c r="O65" s="534"/>
      <c r="P65" s="534"/>
      <c r="Q65" s="537"/>
      <c r="R65" s="538">
        <f>SUM(R63:R64)</f>
        <v>0</v>
      </c>
      <c r="S65" s="531"/>
      <c r="V65" s="3"/>
    </row>
    <row r="66" spans="1:22" s="218" customFormat="1" ht="15" x14ac:dyDescent="0.25">
      <c r="A66" s="669"/>
      <c r="B66" s="220"/>
      <c r="C66" s="220"/>
      <c r="D66" s="220"/>
      <c r="E66" s="220"/>
      <c r="F66" s="220"/>
      <c r="G66" s="220"/>
      <c r="H66" s="220"/>
      <c r="I66" s="220"/>
      <c r="J66" s="220"/>
      <c r="K66" s="220"/>
      <c r="L66" s="220"/>
      <c r="M66" s="220"/>
      <c r="N66" s="220"/>
      <c r="O66" s="220"/>
      <c r="P66" s="220"/>
      <c r="Q66" s="220"/>
      <c r="R66" s="669"/>
      <c r="S66" s="531"/>
      <c r="V66" s="3"/>
    </row>
    <row r="67" spans="1:22" s="218" customFormat="1" ht="15" x14ac:dyDescent="0.25">
      <c r="A67" s="669"/>
      <c r="B67" s="216" t="s">
        <v>702</v>
      </c>
      <c r="C67" s="220"/>
      <c r="D67" s="159"/>
      <c r="E67" s="102"/>
      <c r="F67" s="160"/>
      <c r="G67" s="161"/>
      <c r="H67" s="5"/>
      <c r="I67" s="5"/>
      <c r="J67" s="162"/>
      <c r="K67" s="161"/>
      <c r="L67" s="161"/>
      <c r="M67" s="161"/>
      <c r="N67" s="161"/>
      <c r="O67" s="220"/>
      <c r="P67" s="220"/>
      <c r="Q67" s="220"/>
      <c r="R67" s="669"/>
      <c r="S67" s="531"/>
      <c r="V67" s="3"/>
    </row>
    <row r="68" spans="1:22" s="218" customFormat="1" ht="30" x14ac:dyDescent="0.25">
      <c r="A68" s="220"/>
      <c r="B68" s="219" t="s">
        <v>703</v>
      </c>
      <c r="C68" s="221" t="s">
        <v>704</v>
      </c>
      <c r="D68" s="224" t="s">
        <v>705</v>
      </c>
      <c r="E68" s="395"/>
      <c r="F68" s="396"/>
      <c r="G68" s="396"/>
      <c r="H68" s="396"/>
      <c r="I68" s="396"/>
      <c r="J68" s="397"/>
      <c r="K68" s="396"/>
      <c r="L68" s="397"/>
      <c r="M68" s="396"/>
      <c r="N68" s="875"/>
      <c r="O68" s="535" t="s">
        <v>706</v>
      </c>
      <c r="P68" s="222" t="s">
        <v>693</v>
      </c>
      <c r="Q68" s="219" t="s">
        <v>707</v>
      </c>
      <c r="R68" s="219" t="s">
        <v>698</v>
      </c>
      <c r="S68" s="531"/>
      <c r="V68" s="3"/>
    </row>
    <row r="69" spans="1:22" s="218" customFormat="1" ht="14.45" customHeight="1" x14ac:dyDescent="0.25">
      <c r="A69" s="220"/>
      <c r="B69" s="533" t="s">
        <v>2238</v>
      </c>
      <c r="C69" s="916" t="s">
        <v>2244</v>
      </c>
      <c r="D69" s="521" t="s">
        <v>2256</v>
      </c>
      <c r="E69" s="522"/>
      <c r="F69" s="523"/>
      <c r="G69" s="524"/>
      <c r="H69" s="524"/>
      <c r="I69" s="524"/>
      <c r="J69" s="524"/>
      <c r="K69" s="524"/>
      <c r="L69" s="523"/>
      <c r="M69" s="523"/>
      <c r="N69" s="901"/>
      <c r="O69" s="520">
        <f>K63</f>
        <v>2</v>
      </c>
      <c r="P69" s="520">
        <f>L63</f>
        <v>0</v>
      </c>
      <c r="Q69" s="526">
        <v>345</v>
      </c>
      <c r="R69" s="526">
        <f>O69*Q69*P69</f>
        <v>0</v>
      </c>
      <c r="S69" s="531"/>
      <c r="V69" s="3"/>
    </row>
    <row r="70" spans="1:22" s="218" customFormat="1" ht="14.45" customHeight="1" x14ac:dyDescent="0.25">
      <c r="A70" s="220"/>
      <c r="B70" s="533" t="s">
        <v>2238</v>
      </c>
      <c r="C70" s="916" t="s">
        <v>2243</v>
      </c>
      <c r="D70" s="521" t="s">
        <v>2252</v>
      </c>
      <c r="E70" s="522"/>
      <c r="F70" s="523"/>
      <c r="G70" s="524"/>
      <c r="H70" s="524"/>
      <c r="I70" s="524"/>
      <c r="J70" s="524"/>
      <c r="K70" s="524"/>
      <c r="L70" s="523"/>
      <c r="M70" s="523"/>
      <c r="N70" s="901"/>
      <c r="O70" s="520">
        <f>K63</f>
        <v>2</v>
      </c>
      <c r="P70" s="513">
        <f>L63</f>
        <v>0</v>
      </c>
      <c r="Q70" s="526">
        <v>345</v>
      </c>
      <c r="R70" s="526">
        <f>O70*Q70*P70</f>
        <v>0</v>
      </c>
      <c r="S70" s="531"/>
      <c r="V70" s="3"/>
    </row>
    <row r="71" spans="1:22" s="4" customFormat="1" ht="15" x14ac:dyDescent="0.25">
      <c r="A71" s="5"/>
      <c r="B71" s="665" t="s">
        <v>670</v>
      </c>
      <c r="C71" s="220"/>
      <c r="D71" s="220"/>
      <c r="E71" s="220"/>
      <c r="F71" s="220"/>
      <c r="G71" s="220"/>
      <c r="H71" s="220"/>
      <c r="I71" s="220"/>
      <c r="J71" s="220"/>
      <c r="K71" s="220"/>
      <c r="L71" s="220"/>
      <c r="M71" s="220"/>
      <c r="N71" s="220"/>
      <c r="O71" s="220"/>
      <c r="P71" s="220"/>
      <c r="Q71" s="220"/>
      <c r="R71" s="220"/>
      <c r="S71" s="5"/>
      <c r="V71" s="3"/>
    </row>
    <row r="72" spans="1:22" s="4" customFormat="1" ht="15" x14ac:dyDescent="0.2">
      <c r="A72" s="874"/>
      <c r="B72" s="999" t="s">
        <v>2282</v>
      </c>
      <c r="C72" s="5"/>
      <c r="D72" s="159"/>
      <c r="E72" s="102"/>
      <c r="F72" s="160"/>
      <c r="G72" s="161"/>
      <c r="H72" s="5"/>
      <c r="I72" s="5"/>
      <c r="J72" s="162"/>
      <c r="K72" s="161"/>
      <c r="L72" s="161"/>
      <c r="M72" s="161"/>
      <c r="N72" s="161"/>
      <c r="O72" s="161"/>
      <c r="P72" s="161"/>
      <c r="Q72" s="161"/>
      <c r="R72" s="162"/>
      <c r="S72" s="5"/>
      <c r="V72" s="3"/>
    </row>
    <row r="73" spans="1:22" s="4" customFormat="1" ht="15" x14ac:dyDescent="0.2">
      <c r="A73" s="874"/>
      <c r="B73" s="998" t="s">
        <v>2158</v>
      </c>
      <c r="C73" s="874"/>
      <c r="D73" s="159"/>
      <c r="E73" s="102"/>
      <c r="F73" s="160"/>
      <c r="G73" s="161"/>
      <c r="H73" s="5"/>
      <c r="I73" s="5"/>
      <c r="J73" s="162"/>
      <c r="K73" s="161"/>
      <c r="L73" s="161"/>
      <c r="M73" s="161"/>
      <c r="N73" s="161"/>
      <c r="O73" s="161"/>
      <c r="P73" s="161"/>
      <c r="Q73" s="161"/>
      <c r="R73" s="162"/>
      <c r="S73" s="5"/>
      <c r="V73" s="3"/>
    </row>
    <row r="74" spans="1:22" s="4" customFormat="1" ht="15" x14ac:dyDescent="0.25">
      <c r="A74" s="5"/>
      <c r="B74" s="174"/>
      <c r="C74" s="5"/>
      <c r="D74" s="159"/>
      <c r="E74" s="102"/>
      <c r="F74" s="160"/>
      <c r="G74" s="161"/>
      <c r="H74" s="5"/>
      <c r="I74" s="5"/>
      <c r="J74" s="162"/>
      <c r="K74" s="161"/>
      <c r="L74" s="161"/>
      <c r="M74" s="161"/>
      <c r="N74" s="161"/>
      <c r="O74" s="161"/>
      <c r="P74" s="161"/>
      <c r="Q74" s="161"/>
      <c r="R74" s="162"/>
      <c r="S74" s="5"/>
      <c r="V74" s="3"/>
    </row>
    <row r="75" spans="1:22" s="4" customFormat="1" ht="14.45" customHeight="1" x14ac:dyDescent="0.35">
      <c r="A75" s="5"/>
      <c r="B75" s="764" t="s">
        <v>2260</v>
      </c>
      <c r="C75" s="765"/>
      <c r="D75" s="668"/>
      <c r="E75" s="668"/>
      <c r="F75" s="668"/>
      <c r="G75" s="668"/>
      <c r="H75" s="668"/>
      <c r="I75" s="668"/>
      <c r="J75" s="668"/>
      <c r="K75" s="668"/>
      <c r="L75" s="668"/>
      <c r="M75" s="668"/>
      <c r="N75" s="668"/>
      <c r="O75" s="668"/>
      <c r="P75" s="668"/>
      <c r="Q75" s="668"/>
      <c r="R75" s="766"/>
      <c r="S75" s="5"/>
      <c r="V75" s="3"/>
    </row>
    <row r="76" spans="1:22" s="4" customFormat="1" ht="14.45" customHeight="1" x14ac:dyDescent="0.35">
      <c r="A76" s="5"/>
      <c r="B76" s="775" t="s">
        <v>686</v>
      </c>
      <c r="C76" s="772"/>
      <c r="D76" s="773"/>
      <c r="E76" s="773"/>
      <c r="F76" s="773"/>
      <c r="G76" s="773"/>
      <c r="H76" s="773"/>
      <c r="I76" s="773"/>
      <c r="J76" s="773"/>
      <c r="K76" s="773"/>
      <c r="L76" s="773"/>
      <c r="M76" s="773"/>
      <c r="N76" s="773"/>
      <c r="O76" s="773"/>
      <c r="P76" s="773"/>
      <c r="Q76" s="773"/>
      <c r="R76" s="774"/>
      <c r="S76" s="5"/>
      <c r="V76" s="3"/>
    </row>
    <row r="77" spans="1:22" s="4" customFormat="1" ht="15" x14ac:dyDescent="0.25">
      <c r="A77" s="5"/>
      <c r="B77" s="812"/>
      <c r="C77" s="768" t="s">
        <v>609</v>
      </c>
      <c r="D77" s="769"/>
      <c r="E77" s="769"/>
      <c r="F77" s="769"/>
      <c r="G77" s="770"/>
      <c r="H77" s="768" t="s">
        <v>687</v>
      </c>
      <c r="I77" s="769"/>
      <c r="J77" s="769"/>
      <c r="K77" s="769"/>
      <c r="L77" s="769"/>
      <c r="M77" s="769"/>
      <c r="N77" s="769"/>
      <c r="O77" s="769"/>
      <c r="P77" s="769"/>
      <c r="Q77" s="769"/>
      <c r="R77" s="770"/>
      <c r="S77" s="5"/>
      <c r="V77" s="3"/>
    </row>
    <row r="78" spans="1:22" s="4" customFormat="1" ht="60" x14ac:dyDescent="0.25">
      <c r="A78" s="5"/>
      <c r="B78" s="221" t="s">
        <v>688</v>
      </c>
      <c r="C78" s="222" t="s">
        <v>612</v>
      </c>
      <c r="D78" s="222" t="s">
        <v>613</v>
      </c>
      <c r="E78" s="222" t="s">
        <v>614</v>
      </c>
      <c r="F78" s="222" t="s">
        <v>615</v>
      </c>
      <c r="G78" s="222" t="s">
        <v>616</v>
      </c>
      <c r="H78" s="219" t="s">
        <v>689</v>
      </c>
      <c r="I78" s="222" t="s">
        <v>690</v>
      </c>
      <c r="J78" s="222" t="s">
        <v>691</v>
      </c>
      <c r="K78" s="222" t="s">
        <v>709</v>
      </c>
      <c r="L78" s="222" t="s">
        <v>692</v>
      </c>
      <c r="M78" s="222" t="s">
        <v>693</v>
      </c>
      <c r="N78" s="535" t="s">
        <v>694</v>
      </c>
      <c r="O78" s="535" t="s">
        <v>695</v>
      </c>
      <c r="P78" s="535" t="s">
        <v>696</v>
      </c>
      <c r="Q78" s="219" t="s">
        <v>697</v>
      </c>
      <c r="R78" s="222" t="s">
        <v>698</v>
      </c>
      <c r="S78" s="5"/>
      <c r="V78" s="3"/>
    </row>
    <row r="79" spans="1:22" s="4" customFormat="1" ht="15" x14ac:dyDescent="0.25">
      <c r="A79" s="5"/>
      <c r="B79" s="729" t="str">
        <f>'Inputs and population'!C69</f>
        <v>Atezolizumab</v>
      </c>
      <c r="C79" s="910" t="str">
        <f>'Inputs and population'!D85</f>
        <v>IV / subcut</v>
      </c>
      <c r="D79" s="910" t="str">
        <f>'Inputs and population'!E85</f>
        <v>vial</v>
      </c>
      <c r="E79" s="985">
        <f>'Inputs and population'!F85</f>
        <v>1200</v>
      </c>
      <c r="F79" s="729">
        <f>'Inputs and population'!G85</f>
        <v>1</v>
      </c>
      <c r="G79" s="728">
        <f>'Inputs and population'!H85</f>
        <v>1200</v>
      </c>
      <c r="H79" s="728">
        <f>'Inputs and population'!I85</f>
        <v>1200</v>
      </c>
      <c r="I79" s="732">
        <f>'Inputs and population'!$D$92</f>
        <v>1.79</v>
      </c>
      <c r="J79" s="732">
        <f>'Inputs and population'!$D$91</f>
        <v>75.89</v>
      </c>
      <c r="K79" s="728">
        <f>H79</f>
        <v>1200</v>
      </c>
      <c r="L79" s="529">
        <f>'Inputs and population'!F69</f>
        <v>1</v>
      </c>
      <c r="M79" s="529">
        <f>'Inputs and population'!G69</f>
        <v>0</v>
      </c>
      <c r="N79" s="529">
        <f>M79*L79*K79</f>
        <v>0</v>
      </c>
      <c r="O79" s="529">
        <f>N79/G79</f>
        <v>0</v>
      </c>
      <c r="P79" s="734">
        <f>'Inputs and population'!L85</f>
        <v>0</v>
      </c>
      <c r="Q79" s="911">
        <f>'Inputs and population'!M85</f>
        <v>0.2</v>
      </c>
      <c r="R79" s="771">
        <f>O79*P79*(100%+Q79)</f>
        <v>0</v>
      </c>
      <c r="S79" s="5"/>
      <c r="V79" s="3"/>
    </row>
    <row r="80" spans="1:22" s="4" customFormat="1" ht="15" x14ac:dyDescent="0.25">
      <c r="A80" s="5"/>
      <c r="B80" s="533" t="s">
        <v>700</v>
      </c>
      <c r="C80" s="514"/>
      <c r="D80" s="514"/>
      <c r="E80" s="515"/>
      <c r="F80" s="515"/>
      <c r="G80" s="515"/>
      <c r="H80" s="515"/>
      <c r="I80" s="516"/>
      <c r="J80" s="516"/>
      <c r="K80" s="515"/>
      <c r="L80" s="513"/>
      <c r="M80" s="519"/>
      <c r="N80" s="536"/>
      <c r="O80" s="536"/>
      <c r="P80" s="517"/>
      <c r="Q80" s="518"/>
      <c r="R80" s="526"/>
      <c r="S80" s="5"/>
      <c r="V80" s="3"/>
    </row>
    <row r="81" spans="1:22" s="4" customFormat="1" ht="15" x14ac:dyDescent="0.25">
      <c r="A81" s="5"/>
      <c r="B81" s="533" t="s">
        <v>700</v>
      </c>
      <c r="C81" s="514"/>
      <c r="D81" s="514"/>
      <c r="E81" s="515"/>
      <c r="F81" s="515"/>
      <c r="G81" s="515"/>
      <c r="H81" s="515"/>
      <c r="I81" s="516"/>
      <c r="J81" s="516"/>
      <c r="K81" s="515"/>
      <c r="L81" s="513"/>
      <c r="M81" s="519"/>
      <c r="N81" s="536"/>
      <c r="O81" s="536"/>
      <c r="P81" s="517"/>
      <c r="Q81" s="518"/>
      <c r="R81" s="526"/>
      <c r="S81" s="5"/>
      <c r="V81" s="3"/>
    </row>
    <row r="82" spans="1:22" s="4" customFormat="1" ht="15" x14ac:dyDescent="0.25">
      <c r="A82" s="5"/>
      <c r="B82" s="223" t="s">
        <v>701</v>
      </c>
      <c r="C82" s="534"/>
      <c r="D82" s="534"/>
      <c r="E82" s="534"/>
      <c r="F82" s="534"/>
      <c r="G82" s="534"/>
      <c r="H82" s="534"/>
      <c r="I82" s="534"/>
      <c r="J82" s="534"/>
      <c r="K82" s="534"/>
      <c r="L82" s="534"/>
      <c r="M82" s="534"/>
      <c r="N82" s="534"/>
      <c r="O82" s="534"/>
      <c r="P82" s="534"/>
      <c r="Q82" s="537"/>
      <c r="R82" s="538">
        <f>SUM(R79:R81)</f>
        <v>0</v>
      </c>
      <c r="S82" s="5"/>
      <c r="V82" s="3"/>
    </row>
    <row r="83" spans="1:22" s="4" customFormat="1" ht="15" x14ac:dyDescent="0.25">
      <c r="A83" s="5"/>
      <c r="B83" s="813"/>
      <c r="C83" s="220"/>
      <c r="D83" s="220"/>
      <c r="E83" s="220"/>
      <c r="F83" s="220"/>
      <c r="G83" s="220"/>
      <c r="H83" s="220"/>
      <c r="I83" s="220"/>
      <c r="J83" s="220"/>
      <c r="K83" s="220"/>
      <c r="L83" s="220"/>
      <c r="M83" s="220"/>
      <c r="N83" s="220"/>
      <c r="O83" s="220"/>
      <c r="P83" s="220"/>
      <c r="Q83" s="220"/>
      <c r="R83" s="669"/>
      <c r="S83" s="5"/>
      <c r="V83" s="3"/>
    </row>
    <row r="84" spans="1:22" s="4" customFormat="1" ht="15" x14ac:dyDescent="0.25">
      <c r="A84" s="5"/>
      <c r="B84" s="814" t="s">
        <v>702</v>
      </c>
      <c r="C84" s="220"/>
      <c r="D84" s="159"/>
      <c r="E84" s="102"/>
      <c r="F84" s="160"/>
      <c r="G84" s="161"/>
      <c r="H84" s="5"/>
      <c r="I84" s="5"/>
      <c r="J84" s="162"/>
      <c r="K84" s="161"/>
      <c r="L84" s="161"/>
      <c r="M84" s="161"/>
      <c r="N84" s="161"/>
      <c r="O84" s="220"/>
      <c r="P84" s="220"/>
      <c r="Q84" s="220"/>
      <c r="R84" s="669"/>
      <c r="S84" s="5"/>
      <c r="V84" s="3"/>
    </row>
    <row r="85" spans="1:22" s="4" customFormat="1" ht="30" x14ac:dyDescent="0.25">
      <c r="A85" s="5"/>
      <c r="B85" s="219" t="s">
        <v>703</v>
      </c>
      <c r="C85" s="221" t="s">
        <v>704</v>
      </c>
      <c r="D85" s="224" t="s">
        <v>705</v>
      </c>
      <c r="E85" s="395"/>
      <c r="F85" s="396"/>
      <c r="G85" s="396"/>
      <c r="H85" s="396"/>
      <c r="I85" s="396"/>
      <c r="J85" s="397"/>
      <c r="K85" s="396"/>
      <c r="L85" s="397"/>
      <c r="M85" s="396"/>
      <c r="N85" s="535"/>
      <c r="O85" s="535" t="s">
        <v>706</v>
      </c>
      <c r="P85" s="222" t="s">
        <v>693</v>
      </c>
      <c r="Q85" s="219" t="s">
        <v>707</v>
      </c>
      <c r="R85" s="219" t="s">
        <v>698</v>
      </c>
      <c r="S85" s="5"/>
      <c r="V85" s="3"/>
    </row>
    <row r="86" spans="1:22" s="4" customFormat="1" ht="14.45" customHeight="1" x14ac:dyDescent="0.25">
      <c r="A86" s="5"/>
      <c r="B86" s="533" t="s">
        <v>2260</v>
      </c>
      <c r="C86" s="690" t="s">
        <v>708</v>
      </c>
      <c r="D86" s="521" t="s">
        <v>2253</v>
      </c>
      <c r="E86" s="522"/>
      <c r="F86" s="523"/>
      <c r="G86" s="524"/>
      <c r="H86" s="524"/>
      <c r="I86" s="524"/>
      <c r="J86" s="524"/>
      <c r="K86" s="524"/>
      <c r="L86" s="523"/>
      <c r="M86" s="523"/>
      <c r="N86" s="689"/>
      <c r="O86" s="520">
        <f>L79</f>
        <v>1</v>
      </c>
      <c r="P86" s="513">
        <f>M79</f>
        <v>0</v>
      </c>
      <c r="Q86" s="526">
        <v>172</v>
      </c>
      <c r="R86" s="526">
        <f>O86*Q86*P86</f>
        <v>0</v>
      </c>
      <c r="S86" s="5"/>
      <c r="V86" s="3"/>
    </row>
    <row r="87" spans="1:22" s="4" customFormat="1" ht="15" x14ac:dyDescent="0.25">
      <c r="A87" s="5"/>
      <c r="B87" s="665" t="s">
        <v>670</v>
      </c>
      <c r="C87" s="220"/>
      <c r="D87" s="220"/>
      <c r="E87" s="220"/>
      <c r="F87" s="220"/>
      <c r="G87" s="220"/>
      <c r="H87" s="220"/>
      <c r="I87" s="220"/>
      <c r="J87" s="220"/>
      <c r="K87" s="220"/>
      <c r="L87" s="220"/>
      <c r="M87" s="220"/>
      <c r="N87" s="220"/>
      <c r="O87" s="220"/>
      <c r="P87" s="220"/>
      <c r="Q87" s="220"/>
      <c r="R87" s="220"/>
      <c r="S87" s="5"/>
      <c r="V87" s="3"/>
    </row>
    <row r="88" spans="1:22" s="4" customFormat="1" ht="15" x14ac:dyDescent="0.2">
      <c r="A88" s="5"/>
      <c r="B88" s="544" t="s">
        <v>2158</v>
      </c>
      <c r="C88" s="5"/>
      <c r="D88" s="159"/>
      <c r="E88" s="102"/>
      <c r="F88" s="160"/>
      <c r="G88" s="161"/>
      <c r="H88" s="5"/>
      <c r="I88" s="5"/>
      <c r="J88" s="162"/>
      <c r="K88" s="161"/>
      <c r="L88" s="161"/>
      <c r="M88" s="161"/>
      <c r="N88" s="161"/>
      <c r="O88" s="161"/>
      <c r="P88" s="161"/>
      <c r="Q88" s="161"/>
      <c r="R88" s="162"/>
      <c r="S88" s="5"/>
      <c r="V88" s="3"/>
    </row>
    <row r="89" spans="1:22" s="4" customFormat="1" ht="15" x14ac:dyDescent="0.25">
      <c r="A89" s="5"/>
      <c r="B89" s="174"/>
      <c r="C89" s="5"/>
      <c r="D89" s="159"/>
      <c r="E89" s="102"/>
      <c r="F89" s="160"/>
      <c r="G89" s="161"/>
      <c r="H89" s="5"/>
      <c r="I89" s="5"/>
      <c r="J89" s="162"/>
      <c r="K89" s="161"/>
      <c r="L89" s="161"/>
      <c r="M89" s="161"/>
      <c r="N89" s="161"/>
      <c r="O89" s="161"/>
      <c r="P89" s="161"/>
      <c r="Q89" s="161"/>
      <c r="R89" s="162"/>
      <c r="S89" s="5"/>
      <c r="V89" s="3"/>
    </row>
    <row r="90" spans="1:22" s="4" customFormat="1" ht="14.45" customHeight="1" x14ac:dyDescent="0.35">
      <c r="A90" s="5"/>
      <c r="B90" s="764" t="s">
        <v>2192</v>
      </c>
      <c r="C90" s="765"/>
      <c r="D90" s="668"/>
      <c r="E90" s="668"/>
      <c r="F90" s="668"/>
      <c r="G90" s="668"/>
      <c r="H90" s="668"/>
      <c r="I90" s="668"/>
      <c r="J90" s="668"/>
      <c r="K90" s="668"/>
      <c r="L90" s="668"/>
      <c r="M90" s="668"/>
      <c r="N90" s="668"/>
      <c r="O90" s="668"/>
      <c r="P90" s="668"/>
      <c r="Q90" s="668"/>
      <c r="R90" s="766"/>
      <c r="S90" s="5"/>
      <c r="V90" s="3"/>
    </row>
    <row r="91" spans="1:22" s="4" customFormat="1" ht="14.45" customHeight="1" x14ac:dyDescent="0.35">
      <c r="A91" s="5"/>
      <c r="B91" s="775" t="s">
        <v>686</v>
      </c>
      <c r="C91" s="772"/>
      <c r="D91" s="773"/>
      <c r="E91" s="773"/>
      <c r="F91" s="773"/>
      <c r="G91" s="773"/>
      <c r="H91" s="773"/>
      <c r="I91" s="773"/>
      <c r="J91" s="773"/>
      <c r="K91" s="773"/>
      <c r="L91" s="773"/>
      <c r="M91" s="773"/>
      <c r="N91" s="773"/>
      <c r="O91" s="773"/>
      <c r="P91" s="773"/>
      <c r="Q91" s="773"/>
      <c r="R91" s="774"/>
      <c r="S91" s="5"/>
      <c r="V91" s="3"/>
    </row>
    <row r="92" spans="1:22" s="4" customFormat="1" ht="15" x14ac:dyDescent="0.25">
      <c r="A92" s="5"/>
      <c r="B92" s="812"/>
      <c r="C92" s="768" t="s">
        <v>609</v>
      </c>
      <c r="D92" s="769"/>
      <c r="E92" s="769"/>
      <c r="F92" s="769"/>
      <c r="G92" s="770"/>
      <c r="H92" s="768" t="s">
        <v>687</v>
      </c>
      <c r="I92" s="769"/>
      <c r="J92" s="769"/>
      <c r="K92" s="769"/>
      <c r="L92" s="769"/>
      <c r="M92" s="769"/>
      <c r="N92" s="769"/>
      <c r="O92" s="769"/>
      <c r="P92" s="769"/>
      <c r="Q92" s="769"/>
      <c r="R92" s="770"/>
      <c r="S92" s="5"/>
      <c r="V92" s="3"/>
    </row>
    <row r="93" spans="1:22" s="4" customFormat="1" ht="60" x14ac:dyDescent="0.25">
      <c r="A93" s="5"/>
      <c r="B93" s="221" t="s">
        <v>688</v>
      </c>
      <c r="C93" s="222" t="s">
        <v>612</v>
      </c>
      <c r="D93" s="222" t="s">
        <v>613</v>
      </c>
      <c r="E93" s="222" t="s">
        <v>614</v>
      </c>
      <c r="F93" s="222" t="s">
        <v>615</v>
      </c>
      <c r="G93" s="222" t="s">
        <v>616</v>
      </c>
      <c r="H93" s="219" t="s">
        <v>689</v>
      </c>
      <c r="I93" s="222" t="s">
        <v>690</v>
      </c>
      <c r="J93" s="222" t="s">
        <v>691</v>
      </c>
      <c r="K93" s="222" t="s">
        <v>709</v>
      </c>
      <c r="L93" s="222" t="s">
        <v>692</v>
      </c>
      <c r="M93" s="222" t="s">
        <v>693</v>
      </c>
      <c r="N93" s="887" t="s">
        <v>2249</v>
      </c>
      <c r="O93" s="887" t="s">
        <v>2250</v>
      </c>
      <c r="P93" s="535" t="s">
        <v>696</v>
      </c>
      <c r="Q93" s="219" t="s">
        <v>697</v>
      </c>
      <c r="R93" s="222" t="s">
        <v>698</v>
      </c>
      <c r="S93" s="5"/>
      <c r="V93" s="3"/>
    </row>
    <row r="94" spans="1:22" s="4" customFormat="1" ht="15" x14ac:dyDescent="0.25">
      <c r="A94" s="5"/>
      <c r="B94" s="729" t="str">
        <f>'Inputs and population'!C86</f>
        <v>Paclitaxel</v>
      </c>
      <c r="C94" s="910" t="str">
        <f>'Inputs and population'!D86</f>
        <v>IV</v>
      </c>
      <c r="D94" s="910" t="str">
        <f>'Inputs and population'!E86</f>
        <v>vial</v>
      </c>
      <c r="E94" s="729">
        <f>'Inputs and population'!F86</f>
        <v>150</v>
      </c>
      <c r="F94" s="729">
        <f>'Inputs and population'!G86</f>
        <v>1</v>
      </c>
      <c r="G94" s="729">
        <f>'Inputs and population'!H86</f>
        <v>150</v>
      </c>
      <c r="H94" s="729">
        <f>'Inputs and population'!I86</f>
        <v>143.19999999999999</v>
      </c>
      <c r="I94" s="732">
        <f>'Inputs and population'!$D$92</f>
        <v>1.79</v>
      </c>
      <c r="J94" s="732" t="s">
        <v>699</v>
      </c>
      <c r="K94" s="728">
        <f>H94</f>
        <v>143.19999999999999</v>
      </c>
      <c r="L94" s="529">
        <f>'Inputs and population'!F71</f>
        <v>3</v>
      </c>
      <c r="M94" s="529">
        <f>'Inputs and population'!G71</f>
        <v>0</v>
      </c>
      <c r="N94" s="912">
        <f>ROUNDUP(K94/G94,0)</f>
        <v>1</v>
      </c>
      <c r="O94" s="912">
        <f>L94*M94*N94</f>
        <v>0</v>
      </c>
      <c r="P94" s="734">
        <f>'Inputs and population'!L86</f>
        <v>0</v>
      </c>
      <c r="Q94" s="911">
        <f>'Inputs and population'!M86</f>
        <v>0.2</v>
      </c>
      <c r="R94" s="771">
        <f>O94*P94*(100%+Q94)</f>
        <v>0</v>
      </c>
      <c r="S94" s="5"/>
      <c r="V94" s="3"/>
    </row>
    <row r="95" spans="1:22" s="4" customFormat="1" ht="15" x14ac:dyDescent="0.25">
      <c r="A95" s="5"/>
      <c r="B95" s="533" t="s">
        <v>700</v>
      </c>
      <c r="C95" s="514"/>
      <c r="D95" s="514"/>
      <c r="E95" s="515"/>
      <c r="F95" s="515"/>
      <c r="G95" s="515"/>
      <c r="H95" s="515"/>
      <c r="I95" s="516"/>
      <c r="J95" s="516"/>
      <c r="K95" s="515"/>
      <c r="L95" s="513"/>
      <c r="M95" s="519"/>
      <c r="N95" s="536"/>
      <c r="O95" s="536"/>
      <c r="P95" s="517"/>
      <c r="Q95" s="518"/>
      <c r="R95" s="526"/>
      <c r="S95" s="5"/>
      <c r="V95" s="3"/>
    </row>
    <row r="96" spans="1:22" s="4" customFormat="1" ht="15" x14ac:dyDescent="0.25">
      <c r="A96" s="5"/>
      <c r="B96" s="533" t="s">
        <v>700</v>
      </c>
      <c r="C96" s="514"/>
      <c r="D96" s="514"/>
      <c r="E96" s="515"/>
      <c r="F96" s="515"/>
      <c r="G96" s="515"/>
      <c r="H96" s="515"/>
      <c r="I96" s="516"/>
      <c r="J96" s="516"/>
      <c r="K96" s="515"/>
      <c r="L96" s="513"/>
      <c r="M96" s="519"/>
      <c r="N96" s="536"/>
      <c r="O96" s="536"/>
      <c r="P96" s="517"/>
      <c r="Q96" s="518"/>
      <c r="R96" s="526"/>
      <c r="S96" s="5"/>
      <c r="V96" s="3"/>
    </row>
    <row r="97" spans="1:22" s="4" customFormat="1" ht="15" x14ac:dyDescent="0.25">
      <c r="A97" s="5"/>
      <c r="B97" s="223" t="s">
        <v>701</v>
      </c>
      <c r="C97" s="534"/>
      <c r="D97" s="534"/>
      <c r="E97" s="534"/>
      <c r="F97" s="534"/>
      <c r="G97" s="534"/>
      <c r="H97" s="534"/>
      <c r="I97" s="534"/>
      <c r="J97" s="534"/>
      <c r="K97" s="534"/>
      <c r="L97" s="534"/>
      <c r="M97" s="534"/>
      <c r="N97" s="534"/>
      <c r="O97" s="534"/>
      <c r="P97" s="534"/>
      <c r="Q97" s="537"/>
      <c r="R97" s="538">
        <f>SUM(R94:R96)</f>
        <v>0</v>
      </c>
      <c r="S97" s="5"/>
      <c r="V97" s="3"/>
    </row>
    <row r="98" spans="1:22" s="4" customFormat="1" ht="15" x14ac:dyDescent="0.25">
      <c r="A98" s="5"/>
      <c r="B98" s="813"/>
      <c r="C98" s="220"/>
      <c r="D98" s="220"/>
      <c r="E98" s="220"/>
      <c r="F98" s="220"/>
      <c r="G98" s="220"/>
      <c r="H98" s="220"/>
      <c r="I98" s="220"/>
      <c r="J98" s="220"/>
      <c r="K98" s="220"/>
      <c r="L98" s="220"/>
      <c r="M98" s="220"/>
      <c r="N98" s="220"/>
      <c r="O98" s="220"/>
      <c r="P98" s="220"/>
      <c r="Q98" s="220"/>
      <c r="R98" s="669"/>
      <c r="S98" s="5"/>
      <c r="V98" s="3"/>
    </row>
    <row r="99" spans="1:22" s="4" customFormat="1" ht="15" x14ac:dyDescent="0.25">
      <c r="A99" s="5"/>
      <c r="B99" s="814" t="s">
        <v>702</v>
      </c>
      <c r="C99" s="220"/>
      <c r="D99" s="159"/>
      <c r="E99" s="102"/>
      <c r="F99" s="160"/>
      <c r="G99" s="161"/>
      <c r="H99" s="5"/>
      <c r="I99" s="5"/>
      <c r="J99" s="162"/>
      <c r="K99" s="161"/>
      <c r="L99" s="161"/>
      <c r="M99" s="161"/>
      <c r="N99" s="161"/>
      <c r="O99" s="220"/>
      <c r="P99" s="220"/>
      <c r="Q99" s="220"/>
      <c r="R99" s="669"/>
      <c r="S99" s="5"/>
      <c r="V99" s="3"/>
    </row>
    <row r="100" spans="1:22" s="4" customFormat="1" ht="30" x14ac:dyDescent="0.25">
      <c r="A100" s="5"/>
      <c r="B100" s="219" t="s">
        <v>703</v>
      </c>
      <c r="C100" s="221" t="s">
        <v>704</v>
      </c>
      <c r="D100" s="224" t="s">
        <v>705</v>
      </c>
      <c r="E100" s="395"/>
      <c r="F100" s="396"/>
      <c r="G100" s="396"/>
      <c r="H100" s="396"/>
      <c r="I100" s="396"/>
      <c r="J100" s="397"/>
      <c r="K100" s="396"/>
      <c r="L100" s="397"/>
      <c r="M100" s="396"/>
      <c r="N100" s="535"/>
      <c r="O100" s="535" t="s">
        <v>706</v>
      </c>
      <c r="P100" s="222" t="s">
        <v>693</v>
      </c>
      <c r="Q100" s="219" t="s">
        <v>707</v>
      </c>
      <c r="R100" s="219" t="s">
        <v>698</v>
      </c>
      <c r="S100" s="5"/>
      <c r="V100" s="3"/>
    </row>
    <row r="101" spans="1:22" s="4" customFormat="1" ht="14.45" customHeight="1" x14ac:dyDescent="0.25">
      <c r="A101" s="5"/>
      <c r="B101" s="533" t="s">
        <v>2192</v>
      </c>
      <c r="C101" s="690" t="s">
        <v>708</v>
      </c>
      <c r="D101" s="521" t="s">
        <v>2253</v>
      </c>
      <c r="E101" s="522"/>
      <c r="F101" s="523"/>
      <c r="G101" s="524"/>
      <c r="H101" s="524"/>
      <c r="I101" s="524"/>
      <c r="J101" s="524"/>
      <c r="K101" s="524"/>
      <c r="L101" s="523"/>
      <c r="M101" s="523"/>
      <c r="N101" s="689"/>
      <c r="O101" s="520">
        <f>L94</f>
        <v>3</v>
      </c>
      <c r="P101" s="513">
        <f>M94</f>
        <v>0</v>
      </c>
      <c r="Q101" s="526">
        <v>172</v>
      </c>
      <c r="R101" s="526">
        <f>O101*Q101*P101</f>
        <v>0</v>
      </c>
      <c r="S101" s="5"/>
      <c r="V101" s="3"/>
    </row>
    <row r="102" spans="1:22" s="4" customFormat="1" ht="15" x14ac:dyDescent="0.25">
      <c r="A102" s="5"/>
      <c r="B102" s="665" t="s">
        <v>670</v>
      </c>
      <c r="C102" s="220"/>
      <c r="D102" s="220"/>
      <c r="E102" s="220"/>
      <c r="F102" s="220"/>
      <c r="G102" s="220"/>
      <c r="H102" s="220"/>
      <c r="I102" s="220"/>
      <c r="J102" s="220"/>
      <c r="K102" s="220"/>
      <c r="L102" s="220"/>
      <c r="M102" s="220"/>
      <c r="N102" s="220"/>
      <c r="O102" s="220"/>
      <c r="P102" s="220"/>
      <c r="Q102" s="220"/>
      <c r="R102" s="220"/>
      <c r="S102" s="5"/>
      <c r="V102" s="3"/>
    </row>
    <row r="103" spans="1:22" s="4" customFormat="1" ht="15" x14ac:dyDescent="0.2">
      <c r="A103" s="874"/>
      <c r="B103" s="998" t="s">
        <v>2158</v>
      </c>
      <c r="C103" s="874"/>
      <c r="D103" s="159"/>
      <c r="E103" s="102"/>
      <c r="F103" s="160"/>
      <c r="G103" s="161"/>
      <c r="H103" s="5"/>
      <c r="I103" s="5"/>
      <c r="J103" s="162"/>
      <c r="K103" s="161"/>
      <c r="L103" s="161"/>
      <c r="M103" s="161"/>
      <c r="N103" s="161"/>
      <c r="O103" s="161"/>
      <c r="P103" s="161"/>
      <c r="Q103" s="161"/>
      <c r="R103" s="162"/>
      <c r="S103" s="5"/>
      <c r="V103" s="3"/>
    </row>
    <row r="104" spans="1:22" s="4" customFormat="1" ht="15" x14ac:dyDescent="0.25">
      <c r="A104" s="5"/>
      <c r="B104" s="174"/>
      <c r="C104" s="5"/>
      <c r="D104" s="159"/>
      <c r="E104" s="102"/>
      <c r="F104" s="160"/>
      <c r="G104" s="161"/>
      <c r="H104" s="5"/>
      <c r="I104" s="5"/>
      <c r="J104" s="162"/>
      <c r="K104" s="161"/>
      <c r="L104" s="161"/>
      <c r="M104" s="161"/>
      <c r="N104" s="161"/>
      <c r="O104" s="161"/>
      <c r="P104" s="161"/>
      <c r="Q104" s="161"/>
      <c r="R104" s="162"/>
      <c r="S104" s="5"/>
      <c r="V104" s="3"/>
    </row>
    <row r="105" spans="1:22" s="4" customFormat="1" ht="14.45" customHeight="1" x14ac:dyDescent="0.35">
      <c r="A105" s="5"/>
      <c r="B105" s="764" t="s">
        <v>2191</v>
      </c>
      <c r="C105" s="765"/>
      <c r="D105" s="668"/>
      <c r="E105" s="668"/>
      <c r="F105" s="668"/>
      <c r="G105" s="668"/>
      <c r="H105" s="668"/>
      <c r="I105" s="668"/>
      <c r="J105" s="668"/>
      <c r="K105" s="668"/>
      <c r="L105" s="668"/>
      <c r="M105" s="668"/>
      <c r="N105" s="668"/>
      <c r="O105" s="668"/>
      <c r="P105" s="668"/>
      <c r="Q105" s="668"/>
      <c r="R105" s="766"/>
      <c r="S105" s="5"/>
      <c r="V105" s="3"/>
    </row>
    <row r="106" spans="1:22" s="4" customFormat="1" ht="14.45" customHeight="1" x14ac:dyDescent="0.35">
      <c r="A106" s="5"/>
      <c r="B106" s="775" t="s">
        <v>686</v>
      </c>
      <c r="C106" s="772"/>
      <c r="D106" s="773"/>
      <c r="E106" s="773"/>
      <c r="F106" s="773"/>
      <c r="G106" s="773"/>
      <c r="H106" s="773"/>
      <c r="I106" s="773"/>
      <c r="J106" s="773"/>
      <c r="K106" s="773"/>
      <c r="L106" s="773"/>
      <c r="M106" s="773"/>
      <c r="N106" s="773"/>
      <c r="O106" s="773"/>
      <c r="P106" s="773"/>
      <c r="Q106" s="773"/>
      <c r="R106" s="774"/>
      <c r="S106" s="5"/>
      <c r="V106" s="3"/>
    </row>
    <row r="107" spans="1:22" s="4" customFormat="1" ht="15" x14ac:dyDescent="0.25">
      <c r="A107" s="5"/>
      <c r="B107" s="812"/>
      <c r="C107" s="768" t="s">
        <v>609</v>
      </c>
      <c r="D107" s="769"/>
      <c r="E107" s="769"/>
      <c r="F107" s="769"/>
      <c r="G107" s="770"/>
      <c r="H107" s="768" t="s">
        <v>687</v>
      </c>
      <c r="I107" s="769"/>
      <c r="J107" s="769"/>
      <c r="K107" s="769"/>
      <c r="L107" s="769"/>
      <c r="M107" s="769"/>
      <c r="N107" s="769"/>
      <c r="O107" s="769"/>
      <c r="P107" s="769"/>
      <c r="Q107" s="769"/>
      <c r="R107" s="770"/>
      <c r="S107" s="5"/>
      <c r="V107" s="3"/>
    </row>
    <row r="108" spans="1:22" s="4" customFormat="1" ht="60" x14ac:dyDescent="0.25">
      <c r="A108" s="5"/>
      <c r="B108" s="221" t="s">
        <v>688</v>
      </c>
      <c r="C108" s="222" t="s">
        <v>612</v>
      </c>
      <c r="D108" s="222" t="s">
        <v>613</v>
      </c>
      <c r="E108" s="222" t="s">
        <v>614</v>
      </c>
      <c r="F108" s="222" t="s">
        <v>615</v>
      </c>
      <c r="G108" s="222" t="s">
        <v>616</v>
      </c>
      <c r="H108" s="219" t="s">
        <v>689</v>
      </c>
      <c r="I108" s="222" t="s">
        <v>690</v>
      </c>
      <c r="J108" s="222" t="s">
        <v>709</v>
      </c>
      <c r="K108" s="222" t="s">
        <v>692</v>
      </c>
      <c r="L108" s="222" t="s">
        <v>693</v>
      </c>
      <c r="M108" s="535" t="s">
        <v>694</v>
      </c>
      <c r="N108" s="535" t="s">
        <v>695</v>
      </c>
      <c r="O108" s="535" t="s">
        <v>696</v>
      </c>
      <c r="P108" s="222" t="s">
        <v>2254</v>
      </c>
      <c r="Q108" s="219" t="s">
        <v>697</v>
      </c>
      <c r="R108" s="222" t="s">
        <v>698</v>
      </c>
      <c r="S108" s="5"/>
      <c r="V108" s="3"/>
    </row>
    <row r="109" spans="1:22" s="4" customFormat="1" ht="15" x14ac:dyDescent="0.25">
      <c r="A109" s="5"/>
      <c r="B109" s="729" t="str">
        <f>'Inputs and population'!C87</f>
        <v>Avelumab</v>
      </c>
      <c r="C109" s="913" t="str">
        <f>'Inputs and population'!D87</f>
        <v>IV</v>
      </c>
      <c r="D109" s="913" t="str">
        <f>'Inputs and population'!E87</f>
        <v>vial</v>
      </c>
      <c r="E109" s="729">
        <f>'Inputs and population'!F87</f>
        <v>200</v>
      </c>
      <c r="F109" s="729">
        <f>'Inputs and population'!G87</f>
        <v>1</v>
      </c>
      <c r="G109" s="729">
        <f>'Inputs and population'!H87</f>
        <v>200</v>
      </c>
      <c r="H109" s="729">
        <f>'Inputs and population'!I87</f>
        <v>800</v>
      </c>
      <c r="I109" s="732">
        <f>'Inputs and population'!$D$92</f>
        <v>1.79</v>
      </c>
      <c r="J109" s="728">
        <f>H109</f>
        <v>800</v>
      </c>
      <c r="K109" s="529">
        <f>'Inputs and population'!F73</f>
        <v>1</v>
      </c>
      <c r="L109" s="983">
        <f>'Inputs and population'!G73</f>
        <v>0</v>
      </c>
      <c r="M109" s="986">
        <f>L109*K109*J109</f>
        <v>0</v>
      </c>
      <c r="N109" s="529">
        <f>M109/G109</f>
        <v>0</v>
      </c>
      <c r="O109" s="734">
        <f>'Inputs and population'!L87</f>
        <v>0</v>
      </c>
      <c r="P109" s="906">
        <f>'Inputs and population'!K87</f>
        <v>1</v>
      </c>
      <c r="Q109" s="911">
        <f>'Inputs and population'!M87</f>
        <v>0.2</v>
      </c>
      <c r="R109" s="907">
        <f>(N109*O109*(100%+Q109))*P109</f>
        <v>0</v>
      </c>
      <c r="S109" s="5"/>
      <c r="V109" s="3"/>
    </row>
    <row r="110" spans="1:22" s="4" customFormat="1" ht="15" x14ac:dyDescent="0.25">
      <c r="A110" s="5"/>
      <c r="B110" s="533" t="s">
        <v>700</v>
      </c>
      <c r="C110" s="514"/>
      <c r="D110" s="514"/>
      <c r="E110" s="515"/>
      <c r="F110" s="515"/>
      <c r="G110" s="515"/>
      <c r="H110" s="515"/>
      <c r="I110" s="516"/>
      <c r="J110" s="515"/>
      <c r="K110" s="513"/>
      <c r="L110" s="519"/>
      <c r="M110" s="536"/>
      <c r="N110" s="536"/>
      <c r="O110" s="517"/>
      <c r="P110" s="518"/>
      <c r="Q110" s="518"/>
      <c r="R110" s="526"/>
      <c r="S110" s="5"/>
      <c r="V110" s="3"/>
    </row>
    <row r="111" spans="1:22" s="4" customFormat="1" ht="15" x14ac:dyDescent="0.25">
      <c r="A111" s="5"/>
      <c r="B111" s="533" t="s">
        <v>700</v>
      </c>
      <c r="C111" s="514"/>
      <c r="D111" s="514"/>
      <c r="E111" s="515"/>
      <c r="F111" s="515"/>
      <c r="G111" s="515"/>
      <c r="H111" s="515"/>
      <c r="I111" s="516"/>
      <c r="J111" s="515"/>
      <c r="K111" s="513"/>
      <c r="L111" s="519"/>
      <c r="M111" s="536"/>
      <c r="N111" s="536"/>
      <c r="O111" s="517"/>
      <c r="P111" s="518"/>
      <c r="Q111" s="518"/>
      <c r="R111" s="526"/>
      <c r="S111" s="5"/>
      <c r="V111" s="3"/>
    </row>
    <row r="112" spans="1:22" s="4" customFormat="1" ht="15" x14ac:dyDescent="0.25">
      <c r="A112" s="5"/>
      <c r="B112" s="223" t="s">
        <v>701</v>
      </c>
      <c r="C112" s="534"/>
      <c r="D112" s="534"/>
      <c r="E112" s="534"/>
      <c r="F112" s="534"/>
      <c r="G112" s="534"/>
      <c r="H112" s="534"/>
      <c r="I112" s="534"/>
      <c r="J112" s="534"/>
      <c r="K112" s="534"/>
      <c r="L112" s="534"/>
      <c r="M112" s="534"/>
      <c r="N112" s="534"/>
      <c r="O112" s="534"/>
      <c r="P112" s="534"/>
      <c r="Q112" s="537"/>
      <c r="R112" s="538">
        <f>SUM(R109:R111)</f>
        <v>0</v>
      </c>
      <c r="S112" s="5"/>
      <c r="V112" s="3"/>
    </row>
    <row r="113" spans="1:22" s="4" customFormat="1" ht="15" x14ac:dyDescent="0.25">
      <c r="A113" s="5"/>
      <c r="B113" s="813"/>
      <c r="C113" s="220"/>
      <c r="D113" s="220"/>
      <c r="E113" s="220"/>
      <c r="F113" s="220"/>
      <c r="G113" s="220"/>
      <c r="H113" s="220"/>
      <c r="I113" s="220"/>
      <c r="J113" s="220"/>
      <c r="K113" s="220"/>
      <c r="L113" s="220"/>
      <c r="M113" s="220"/>
      <c r="N113" s="220"/>
      <c r="O113" s="220"/>
      <c r="P113" s="220"/>
      <c r="Q113" s="220"/>
      <c r="R113" s="669"/>
      <c r="S113" s="5"/>
      <c r="V113" s="3"/>
    </row>
    <row r="114" spans="1:22" s="4" customFormat="1" ht="15" x14ac:dyDescent="0.25">
      <c r="A114" s="5"/>
      <c r="B114" s="814" t="s">
        <v>702</v>
      </c>
      <c r="C114" s="220"/>
      <c r="D114" s="159"/>
      <c r="E114" s="102"/>
      <c r="F114" s="160"/>
      <c r="G114" s="161"/>
      <c r="H114" s="5"/>
      <c r="I114" s="5"/>
      <c r="J114" s="162"/>
      <c r="K114" s="161"/>
      <c r="L114" s="161"/>
      <c r="M114" s="161"/>
      <c r="N114" s="161"/>
      <c r="O114" s="220"/>
      <c r="P114" s="220"/>
      <c r="Q114" s="220"/>
      <c r="R114" s="669"/>
      <c r="S114" s="5"/>
      <c r="V114" s="3"/>
    </row>
    <row r="115" spans="1:22" s="4" customFormat="1" ht="30" x14ac:dyDescent="0.25">
      <c r="A115" s="5"/>
      <c r="B115" s="219" t="s">
        <v>703</v>
      </c>
      <c r="C115" s="221" t="s">
        <v>704</v>
      </c>
      <c r="D115" s="224" t="s">
        <v>705</v>
      </c>
      <c r="E115" s="395"/>
      <c r="F115" s="396"/>
      <c r="G115" s="396"/>
      <c r="H115" s="396"/>
      <c r="I115" s="396"/>
      <c r="J115" s="397"/>
      <c r="K115" s="396"/>
      <c r="L115" s="397"/>
      <c r="M115" s="396"/>
      <c r="N115" s="535"/>
      <c r="O115" s="535" t="s">
        <v>706</v>
      </c>
      <c r="P115" s="222" t="s">
        <v>693</v>
      </c>
      <c r="Q115" s="219" t="s">
        <v>707</v>
      </c>
      <c r="R115" s="219" t="s">
        <v>698</v>
      </c>
      <c r="S115" s="5"/>
      <c r="V115" s="3"/>
    </row>
    <row r="116" spans="1:22" s="4" customFormat="1" ht="14.45" customHeight="1" x14ac:dyDescent="0.25">
      <c r="A116" s="5"/>
      <c r="B116" s="533" t="s">
        <v>2191</v>
      </c>
      <c r="C116" s="690" t="s">
        <v>708</v>
      </c>
      <c r="D116" s="521" t="s">
        <v>2259</v>
      </c>
      <c r="E116" s="522"/>
      <c r="F116" s="523"/>
      <c r="G116" s="524"/>
      <c r="H116" s="524"/>
      <c r="I116" s="524"/>
      <c r="J116" s="524"/>
      <c r="K116" s="524"/>
      <c r="L116" s="523"/>
      <c r="M116" s="523"/>
      <c r="N116" s="689"/>
      <c r="O116" s="520">
        <f>K109</f>
        <v>1</v>
      </c>
      <c r="P116" s="513">
        <f>L109</f>
        <v>0</v>
      </c>
      <c r="Q116" s="526">
        <v>172</v>
      </c>
      <c r="R116" s="526">
        <f>O116*Q116*P116</f>
        <v>0</v>
      </c>
      <c r="S116" s="5"/>
      <c r="V116" s="3"/>
    </row>
    <row r="117" spans="1:22" s="4" customFormat="1" ht="15" x14ac:dyDescent="0.25">
      <c r="A117" s="5"/>
      <c r="B117" s="665" t="s">
        <v>670</v>
      </c>
      <c r="C117" s="220"/>
      <c r="D117" s="220"/>
      <c r="E117" s="220"/>
      <c r="F117" s="220"/>
      <c r="G117" s="220"/>
      <c r="H117" s="220"/>
      <c r="I117" s="220"/>
      <c r="J117" s="220"/>
      <c r="K117" s="220"/>
      <c r="L117" s="220"/>
      <c r="M117" s="220"/>
      <c r="N117" s="220"/>
      <c r="O117" s="220"/>
      <c r="P117" s="220"/>
      <c r="Q117" s="220"/>
      <c r="R117" s="220"/>
      <c r="S117" s="5"/>
      <c r="V117" s="3"/>
    </row>
    <row r="118" spans="1:22" s="4" customFormat="1" ht="15" x14ac:dyDescent="0.2">
      <c r="A118" s="874"/>
      <c r="B118" s="998" t="s">
        <v>2158</v>
      </c>
      <c r="C118" s="5"/>
      <c r="D118" s="159"/>
      <c r="E118" s="102"/>
      <c r="F118" s="160"/>
      <c r="G118" s="161"/>
      <c r="H118" s="5"/>
      <c r="I118" s="5"/>
      <c r="J118" s="162"/>
      <c r="K118" s="161"/>
      <c r="L118" s="161"/>
      <c r="M118" s="161"/>
      <c r="N118" s="161"/>
      <c r="O118" s="161"/>
      <c r="P118" s="161"/>
      <c r="Q118" s="161"/>
      <c r="R118" s="162"/>
      <c r="S118" s="5"/>
      <c r="V118" s="3"/>
    </row>
    <row r="119" spans="1:22" s="4" customFormat="1" ht="15" x14ac:dyDescent="0.25">
      <c r="A119" s="5"/>
      <c r="B119" s="174"/>
      <c r="C119" s="5"/>
      <c r="D119" s="159"/>
      <c r="E119" s="102"/>
      <c r="F119" s="160"/>
      <c r="G119" s="161"/>
      <c r="H119" s="5"/>
      <c r="I119" s="5"/>
      <c r="J119" s="162"/>
      <c r="K119" s="161"/>
      <c r="L119" s="161"/>
      <c r="M119" s="161"/>
      <c r="N119" s="161"/>
      <c r="O119" s="161"/>
      <c r="P119" s="161"/>
      <c r="Q119" s="161"/>
      <c r="R119" s="162"/>
      <c r="S119" s="5"/>
      <c r="V119" s="3"/>
    </row>
    <row r="120" spans="1:22" s="4" customFormat="1" ht="15" x14ac:dyDescent="0.25">
      <c r="A120" s="5"/>
      <c r="B120" s="398" t="s">
        <v>710</v>
      </c>
      <c r="C120" s="159"/>
      <c r="D120" s="159"/>
      <c r="E120" s="102"/>
      <c r="F120" s="160"/>
      <c r="G120" s="161"/>
      <c r="H120" s="5"/>
      <c r="I120" s="5"/>
      <c r="J120" s="162"/>
      <c r="K120" s="161"/>
      <c r="L120" s="161"/>
      <c r="M120" s="161"/>
      <c r="N120" s="161"/>
      <c r="O120" s="161"/>
      <c r="P120" s="161"/>
      <c r="Q120" s="161"/>
      <c r="R120" s="162"/>
      <c r="S120" s="5"/>
      <c r="V120" s="3"/>
    </row>
    <row r="121" spans="1:22" s="4" customFormat="1" ht="15" x14ac:dyDescent="0.25">
      <c r="A121" s="5"/>
      <c r="B121" s="219" t="s">
        <v>703</v>
      </c>
      <c r="C121" s="221" t="s">
        <v>704</v>
      </c>
      <c r="D121" s="224" t="s">
        <v>705</v>
      </c>
      <c r="E121" s="394"/>
      <c r="F121" s="395"/>
      <c r="G121" s="396"/>
      <c r="H121" s="397"/>
      <c r="I121" s="396"/>
      <c r="J121" s="397"/>
      <c r="K121" s="396"/>
      <c r="L121" s="397"/>
      <c r="M121" s="396"/>
      <c r="N121" s="399" t="s">
        <v>707</v>
      </c>
      <c r="O121" s="161"/>
      <c r="P121" s="914"/>
      <c r="Q121" s="914"/>
      <c r="R121" s="162"/>
      <c r="S121" s="5"/>
      <c r="V121" s="3"/>
    </row>
    <row r="122" spans="1:22" s="4" customFormat="1" ht="15" x14ac:dyDescent="0.25">
      <c r="A122" s="5"/>
      <c r="B122" s="513" t="s">
        <v>711</v>
      </c>
      <c r="C122" s="527"/>
      <c r="D122" s="521"/>
      <c r="E122" s="528"/>
      <c r="F122" s="522"/>
      <c r="G122" s="523"/>
      <c r="H122" s="524"/>
      <c r="I122" s="524"/>
      <c r="J122" s="524"/>
      <c r="K122" s="524"/>
      <c r="L122" s="523"/>
      <c r="M122" s="525"/>
      <c r="N122" s="526"/>
      <c r="O122" s="161"/>
      <c r="P122" s="914"/>
      <c r="Q122" s="914"/>
      <c r="R122" s="162"/>
      <c r="S122" s="5"/>
      <c r="V122" s="3"/>
    </row>
    <row r="123" spans="1:22" s="4" customFormat="1" ht="15" x14ac:dyDescent="0.25">
      <c r="A123" s="5"/>
      <c r="B123" s="513" t="s">
        <v>712</v>
      </c>
      <c r="C123" s="527"/>
      <c r="D123" s="521"/>
      <c r="E123" s="528"/>
      <c r="F123" s="522"/>
      <c r="G123" s="523"/>
      <c r="H123" s="524"/>
      <c r="I123" s="524"/>
      <c r="J123" s="524"/>
      <c r="K123" s="524"/>
      <c r="L123" s="523"/>
      <c r="M123" s="525"/>
      <c r="N123" s="526"/>
      <c r="O123" s="161"/>
      <c r="P123" s="914"/>
      <c r="Q123" s="914"/>
      <c r="R123" s="162"/>
      <c r="S123" s="5"/>
      <c r="V123" s="3"/>
    </row>
    <row r="124" spans="1:22" s="4" customFormat="1" ht="15" x14ac:dyDescent="0.25">
      <c r="A124" s="5"/>
      <c r="B124" s="541" t="s">
        <v>2159</v>
      </c>
      <c r="C124" s="5"/>
      <c r="D124" s="159"/>
      <c r="E124" s="102"/>
      <c r="F124" s="160"/>
      <c r="G124" s="161"/>
      <c r="H124" s="5"/>
      <c r="I124" s="5"/>
      <c r="J124" s="162"/>
      <c r="K124" s="161"/>
      <c r="L124" s="161"/>
      <c r="M124" s="161"/>
      <c r="N124" s="161"/>
      <c r="O124" s="161"/>
      <c r="P124" s="914"/>
      <c r="Q124" s="914"/>
      <c r="R124" s="162"/>
      <c r="S124" s="5"/>
      <c r="V124" s="3"/>
    </row>
    <row r="125" spans="1:22" s="4" customFormat="1" ht="15" x14ac:dyDescent="0.25">
      <c r="A125" s="5"/>
      <c r="B125" s="174"/>
      <c r="C125" s="5"/>
      <c r="D125" s="159"/>
      <c r="E125" s="102"/>
      <c r="F125" s="160"/>
      <c r="G125" s="161"/>
      <c r="H125" s="5"/>
      <c r="I125" s="5"/>
      <c r="J125" s="162"/>
      <c r="K125" s="161"/>
      <c r="L125" s="161"/>
      <c r="M125" s="161"/>
      <c r="N125" s="161"/>
      <c r="O125" s="161"/>
      <c r="P125" s="914"/>
      <c r="Q125" s="914"/>
      <c r="R125" s="162"/>
      <c r="S125" s="5"/>
      <c r="V125" s="3"/>
    </row>
    <row r="126" spans="1:22" s="4" customFormat="1" ht="15" x14ac:dyDescent="0.25">
      <c r="A126" s="5"/>
      <c r="B126" s="862" t="s">
        <v>2204</v>
      </c>
      <c r="C126"/>
      <c r="D126" s="671"/>
      <c r="E126" s="140"/>
      <c r="F126"/>
      <c r="G126"/>
      <c r="H126"/>
      <c r="I126"/>
      <c r="J126"/>
      <c r="K126"/>
      <c r="L126"/>
      <c r="M126"/>
      <c r="N126"/>
      <c r="O126" s="161"/>
      <c r="P126" s="161"/>
      <c r="Q126" s="161"/>
      <c r="R126" s="162"/>
      <c r="S126" s="5"/>
      <c r="V126" s="3"/>
    </row>
    <row r="127" spans="1:22" s="4" customFormat="1" ht="15" x14ac:dyDescent="0.25">
      <c r="A127" s="5"/>
      <c r="B127" s="862"/>
      <c r="C127"/>
      <c r="D127" s="671"/>
      <c r="E127" s="140"/>
      <c r="F127"/>
      <c r="G127"/>
      <c r="H127"/>
      <c r="I127"/>
      <c r="J127"/>
      <c r="K127"/>
      <c r="L127"/>
      <c r="M127"/>
      <c r="N127"/>
      <c r="O127" s="917"/>
      <c r="P127" s="917"/>
      <c r="Q127" s="917"/>
      <c r="R127" s="918"/>
      <c r="S127" s="5"/>
      <c r="V127" s="3"/>
    </row>
    <row r="128" spans="1:22" s="4" customFormat="1" ht="45" x14ac:dyDescent="0.25">
      <c r="A128" s="5"/>
      <c r="B128" s="1002" t="s">
        <v>2194</v>
      </c>
      <c r="C128" s="1003" t="s">
        <v>2203</v>
      </c>
      <c r="D128" s="1007" t="s">
        <v>2239</v>
      </c>
      <c r="E128" s="1007" t="s">
        <v>2240</v>
      </c>
      <c r="F128" s="1008" t="s">
        <v>2292</v>
      </c>
      <c r="G128" s="1008" t="s">
        <v>2264</v>
      </c>
      <c r="H128" s="1009" t="s">
        <v>2260</v>
      </c>
      <c r="I128" s="863"/>
      <c r="J128"/>
      <c r="K128" s="863"/>
      <c r="L128" s="863"/>
      <c r="M128"/>
      <c r="N128"/>
      <c r="O128" s="917"/>
      <c r="P128" s="917"/>
      <c r="Q128" s="917"/>
      <c r="R128" s="918"/>
      <c r="S128" s="5"/>
      <c r="V128" s="3"/>
    </row>
    <row r="129" spans="1:22" s="4" customFormat="1" ht="15" x14ac:dyDescent="0.25">
      <c r="A129" s="5"/>
      <c r="B129" s="1002" t="s">
        <v>2195</v>
      </c>
      <c r="C129" s="1010">
        <f>'Inputs and population'!D98</f>
        <v>2.96</v>
      </c>
      <c r="D129" s="1011">
        <f>'Inputs and population'!E98</f>
        <v>1</v>
      </c>
      <c r="E129" s="1011">
        <f>'Inputs and population'!F98</f>
        <v>1</v>
      </c>
      <c r="F129" s="1011">
        <f>'Inputs and population'!G98</f>
        <v>1</v>
      </c>
      <c r="G129" s="1011">
        <f>'Inputs and population'!H98</f>
        <v>1</v>
      </c>
      <c r="H129" s="1011">
        <f>'Inputs and population'!I98</f>
        <v>0</v>
      </c>
      <c r="I129" s="864"/>
      <c r="J129"/>
      <c r="K129" s="864"/>
      <c r="L129" s="864"/>
      <c r="M129"/>
      <c r="N129"/>
      <c r="O129" s="917"/>
      <c r="P129" s="917"/>
      <c r="Q129" s="917"/>
      <c r="R129" s="918"/>
      <c r="S129" s="5"/>
      <c r="V129" s="3"/>
    </row>
    <row r="130" spans="1:22" s="4" customFormat="1" ht="14.45" customHeight="1" x14ac:dyDescent="0.25">
      <c r="A130" s="5"/>
      <c r="B130" s="1002" t="s">
        <v>2196</v>
      </c>
      <c r="C130" s="1010">
        <f>'Inputs and population'!D99</f>
        <v>1.55</v>
      </c>
      <c r="D130" s="1011">
        <f>'Inputs and population'!E99</f>
        <v>1</v>
      </c>
      <c r="E130" s="1011">
        <f>'Inputs and population'!F99</f>
        <v>1</v>
      </c>
      <c r="F130" s="1011">
        <f>'Inputs and population'!G99</f>
        <v>1</v>
      </c>
      <c r="G130" s="1011">
        <f>'Inputs and population'!H99</f>
        <v>1</v>
      </c>
      <c r="H130" s="1011">
        <f>'Inputs and population'!I99</f>
        <v>0</v>
      </c>
      <c r="I130" s="864"/>
      <c r="J130"/>
      <c r="K130" s="864"/>
      <c r="L130" s="864"/>
      <c r="M130"/>
      <c r="N130"/>
      <c r="O130" s="917"/>
      <c r="P130" s="917"/>
      <c r="Q130" s="917"/>
      <c r="R130" s="918"/>
      <c r="S130" s="5"/>
      <c r="V130" s="3"/>
    </row>
    <row r="131" spans="1:22" s="4" customFormat="1" ht="14.45" customHeight="1" x14ac:dyDescent="0.25">
      <c r="A131" s="5"/>
      <c r="B131" s="1002" t="s">
        <v>2197</v>
      </c>
      <c r="C131" s="1010">
        <f>'Inputs and population'!D100</f>
        <v>1.55</v>
      </c>
      <c r="D131" s="1011">
        <f>'Inputs and population'!E100</f>
        <v>1</v>
      </c>
      <c r="E131" s="1011">
        <f>'Inputs and population'!F100</f>
        <v>1</v>
      </c>
      <c r="F131" s="1011">
        <f>'Inputs and population'!G100</f>
        <v>0</v>
      </c>
      <c r="G131" s="1011">
        <f>'Inputs and population'!H100</f>
        <v>0</v>
      </c>
      <c r="H131" s="1011">
        <f>'Inputs and population'!I100</f>
        <v>0</v>
      </c>
      <c r="I131" s="864"/>
      <c r="J131"/>
      <c r="K131" s="864"/>
      <c r="L131" s="864"/>
      <c r="M131"/>
      <c r="N131"/>
      <c r="O131" s="917"/>
      <c r="P131" s="917"/>
      <c r="Q131" s="917"/>
      <c r="R131" s="918"/>
      <c r="S131" s="5"/>
      <c r="V131" s="3"/>
    </row>
    <row r="132" spans="1:22" ht="14.45" customHeight="1" x14ac:dyDescent="0.25">
      <c r="A132" s="141"/>
      <c r="B132" s="1002" t="s">
        <v>2198</v>
      </c>
      <c r="C132" s="1010">
        <f>'Inputs and population'!D101</f>
        <v>1.55</v>
      </c>
      <c r="D132" s="1011">
        <f>'Inputs and population'!E101</f>
        <v>1</v>
      </c>
      <c r="E132" s="1011">
        <f>'Inputs and population'!F101</f>
        <v>1</v>
      </c>
      <c r="F132" s="1011">
        <f>'Inputs and population'!G101</f>
        <v>1</v>
      </c>
      <c r="G132" s="1011">
        <f>'Inputs and population'!H101</f>
        <v>1</v>
      </c>
      <c r="H132" s="1011">
        <f>'Inputs and population'!I101</f>
        <v>0</v>
      </c>
      <c r="I132" s="864"/>
      <c r="J132"/>
      <c r="K132" s="865"/>
      <c r="L132" s="865"/>
      <c r="M132"/>
      <c r="N132"/>
      <c r="O132" s="141"/>
      <c r="P132" s="141"/>
      <c r="Q132" s="141"/>
      <c r="R132" s="141"/>
      <c r="S132" s="141"/>
    </row>
    <row r="133" spans="1:22" ht="15" x14ac:dyDescent="0.25">
      <c r="A133" s="141"/>
      <c r="B133" s="1002" t="s">
        <v>2199</v>
      </c>
      <c r="C133" s="1010">
        <f>'Inputs and population'!D102</f>
        <v>1.55</v>
      </c>
      <c r="D133" s="1011">
        <f>'Inputs and population'!E102</f>
        <v>1</v>
      </c>
      <c r="E133" s="1011">
        <f>'Inputs and population'!F102</f>
        <v>1</v>
      </c>
      <c r="F133" s="1011">
        <f>'Inputs and population'!G102</f>
        <v>0</v>
      </c>
      <c r="G133" s="1011">
        <f>'Inputs and population'!H102</f>
        <v>0</v>
      </c>
      <c r="H133" s="1011">
        <f>'Inputs and population'!I102</f>
        <v>0</v>
      </c>
      <c r="I133" s="864"/>
      <c r="J133"/>
      <c r="K133"/>
      <c r="L133"/>
      <c r="M133"/>
      <c r="N133"/>
      <c r="O133" s="141"/>
      <c r="P133" s="141"/>
      <c r="Q133" s="141"/>
      <c r="R133" s="141"/>
      <c r="S133" s="141"/>
    </row>
    <row r="134" spans="1:22" ht="15" x14ac:dyDescent="0.2">
      <c r="A134" s="141"/>
      <c r="B134" s="1002" t="s">
        <v>2200</v>
      </c>
      <c r="C134" s="1010">
        <f>'Inputs and population'!D103</f>
        <v>213.5</v>
      </c>
      <c r="D134" s="1011">
        <f>'Inputs and population'!E103</f>
        <v>0</v>
      </c>
      <c r="E134" s="1011">
        <f>'Inputs and population'!F103</f>
        <v>0</v>
      </c>
      <c r="F134" s="1011">
        <f>'Inputs and population'!G103</f>
        <v>0</v>
      </c>
      <c r="G134" s="1011">
        <f>'Inputs and population'!H103</f>
        <v>1</v>
      </c>
      <c r="H134" s="1011">
        <f>'Inputs and population'!I103</f>
        <v>0</v>
      </c>
      <c r="I134" s="864"/>
      <c r="J134" s="141"/>
      <c r="K134" s="141"/>
      <c r="L134" s="141"/>
      <c r="M134" s="141"/>
      <c r="N134" s="141"/>
      <c r="O134" s="141"/>
      <c r="P134" s="141"/>
      <c r="Q134" s="141"/>
      <c r="R134" s="141"/>
      <c r="S134" s="141"/>
    </row>
    <row r="135" spans="1:22" ht="15" x14ac:dyDescent="0.25">
      <c r="A135" s="141"/>
      <c r="B135" s="220"/>
      <c r="C135" s="140" t="s">
        <v>2293</v>
      </c>
      <c r="D135" s="1004">
        <f>'Inputs and population'!E104</f>
        <v>9.16</v>
      </c>
      <c r="E135" s="1004">
        <f>'Inputs and population'!F104</f>
        <v>9.16</v>
      </c>
      <c r="F135" s="1004">
        <f>'Inputs and population'!G104</f>
        <v>6.06</v>
      </c>
      <c r="G135" s="1004">
        <f>'Inputs and population'!H104</f>
        <v>219.56</v>
      </c>
      <c r="H135" s="1004">
        <f>'Inputs and population'!I104</f>
        <v>0</v>
      </c>
      <c r="I135"/>
      <c r="J135" s="141"/>
      <c r="K135" s="141"/>
      <c r="L135" s="141"/>
      <c r="M135" s="141"/>
      <c r="N135" s="141"/>
      <c r="O135" s="141"/>
      <c r="P135" s="141"/>
      <c r="Q135" s="141"/>
      <c r="R135" s="141"/>
      <c r="S135" s="141"/>
    </row>
    <row r="136" spans="1:22" ht="15" x14ac:dyDescent="0.25">
      <c r="A136" s="141"/>
      <c r="B136" s="220"/>
      <c r="C136"/>
      <c r="D136"/>
      <c r="E136"/>
      <c r="F136"/>
      <c r="G136"/>
      <c r="H136"/>
      <c r="I136"/>
      <c r="J136" s="141"/>
      <c r="K136" s="141"/>
      <c r="L136" s="141"/>
      <c r="M136" s="141"/>
      <c r="N136" s="141"/>
      <c r="O136" s="141"/>
      <c r="P136" s="141"/>
      <c r="Q136" s="141"/>
      <c r="R136" s="141"/>
      <c r="S136" s="141"/>
    </row>
  </sheetData>
  <sheetProtection algorithmName="SHA-512" hashValue="lPWsvyZqDNjjWDohjTwVOxpGrpsRtow71Ivx5jJtySlpEjnKVKtNO07Hdd4NH8zKLQwxmuls8nIhM2jPXOjmSg==" saltValue="x0XArATEdpnsA9PbPZ7RCA==" spinCount="100000" sheet="1" objects="1" scenarios="1"/>
  <mergeCells count="5">
    <mergeCell ref="D7:I7"/>
    <mergeCell ref="D15:G15"/>
    <mergeCell ref="H15:K15"/>
    <mergeCell ref="D53:L53"/>
    <mergeCell ref="D54:L54"/>
  </mergeCells>
  <phoneticPr fontId="43" type="noConversion"/>
  <hyperlinks>
    <hyperlink ref="B124" r:id="rId1" xr:uid="{463FD3C7-48FA-4D08-9E9E-684E4700E853}"/>
    <hyperlink ref="B72" r:id="rId2" display="Drug costs from eMIT: online [accessed 09.12.22]" xr:uid="{F75EEF31-E977-4F80-BBE7-CC724E369862}"/>
    <hyperlink ref="B40" r:id="rId3" xr:uid="{9EA86ABD-8B64-4D62-A8E3-967E81007260}"/>
    <hyperlink ref="B57" r:id="rId4" xr:uid="{D83C4473-787B-409F-B2A4-56619C4815F0}"/>
    <hyperlink ref="B73" r:id="rId5" xr:uid="{945786F3-E21A-4E5F-A1E7-281E01D6F59B}"/>
    <hyperlink ref="B88" r:id="rId6" xr:uid="{D7F89850-0095-476E-87C2-C9AB217E7416}"/>
    <hyperlink ref="B103" r:id="rId7" xr:uid="{E3F4C86E-DD84-443C-8F73-412BEA651F13}"/>
    <hyperlink ref="B118" r:id="rId8" xr:uid="{BDB30D59-C2F9-4BBD-833B-A10D2653F534}"/>
    <hyperlink ref="B56" r:id="rId9" display="Drug costs from eMIT: online [accessed 09.12.22]" xr:uid="{EBA2095E-55FE-4C58-AED9-E64B1C5A3D90}"/>
  </hyperlinks>
  <pageMargins left="0.70866141732283472" right="0.70866141732283472" top="0.74803149606299213" bottom="0.74803149606299213" header="0.31496062992125984" footer="0.31496062992125984"/>
  <pageSetup paperSize="9" scale="35" orientation="portrait"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75"/>
  <sheetViews>
    <sheetView showGridLines="0" zoomScale="80" zoomScaleNormal="80" zoomScaleSheetLayoutView="80" workbookViewId="0">
      <selection activeCell="D1" sqref="D1"/>
    </sheetView>
  </sheetViews>
  <sheetFormatPr defaultColWidth="8.85546875" defaultRowHeight="15" x14ac:dyDescent="0.25"/>
  <cols>
    <col min="1" max="1" width="3.5703125" customWidth="1"/>
    <col min="2" max="2" width="62.42578125" style="1" customWidth="1"/>
    <col min="3" max="3" width="11.5703125" style="1" customWidth="1"/>
    <col min="4" max="8" width="11.5703125" customWidth="1"/>
    <col min="9" max="9" width="44.42578125" customWidth="1"/>
    <col min="10" max="10" width="11.5703125" customWidth="1"/>
    <col min="11" max="11" width="1.42578125" customWidth="1"/>
  </cols>
  <sheetData>
    <row r="1" spans="2:10" ht="30" customHeight="1" x14ac:dyDescent="0.25">
      <c r="B1" s="447" t="str">
        <f>'Inputs and population'!B1</f>
        <v>Enfortumab vedotin with pembrolizumab for untreated unresectable or metastatic urothelial cancer when platinum-based chemotherapy is suitable</v>
      </c>
      <c r="C1" s="132"/>
      <c r="D1" s="129"/>
      <c r="E1" s="129"/>
      <c r="F1" s="129"/>
      <c r="G1" s="129"/>
      <c r="H1" s="129"/>
      <c r="I1" s="129"/>
      <c r="J1" s="129"/>
    </row>
    <row r="2" spans="2:10" ht="30" customHeight="1" x14ac:dyDescent="0.25">
      <c r="B2" s="335" t="s">
        <v>557</v>
      </c>
      <c r="C2" s="129"/>
      <c r="E2" s="115" t="s">
        <v>599</v>
      </c>
      <c r="F2" s="115" t="s">
        <v>599</v>
      </c>
      <c r="G2" s="115" t="s">
        <v>599</v>
      </c>
      <c r="H2" s="115" t="s">
        <v>599</v>
      </c>
      <c r="I2" s="115" t="s">
        <v>599</v>
      </c>
      <c r="J2" s="129"/>
    </row>
    <row r="3" spans="2:10" x14ac:dyDescent="0.25">
      <c r="B3" s="118" t="s">
        <v>599</v>
      </c>
      <c r="C3" s="118"/>
      <c r="D3" s="121" t="s">
        <v>599</v>
      </c>
      <c r="E3" s="121" t="s">
        <v>599</v>
      </c>
      <c r="F3" s="121" t="s">
        <v>599</v>
      </c>
      <c r="G3" s="121" t="s">
        <v>599</v>
      </c>
      <c r="H3" s="121" t="s">
        <v>599</v>
      </c>
      <c r="I3" s="121" t="s">
        <v>599</v>
      </c>
      <c r="J3" s="129"/>
    </row>
    <row r="4" spans="2:10" ht="45" x14ac:dyDescent="0.25">
      <c r="B4" s="231" t="s">
        <v>713</v>
      </c>
      <c r="C4" s="213" t="s">
        <v>678</v>
      </c>
      <c r="D4" s="243" t="s">
        <v>591</v>
      </c>
      <c r="E4" s="243" t="s">
        <v>592</v>
      </c>
      <c r="F4" s="244" t="s">
        <v>714</v>
      </c>
      <c r="G4" s="244" t="s">
        <v>715</v>
      </c>
      <c r="H4" s="243" t="s">
        <v>716</v>
      </c>
      <c r="J4" s="129"/>
    </row>
    <row r="5" spans="2:10" s="136" customFormat="1" x14ac:dyDescent="0.25">
      <c r="B5" s="154" t="s">
        <v>717</v>
      </c>
      <c r="C5" s="116">
        <f>'Inputs and population'!E34</f>
        <v>1298.5707162590279</v>
      </c>
      <c r="D5" s="116">
        <f>'Inputs and population'!F34</f>
        <v>1309.9862170041781</v>
      </c>
      <c r="E5" s="116">
        <f>'Inputs and population'!G34</f>
        <v>1321.5020693556216</v>
      </c>
      <c r="F5" s="116">
        <f>'Inputs and population'!H34</f>
        <v>1333.1191554862141</v>
      </c>
      <c r="G5" s="116">
        <f>'Inputs and population'!I34</f>
        <v>1344.8383653238332</v>
      </c>
      <c r="H5" s="116">
        <f>'Inputs and population'!J34</f>
        <v>1356.6605966195514</v>
      </c>
      <c r="I5"/>
      <c r="J5" s="129"/>
    </row>
    <row r="6" spans="2:10" x14ac:dyDescent="0.25">
      <c r="B6" s="233" t="s">
        <v>2185</v>
      </c>
      <c r="C6" s="444">
        <f>'Inputs and population'!D39</f>
        <v>0</v>
      </c>
      <c r="D6" s="444">
        <f>'Inputs and population'!E39</f>
        <v>0.55000000000000004</v>
      </c>
      <c r="E6" s="444">
        <f>'Inputs and population'!F39</f>
        <v>0.74</v>
      </c>
      <c r="F6" s="444">
        <f>'Inputs and population'!G39</f>
        <v>0.8</v>
      </c>
      <c r="G6" s="444">
        <f>'Inputs and population'!H39</f>
        <v>0.8</v>
      </c>
      <c r="H6" s="444">
        <f>'Inputs and population'!I39</f>
        <v>0.8</v>
      </c>
      <c r="J6" s="129"/>
    </row>
    <row r="7" spans="2:10" x14ac:dyDescent="0.25">
      <c r="B7" s="154" t="s">
        <v>2268</v>
      </c>
      <c r="C7" s="116">
        <f>'Financial impact (cash)'!D13</f>
        <v>0</v>
      </c>
      <c r="D7" s="116">
        <f>'Financial impact (cash)'!E13</f>
        <v>720.49241935229804</v>
      </c>
      <c r="E7" s="116">
        <f>'Financial impact (cash)'!F13</f>
        <v>977.91153132316003</v>
      </c>
      <c r="F7" s="116">
        <f>'Financial impact (cash)'!G13</f>
        <v>1066.4953243889713</v>
      </c>
      <c r="G7" s="116">
        <f>'Financial impact (cash)'!H13</f>
        <v>1075.8706922590666</v>
      </c>
      <c r="H7" s="116">
        <f>'Financial impact (cash)'!I13</f>
        <v>1085.3284772956411</v>
      </c>
      <c r="J7" s="121"/>
    </row>
    <row r="8" spans="2:10" ht="14.45" customHeight="1" x14ac:dyDescent="0.25">
      <c r="B8" s="217"/>
      <c r="C8" s="217"/>
      <c r="D8" s="121"/>
      <c r="E8" s="121"/>
      <c r="F8" s="121"/>
      <c r="G8" s="121"/>
      <c r="H8" s="121"/>
      <c r="J8" s="121"/>
    </row>
    <row r="9" spans="2:10" ht="45" x14ac:dyDescent="0.25">
      <c r="B9" s="238" t="s">
        <v>718</v>
      </c>
      <c r="C9" s="213" t="s">
        <v>678</v>
      </c>
      <c r="D9" s="243" t="s">
        <v>591</v>
      </c>
      <c r="E9" s="243" t="s">
        <v>592</v>
      </c>
      <c r="F9" s="244" t="s">
        <v>714</v>
      </c>
      <c r="G9" s="244" t="s">
        <v>715</v>
      </c>
      <c r="H9" s="243" t="s">
        <v>716</v>
      </c>
      <c r="J9" s="121"/>
    </row>
    <row r="10" spans="2:10" x14ac:dyDescent="0.25">
      <c r="B10" s="180" t="s">
        <v>2263</v>
      </c>
      <c r="C10" s="116">
        <f>'Financial impact (cash)'!D13+'Financial impact (cash)'!D14</f>
        <v>0</v>
      </c>
      <c r="D10" s="116">
        <f>'Financial impact (cash)'!E13+'Financial impact (cash)'!E14</f>
        <v>720.49241935229804</v>
      </c>
      <c r="E10" s="116">
        <f>'Financial impact (cash)'!F13+'Financial impact (cash)'!F14</f>
        <v>1698.403950675458</v>
      </c>
      <c r="F10" s="116">
        <f>'Financial impact (cash)'!G13+'Financial impact (cash)'!G14</f>
        <v>2044.4068557121313</v>
      </c>
      <c r="G10" s="116">
        <f>'Financial impact (cash)'!H13+'Financial impact (cash)'!H14</f>
        <v>2142.3660166480377</v>
      </c>
      <c r="H10" s="116">
        <f>'Financial impact (cash)'!I13+'Financial impact (cash)'!I14</f>
        <v>2161.1991695547076</v>
      </c>
      <c r="J10" s="121"/>
    </row>
    <row r="11" spans="2:10" x14ac:dyDescent="0.25">
      <c r="B11" s="212" t="s">
        <v>2237</v>
      </c>
      <c r="C11" s="116">
        <f>'Financial impact (cash)'!D15</f>
        <v>701.22818677987516</v>
      </c>
      <c r="D11" s="116">
        <f>'Financial impact (cash)'!E15</f>
        <v>314.39669208100275</v>
      </c>
      <c r="E11" s="116">
        <f>'Financial impact (cash)'!F15</f>
        <v>185.01028970978706</v>
      </c>
      <c r="F11" s="116">
        <f>'Financial impact (cash)'!G15</f>
        <v>146.64310710348354</v>
      </c>
      <c r="G11" s="116">
        <f>'Financial impact (cash)'!H15</f>
        <v>134.48383653238332</v>
      </c>
      <c r="H11" s="116">
        <f>'Financial impact (cash)'!I15</f>
        <v>135.66605966195513</v>
      </c>
      <c r="J11" s="121"/>
    </row>
    <row r="12" spans="2:10" x14ac:dyDescent="0.25">
      <c r="B12" s="212" t="s">
        <v>2238</v>
      </c>
      <c r="C12" s="116">
        <f>'Financial impact (cash)'!D16</f>
        <v>597.34252947915286</v>
      </c>
      <c r="D12" s="116">
        <f>'Financial impact (cash)'!E16</f>
        <v>275.09710557087737</v>
      </c>
      <c r="E12" s="116">
        <f>'Financial impact (cash)'!F16</f>
        <v>158.58024832267458</v>
      </c>
      <c r="F12" s="116">
        <f>'Financial impact (cash)'!G16</f>
        <v>119.98072399375927</v>
      </c>
      <c r="G12" s="116">
        <f>'Financial impact (cash)'!H16</f>
        <v>134.48383653238332</v>
      </c>
      <c r="H12" s="116">
        <f>'Financial impact (cash)'!I16</f>
        <v>135.66605966195513</v>
      </c>
      <c r="J12" s="121"/>
    </row>
    <row r="13" spans="2:10" x14ac:dyDescent="0.25">
      <c r="B13" s="212" t="s">
        <v>2260</v>
      </c>
      <c r="C13" s="116">
        <f>'Financial impact (cash)'!D17</f>
        <v>0</v>
      </c>
      <c r="D13" s="116">
        <f>'Financial impact (cash)'!E17</f>
        <v>0</v>
      </c>
      <c r="E13" s="116">
        <f>'Financial impact (cash)'!F17</f>
        <v>0</v>
      </c>
      <c r="F13" s="116">
        <f>'Financial impact (cash)'!G17</f>
        <v>0</v>
      </c>
      <c r="G13" s="116">
        <f>'Financial impact (cash)'!H17</f>
        <v>0</v>
      </c>
      <c r="H13" s="116">
        <f>'Financial impact (cash)'!I17</f>
        <v>0</v>
      </c>
      <c r="J13" s="121"/>
    </row>
    <row r="14" spans="2:10" x14ac:dyDescent="0.25">
      <c r="B14" s="801"/>
      <c r="C14" s="163">
        <f t="shared" ref="C14:H14" si="0">SUM(C10:C13)</f>
        <v>1298.5707162590279</v>
      </c>
      <c r="D14" s="163">
        <f t="shared" si="0"/>
        <v>1309.9862170041781</v>
      </c>
      <c r="E14" s="163">
        <f t="shared" si="0"/>
        <v>2041.9944887079196</v>
      </c>
      <c r="F14" s="163">
        <f t="shared" si="0"/>
        <v>2311.0306868093739</v>
      </c>
      <c r="G14" s="163">
        <f t="shared" si="0"/>
        <v>2411.3336897128047</v>
      </c>
      <c r="H14" s="163">
        <f t="shared" si="0"/>
        <v>2432.5312888786175</v>
      </c>
      <c r="J14" s="121"/>
    </row>
    <row r="15" spans="2:10" ht="15.75" thickBot="1" x14ac:dyDescent="0.3">
      <c r="B15" s="429"/>
      <c r="C15" s="429"/>
      <c r="D15" s="430"/>
      <c r="E15" s="430"/>
      <c r="F15" s="430"/>
      <c r="G15" s="430"/>
      <c r="H15" s="430"/>
      <c r="I15" s="431"/>
      <c r="J15" s="121"/>
    </row>
    <row r="16" spans="2:10" x14ac:dyDescent="0.25">
      <c r="B16" s="240"/>
      <c r="C16" s="240"/>
      <c r="D16" s="302"/>
      <c r="E16" s="302"/>
      <c r="F16" s="302"/>
      <c r="G16" s="302"/>
      <c r="H16" s="302"/>
      <c r="I16" s="121"/>
      <c r="J16" s="121"/>
    </row>
    <row r="17" spans="1:10" ht="45" x14ac:dyDescent="0.25">
      <c r="B17" s="234" t="s">
        <v>719</v>
      </c>
      <c r="C17" s="213" t="s">
        <v>678</v>
      </c>
      <c r="D17" s="243" t="s">
        <v>591</v>
      </c>
      <c r="E17" s="243" t="s">
        <v>592</v>
      </c>
      <c r="F17" s="244" t="s">
        <v>714</v>
      </c>
      <c r="G17" s="244" t="s">
        <v>715</v>
      </c>
      <c r="H17" s="243" t="s">
        <v>716</v>
      </c>
      <c r="I17" s="121"/>
      <c r="J17" s="121"/>
    </row>
    <row r="18" spans="1:10" x14ac:dyDescent="0.25">
      <c r="B18" s="265" t="s">
        <v>720</v>
      </c>
      <c r="C18" s="545" t="s">
        <v>721</v>
      </c>
      <c r="D18" s="545" t="s">
        <v>721</v>
      </c>
      <c r="E18" s="545" t="s">
        <v>721</v>
      </c>
      <c r="F18" s="545" t="s">
        <v>721</v>
      </c>
      <c r="G18" s="545" t="s">
        <v>721</v>
      </c>
      <c r="H18" s="545" t="s">
        <v>721</v>
      </c>
      <c r="I18" s="121"/>
      <c r="J18" s="121"/>
    </row>
    <row r="19" spans="1:10" x14ac:dyDescent="0.25">
      <c r="B19" s="239" t="s">
        <v>722</v>
      </c>
      <c r="C19" s="226">
        <f>'Financial impact (cash)'!D40</f>
        <v>0</v>
      </c>
      <c r="D19" s="226">
        <f>'Financial impact (cash)'!E40</f>
        <v>0</v>
      </c>
      <c r="E19" s="226">
        <f>'Financial impact (cash)'!F40</f>
        <v>0</v>
      </c>
      <c r="F19" s="226">
        <f>'Financial impact (cash)'!G40</f>
        <v>0</v>
      </c>
      <c r="G19" s="226">
        <f>'Financial impact (cash)'!H40</f>
        <v>0</v>
      </c>
      <c r="H19" s="226">
        <f>'Financial impact (cash)'!I40</f>
        <v>0</v>
      </c>
      <c r="I19" s="121"/>
      <c r="J19" s="121"/>
    </row>
    <row r="20" spans="1:10" x14ac:dyDescent="0.25">
      <c r="C20" s="787"/>
      <c r="D20" s="176">
        <f>D19-$C$19</f>
        <v>0</v>
      </c>
      <c r="E20" s="176">
        <f>E19-$C$19</f>
        <v>0</v>
      </c>
      <c r="F20" s="176">
        <f>F19-$C$19</f>
        <v>0</v>
      </c>
      <c r="G20" s="176">
        <f>G19-$C$19</f>
        <v>0</v>
      </c>
      <c r="H20" s="176">
        <f>H19-$C$19</f>
        <v>0</v>
      </c>
      <c r="I20" s="400" t="s">
        <v>723</v>
      </c>
      <c r="J20" s="121"/>
    </row>
    <row r="21" spans="1:10" x14ac:dyDescent="0.25">
      <c r="C21" s="80"/>
      <c r="D21" s="176">
        <f>D19-C19</f>
        <v>0</v>
      </c>
      <c r="E21" s="176">
        <f>E19-D19</f>
        <v>0</v>
      </c>
      <c r="F21" s="176">
        <f>F19-E19</f>
        <v>0</v>
      </c>
      <c r="G21" s="176">
        <f>G19-F19</f>
        <v>0</v>
      </c>
      <c r="H21" s="176">
        <f>H19-G19</f>
        <v>0</v>
      </c>
      <c r="I21" s="400" t="s">
        <v>724</v>
      </c>
      <c r="J21" s="121"/>
    </row>
    <row r="22" spans="1:10" x14ac:dyDescent="0.25">
      <c r="B22" s="240"/>
      <c r="C22" s="240"/>
      <c r="D22" s="359"/>
      <c r="E22" s="359"/>
      <c r="F22" s="359"/>
      <c r="G22" s="359"/>
      <c r="H22" s="359"/>
      <c r="J22" s="121"/>
    </row>
    <row r="23" spans="1:10" x14ac:dyDescent="0.25">
      <c r="B23" t="s">
        <v>725</v>
      </c>
      <c r="C23" s="240"/>
      <c r="D23" s="359"/>
      <c r="E23" s="359"/>
      <c r="F23" s="359"/>
      <c r="G23" s="359"/>
      <c r="H23" s="359"/>
      <c r="J23" s="121"/>
    </row>
    <row r="24" spans="1:10" x14ac:dyDescent="0.25">
      <c r="B24" s="506" t="s">
        <v>15</v>
      </c>
      <c r="C24" s="240"/>
      <c r="D24" s="359"/>
      <c r="E24" s="359"/>
      <c r="F24" s="359"/>
      <c r="G24" s="359"/>
      <c r="H24" s="359"/>
      <c r="J24" s="121"/>
    </row>
    <row r="25" spans="1:10" x14ac:dyDescent="0.25">
      <c r="B25" s="240"/>
      <c r="C25" s="240"/>
      <c r="D25" s="359"/>
      <c r="E25" s="359"/>
      <c r="F25" s="359"/>
      <c r="G25" s="359"/>
      <c r="H25" s="359"/>
      <c r="J25" s="121"/>
    </row>
    <row r="26" spans="1:10" ht="45" x14ac:dyDescent="0.25">
      <c r="A26" s="359"/>
      <c r="B26" s="234" t="s">
        <v>2160</v>
      </c>
      <c r="C26" s="213" t="s">
        <v>678</v>
      </c>
      <c r="D26" s="243" t="s">
        <v>591</v>
      </c>
      <c r="E26" s="243" t="s">
        <v>592</v>
      </c>
      <c r="F26" s="244" t="s">
        <v>714</v>
      </c>
      <c r="G26" s="244" t="s">
        <v>715</v>
      </c>
      <c r="H26" s="243" t="s">
        <v>716</v>
      </c>
      <c r="J26" s="121"/>
    </row>
    <row r="27" spans="1:10" x14ac:dyDescent="0.25">
      <c r="A27" s="359"/>
      <c r="B27" s="234"/>
      <c r="C27" s="545" t="s">
        <v>721</v>
      </c>
      <c r="D27" s="545" t="s">
        <v>721</v>
      </c>
      <c r="E27" s="545" t="s">
        <v>721</v>
      </c>
      <c r="F27" s="545" t="s">
        <v>721</v>
      </c>
      <c r="G27" s="545" t="s">
        <v>721</v>
      </c>
      <c r="H27" s="545" t="s">
        <v>721</v>
      </c>
      <c r="J27" s="121"/>
    </row>
    <row r="28" spans="1:10" x14ac:dyDescent="0.25">
      <c r="A28" s="359"/>
      <c r="B28" s="239" t="s">
        <v>2161</v>
      </c>
      <c r="C28" s="226">
        <f>IF($B$24="national prices",'Capacity (national prices)'!L27,IF($B$24="local prices",'Capacity (local prices)'!L20,0))</f>
        <v>0</v>
      </c>
      <c r="D28" s="226">
        <f>IF($B$24="national prices",'Capacity (national prices)'!M27,IF($B$24="local prices",'Capacity (local prices)'!M20,0))</f>
        <v>0</v>
      </c>
      <c r="E28" s="226">
        <f>IF($B$24="national prices",'Capacity (national prices)'!N27,IF($B$24="local prices",'Capacity (local prices)'!N20,0))</f>
        <v>0</v>
      </c>
      <c r="F28" s="226">
        <f>IF($B$24="national prices",'Capacity (national prices)'!O27,IF($B$24="local prices",'Capacity (local prices)'!O20,0))</f>
        <v>0</v>
      </c>
      <c r="G28" s="226">
        <f>IF($B$24="national prices",'Capacity (national prices)'!P27,IF($B$24="local prices",'Capacity (local prices)'!P20,0))</f>
        <v>0</v>
      </c>
      <c r="H28" s="226">
        <f>IF($B$24="national prices",'Capacity (national prices)'!Q27,IF($B$24="local prices",'Capacity (local prices)'!Q20,0))</f>
        <v>0</v>
      </c>
      <c r="J28" s="121"/>
    </row>
    <row r="29" spans="1:10" x14ac:dyDescent="0.25">
      <c r="A29" s="359"/>
      <c r="B29" s="848" t="s">
        <v>2162</v>
      </c>
      <c r="C29" s="847">
        <f>Events!C59</f>
        <v>1975.8435197507147</v>
      </c>
      <c r="D29" s="847">
        <f>Events!D59</f>
        <v>1937.7267744134808</v>
      </c>
      <c r="E29" s="847">
        <f>Events!E59</f>
        <v>1935.4245781874938</v>
      </c>
      <c r="F29" s="847">
        <f>Events!F59</f>
        <v>1946.2786351126344</v>
      </c>
      <c r="G29" s="847">
        <f>Events!G59</f>
        <v>1963.3880192464489</v>
      </c>
      <c r="H29" s="847">
        <f>Events!H59</f>
        <v>1980.6478088875513</v>
      </c>
      <c r="J29" s="121"/>
    </row>
    <row r="30" spans="1:10" x14ac:dyDescent="0.25">
      <c r="A30" s="359"/>
      <c r="C30" s="787"/>
      <c r="D30" s="176">
        <f>D28+D29-$C$28-$C$29</f>
        <v>-38.116745337233851</v>
      </c>
      <c r="E30" s="176">
        <f t="shared" ref="E30:H30" si="1">E28+E29-$C$28-$C$29</f>
        <v>-40.418941563220869</v>
      </c>
      <c r="F30" s="176">
        <f t="shared" si="1"/>
        <v>-29.56488463808023</v>
      </c>
      <c r="G30" s="176">
        <f t="shared" si="1"/>
        <v>-12.455500504265729</v>
      </c>
      <c r="H30" s="176">
        <f t="shared" si="1"/>
        <v>4.8042891368365872</v>
      </c>
      <c r="I30" s="400" t="s">
        <v>723</v>
      </c>
      <c r="J30" s="121"/>
    </row>
    <row r="31" spans="1:10" x14ac:dyDescent="0.25">
      <c r="A31" s="359"/>
      <c r="C31" s="80"/>
      <c r="D31" s="176">
        <f>D28+D29-C28-C29</f>
        <v>-38.116745337233851</v>
      </c>
      <c r="E31" s="176">
        <f t="shared" ref="E31:H31" si="2">E28+E29-D28-D29</f>
        <v>-2.3021962259870179</v>
      </c>
      <c r="F31" s="176">
        <f t="shared" si="2"/>
        <v>10.85405692514064</v>
      </c>
      <c r="G31" s="176">
        <f t="shared" si="2"/>
        <v>17.109384133814501</v>
      </c>
      <c r="H31" s="176">
        <f t="shared" si="2"/>
        <v>17.259789641102316</v>
      </c>
      <c r="I31" s="400" t="s">
        <v>724</v>
      </c>
      <c r="J31" s="121"/>
    </row>
    <row r="32" spans="1:10" x14ac:dyDescent="0.25">
      <c r="A32" s="359"/>
      <c r="B32" s="359"/>
      <c r="C32" s="359"/>
      <c r="D32" s="359"/>
      <c r="E32" s="359"/>
      <c r="F32" s="359"/>
      <c r="G32" s="359"/>
      <c r="H32" s="359"/>
      <c r="J32" s="121"/>
    </row>
    <row r="33" spans="1:10" ht="45" x14ac:dyDescent="0.25">
      <c r="A33" s="359"/>
      <c r="B33" s="234" t="s">
        <v>726</v>
      </c>
      <c r="C33" s="213" t="s">
        <v>678</v>
      </c>
      <c r="D33" s="243" t="s">
        <v>591</v>
      </c>
      <c r="E33" s="243" t="s">
        <v>592</v>
      </c>
      <c r="F33" s="244" t="s">
        <v>714</v>
      </c>
      <c r="G33" s="244" t="s">
        <v>715</v>
      </c>
      <c r="H33" s="243" t="s">
        <v>716</v>
      </c>
      <c r="J33" s="121"/>
    </row>
    <row r="34" spans="1:10" x14ac:dyDescent="0.25">
      <c r="B34" s="234"/>
      <c r="C34" s="545" t="s">
        <v>721</v>
      </c>
      <c r="D34" s="545" t="s">
        <v>721</v>
      </c>
      <c r="E34" s="545" t="s">
        <v>721</v>
      </c>
      <c r="F34" s="545" t="s">
        <v>721</v>
      </c>
      <c r="G34" s="545" t="s">
        <v>721</v>
      </c>
      <c r="H34" s="545" t="s">
        <v>721</v>
      </c>
      <c r="I34" s="121"/>
      <c r="J34" s="121"/>
    </row>
    <row r="35" spans="1:10" x14ac:dyDescent="0.25">
      <c r="B35" s="849" t="s">
        <v>2163</v>
      </c>
      <c r="C35" s="438">
        <f>C19+C28+C29</f>
        <v>1975.8435197507147</v>
      </c>
      <c r="D35" s="438">
        <f t="shared" ref="D35:H35" si="3">D19+D28+D29</f>
        <v>1937.7267744134808</v>
      </c>
      <c r="E35" s="438">
        <f t="shared" si="3"/>
        <v>1935.4245781874938</v>
      </c>
      <c r="F35" s="438">
        <f t="shared" si="3"/>
        <v>1946.2786351126344</v>
      </c>
      <c r="G35" s="438">
        <f t="shared" si="3"/>
        <v>1963.3880192464489</v>
      </c>
      <c r="H35" s="438">
        <f t="shared" si="3"/>
        <v>1980.6478088875513</v>
      </c>
      <c r="I35" s="121"/>
      <c r="J35" s="121"/>
    </row>
    <row r="36" spans="1:10" x14ac:dyDescent="0.25">
      <c r="B36" s="425"/>
      <c r="C36" s="426"/>
      <c r="D36" s="427">
        <f>D35-$C$35</f>
        <v>-38.116745337233851</v>
      </c>
      <c r="E36" s="427">
        <f t="shared" ref="E36:H36" si="4">E35-$C$35</f>
        <v>-40.418941563220869</v>
      </c>
      <c r="F36" s="427">
        <f t="shared" si="4"/>
        <v>-29.56488463808023</v>
      </c>
      <c r="G36" s="427">
        <f t="shared" si="4"/>
        <v>-12.455500504265729</v>
      </c>
      <c r="H36" s="427">
        <f t="shared" si="4"/>
        <v>4.8042891368365872</v>
      </c>
      <c r="I36" s="400" t="s">
        <v>723</v>
      </c>
      <c r="J36" s="121"/>
    </row>
    <row r="37" spans="1:10" x14ac:dyDescent="0.25">
      <c r="B37" s="425"/>
      <c r="C37" s="426"/>
      <c r="D37" s="428">
        <f>D35-C35</f>
        <v>-38.116745337233851</v>
      </c>
      <c r="E37" s="428">
        <f>E35-D35</f>
        <v>-2.3021962259870179</v>
      </c>
      <c r="F37" s="428">
        <f>F35-E35</f>
        <v>10.85405692514064</v>
      </c>
      <c r="G37" s="428">
        <f>G35-F35</f>
        <v>17.109384133814501</v>
      </c>
      <c r="H37" s="428">
        <f>H35-G35</f>
        <v>17.259789641102316</v>
      </c>
      <c r="I37" s="400" t="s">
        <v>724</v>
      </c>
      <c r="J37" s="121"/>
    </row>
    <row r="38" spans="1:10" ht="15.75" thickBot="1" x14ac:dyDescent="0.3">
      <c r="B38" s="429"/>
      <c r="C38" s="429"/>
      <c r="D38" s="430"/>
      <c r="E38" s="430"/>
      <c r="F38" s="430"/>
      <c r="G38" s="430"/>
      <c r="H38" s="430"/>
      <c r="I38" s="431"/>
      <c r="J38" s="121"/>
    </row>
    <row r="39" spans="1:10" x14ac:dyDescent="0.25">
      <c r="B39" s="240"/>
      <c r="C39" s="240"/>
      <c r="D39" s="302"/>
      <c r="E39" s="302"/>
      <c r="F39" s="302"/>
      <c r="G39" s="302"/>
      <c r="H39" s="302"/>
      <c r="I39" s="121"/>
      <c r="J39" s="121"/>
    </row>
    <row r="40" spans="1:10" ht="45" x14ac:dyDescent="0.25">
      <c r="B40" s="234" t="s">
        <v>727</v>
      </c>
      <c r="C40" s="418"/>
      <c r="D40" s="243" t="s">
        <v>591</v>
      </c>
      <c r="E40" s="243" t="s">
        <v>592</v>
      </c>
      <c r="F40" s="244" t="s">
        <v>714</v>
      </c>
      <c r="G40" s="244" t="s">
        <v>715</v>
      </c>
      <c r="H40" s="243" t="s">
        <v>716</v>
      </c>
      <c r="I40" s="121"/>
      <c r="J40" s="121"/>
    </row>
    <row r="41" spans="1:10" x14ac:dyDescent="0.25">
      <c r="B41" s="421"/>
      <c r="C41" s="419"/>
      <c r="D41" s="420"/>
      <c r="E41" s="420"/>
      <c r="F41" s="420"/>
      <c r="G41" s="420"/>
      <c r="H41" s="420"/>
      <c r="I41" s="121"/>
      <c r="J41" s="121"/>
    </row>
    <row r="42" spans="1:10" x14ac:dyDescent="0.25">
      <c r="B42" s="234" t="s">
        <v>728</v>
      </c>
      <c r="C42" s="232"/>
      <c r="D42" s="228"/>
      <c r="E42" s="228"/>
      <c r="F42" s="228"/>
      <c r="G42" s="228"/>
      <c r="H42" s="229"/>
      <c r="I42" s="121"/>
      <c r="J42" s="121"/>
    </row>
    <row r="43" spans="1:10" x14ac:dyDescent="0.25">
      <c r="B43" s="504" t="str">
        <f>'Capacity (local prices)'!B10</f>
        <v>First attendances</v>
      </c>
      <c r="C43" s="503"/>
      <c r="D43" s="505">
        <f>'Capacity (local prices)'!E10-'Capacity (local prices)'!$D10</f>
        <v>0</v>
      </c>
      <c r="E43" s="505">
        <f>'Capacity (local prices)'!F10-'Capacity (local prices)'!$D10</f>
        <v>0</v>
      </c>
      <c r="F43" s="505">
        <f>'Capacity (local prices)'!G10-'Capacity (local prices)'!$D10</f>
        <v>0</v>
      </c>
      <c r="G43" s="505">
        <f>'Capacity (local prices)'!H10-'Capacity (local prices)'!$D10</f>
        <v>0</v>
      </c>
      <c r="H43" s="505">
        <f>'Capacity (local prices)'!I10-'Capacity (local prices)'!$D10</f>
        <v>0</v>
      </c>
      <c r="I43" s="121"/>
      <c r="J43" s="121"/>
    </row>
    <row r="44" spans="1:10" x14ac:dyDescent="0.25">
      <c r="B44" s="504" t="str">
        <f>'Capacity (local prices)'!B11</f>
        <v>First attendances - hours</v>
      </c>
      <c r="C44" s="503"/>
      <c r="D44" s="505">
        <f>'Capacity (local prices)'!E11-'Capacity (local prices)'!$D11</f>
        <v>0</v>
      </c>
      <c r="E44" s="505">
        <f>'Capacity (local prices)'!F11-'Capacity (local prices)'!$D11</f>
        <v>0</v>
      </c>
      <c r="F44" s="505">
        <f>'Capacity (local prices)'!G11-'Capacity (local prices)'!$D11</f>
        <v>0</v>
      </c>
      <c r="G44" s="505">
        <f>'Capacity (local prices)'!H11-'Capacity (local prices)'!$D11</f>
        <v>0</v>
      </c>
      <c r="H44" s="505">
        <f>'Capacity (local prices)'!I11-'Capacity (local prices)'!$D11</f>
        <v>0</v>
      </c>
      <c r="I44" s="121"/>
      <c r="J44" s="121"/>
    </row>
    <row r="45" spans="1:10" x14ac:dyDescent="0.25">
      <c r="B45" s="504" t="str">
        <f>'Capacity (local prices)'!B12</f>
        <v>Follow up attendances</v>
      </c>
      <c r="C45" s="237"/>
      <c r="D45" s="505">
        <f>'Capacity (local prices)'!E12-'Capacity (local prices)'!$D12</f>
        <v>0</v>
      </c>
      <c r="E45" s="505">
        <f>'Capacity (local prices)'!F12-'Capacity (local prices)'!$D12</f>
        <v>0</v>
      </c>
      <c r="F45" s="505">
        <f>'Capacity (local prices)'!G12-'Capacity (local prices)'!$D12</f>
        <v>0</v>
      </c>
      <c r="G45" s="505">
        <f>'Capacity (local prices)'!H12-'Capacity (local prices)'!$D12</f>
        <v>0</v>
      </c>
      <c r="H45" s="505">
        <f>'Capacity (local prices)'!I12-'Capacity (local prices)'!$D12</f>
        <v>0</v>
      </c>
      <c r="I45" s="121"/>
      <c r="J45" s="121"/>
    </row>
    <row r="46" spans="1:10" x14ac:dyDescent="0.25">
      <c r="B46" s="504" t="str">
        <f>'Capacity (local prices)'!B13</f>
        <v>Follow up attendances - hours</v>
      </c>
      <c r="C46" s="237"/>
      <c r="D46" s="505">
        <f>'Capacity (local prices)'!E13-'Capacity (local prices)'!$D13</f>
        <v>0</v>
      </c>
      <c r="E46" s="505">
        <f>'Capacity (local prices)'!F13-'Capacity (local prices)'!$D13</f>
        <v>0</v>
      </c>
      <c r="F46" s="505">
        <f>'Capacity (local prices)'!G13-'Capacity (local prices)'!$D13</f>
        <v>0</v>
      </c>
      <c r="G46" s="505">
        <f>'Capacity (local prices)'!H13-'Capacity (local prices)'!$D13</f>
        <v>0</v>
      </c>
      <c r="H46" s="505">
        <f>'Capacity (local prices)'!I13-'Capacity (local prices)'!$D13</f>
        <v>0</v>
      </c>
      <c r="I46" s="121"/>
      <c r="J46" s="121"/>
    </row>
    <row r="47" spans="1:10" x14ac:dyDescent="0.25">
      <c r="B47" s="504" t="str">
        <f>'Capacity (local prices)'!B14</f>
        <v>Number of administrations</v>
      </c>
      <c r="C47" s="237"/>
      <c r="D47" s="505">
        <f>'Capacity (local prices)'!E14-'Capacity (local prices)'!$D14</f>
        <v>0</v>
      </c>
      <c r="E47" s="505">
        <f>'Capacity (local prices)'!F14-'Capacity (local prices)'!$D14</f>
        <v>0</v>
      </c>
      <c r="F47" s="505">
        <f>'Capacity (local prices)'!G14-'Capacity (local prices)'!$D14</f>
        <v>0</v>
      </c>
      <c r="G47" s="505">
        <f>'Capacity (local prices)'!H14-'Capacity (local prices)'!$D14</f>
        <v>0</v>
      </c>
      <c r="H47" s="505">
        <f>'Capacity (local prices)'!I14-'Capacity (local prices)'!$D14</f>
        <v>0</v>
      </c>
      <c r="I47" s="121"/>
      <c r="J47" s="121"/>
    </row>
    <row r="48" spans="1:10" x14ac:dyDescent="0.25">
      <c r="I48" s="121"/>
      <c r="J48" s="121"/>
    </row>
    <row r="49" spans="2:10" x14ac:dyDescent="0.25">
      <c r="B49" s="234" t="s">
        <v>729</v>
      </c>
      <c r="C49" s="235"/>
      <c r="D49" s="228"/>
      <c r="E49" s="228"/>
      <c r="F49" s="228"/>
      <c r="G49" s="228"/>
      <c r="H49" s="229"/>
      <c r="I49" s="121"/>
      <c r="J49" s="121"/>
    </row>
    <row r="50" spans="2:10" x14ac:dyDescent="0.25">
      <c r="B50" s="236" t="str">
        <f>'Capacity (local prices)'!B15</f>
        <v>Nursing - administration hours - hours</v>
      </c>
      <c r="C50" s="237"/>
      <c r="D50" s="505">
        <f>'Capacity (local prices)'!E15-'Capacity (local prices)'!$D15</f>
        <v>0</v>
      </c>
      <c r="E50" s="505">
        <f>'Capacity (local prices)'!F15-'Capacity (local prices)'!$D15</f>
        <v>0</v>
      </c>
      <c r="F50" s="505">
        <f>'Capacity (local prices)'!G15-'Capacity (local prices)'!$D15</f>
        <v>0</v>
      </c>
      <c r="G50" s="505">
        <f>'Capacity (local prices)'!H15-'Capacity (local prices)'!$D15</f>
        <v>0</v>
      </c>
      <c r="H50" s="505">
        <f>'Capacity (local prices)'!I15-'Capacity (local prices)'!$D15</f>
        <v>0</v>
      </c>
      <c r="I50" s="121"/>
      <c r="J50" s="121"/>
    </row>
    <row r="51" spans="2:10" x14ac:dyDescent="0.25">
      <c r="B51" s="236" t="str">
        <f>'Capacity (local prices)'!B16</f>
        <v>Nursing patient preparation time - hours</v>
      </c>
      <c r="C51" s="237"/>
      <c r="D51" s="505">
        <f>'Capacity (local prices)'!E16-'Capacity (local prices)'!$D16</f>
        <v>0</v>
      </c>
      <c r="E51" s="505">
        <f>'Capacity (local prices)'!F16-'Capacity (local prices)'!$D16</f>
        <v>0</v>
      </c>
      <c r="F51" s="505">
        <f>'Capacity (local prices)'!G16-'Capacity (local prices)'!$D16</f>
        <v>0</v>
      </c>
      <c r="G51" s="505">
        <f>'Capacity (local prices)'!H16-'Capacity (local prices)'!$D16</f>
        <v>0</v>
      </c>
      <c r="H51" s="505">
        <f>'Capacity (local prices)'!I16-'Capacity (local prices)'!$D16</f>
        <v>0</v>
      </c>
      <c r="I51" s="121"/>
      <c r="J51" s="121"/>
    </row>
    <row r="52" spans="2:10" x14ac:dyDescent="0.25">
      <c r="B52" s="236" t="str">
        <f>'Capacity (local prices)'!B17</f>
        <v>Post administration nursing time - hours</v>
      </c>
      <c r="C52" s="237"/>
      <c r="D52" s="505">
        <f>'Capacity (local prices)'!E17-'Capacity (local prices)'!$D17</f>
        <v>0</v>
      </c>
      <c r="E52" s="505">
        <f>'Capacity (local prices)'!F17-'Capacity (local prices)'!$D17</f>
        <v>0</v>
      </c>
      <c r="F52" s="505">
        <f>'Capacity (local prices)'!G17-'Capacity (local prices)'!$D17</f>
        <v>0</v>
      </c>
      <c r="G52" s="505">
        <f>'Capacity (local prices)'!H17-'Capacity (local prices)'!$D17</f>
        <v>0</v>
      </c>
      <c r="H52" s="505">
        <f>'Capacity (local prices)'!I17-'Capacity (local prices)'!$D17</f>
        <v>0</v>
      </c>
      <c r="I52" s="121"/>
      <c r="J52" s="121"/>
    </row>
    <row r="53" spans="2:10" x14ac:dyDescent="0.25">
      <c r="I53" s="121"/>
      <c r="J53" s="121"/>
    </row>
    <row r="54" spans="2:10" x14ac:dyDescent="0.25">
      <c r="B54" s="234" t="s">
        <v>730</v>
      </c>
      <c r="C54" s="235"/>
      <c r="D54" s="228"/>
      <c r="E54" s="228"/>
      <c r="F54" s="228"/>
      <c r="G54" s="228"/>
      <c r="H54" s="229"/>
      <c r="I54" s="121"/>
      <c r="J54" s="121"/>
    </row>
    <row r="55" spans="2:10" x14ac:dyDescent="0.25">
      <c r="B55" s="236" t="str">
        <f>'Capacity (local prices)'!B18</f>
        <v>Pharmacy support - hours</v>
      </c>
      <c r="C55" s="241"/>
      <c r="D55" s="505">
        <f>'Capacity (local prices)'!E18-'Capacity (local prices)'!$D18</f>
        <v>0</v>
      </c>
      <c r="E55" s="505">
        <f>'Capacity (local prices)'!F18-'Capacity (local prices)'!$D18</f>
        <v>0</v>
      </c>
      <c r="F55" s="505">
        <f>'Capacity (local prices)'!G18-'Capacity (local prices)'!$D18</f>
        <v>0</v>
      </c>
      <c r="G55" s="505">
        <f>'Capacity (local prices)'!H18-'Capacity (local prices)'!$D18</f>
        <v>0</v>
      </c>
      <c r="H55" s="505">
        <f>'Capacity (local prices)'!I18-'Capacity (local prices)'!$D18</f>
        <v>0</v>
      </c>
      <c r="I55" s="121"/>
      <c r="J55" s="121"/>
    </row>
    <row r="56" spans="2:10" hidden="1" x14ac:dyDescent="0.25">
      <c r="I56" s="121"/>
      <c r="J56" s="121"/>
    </row>
    <row r="57" spans="2:10" hidden="1" x14ac:dyDescent="0.25">
      <c r="B57" s="234" t="s">
        <v>731</v>
      </c>
      <c r="C57" s="235"/>
      <c r="D57" s="228"/>
      <c r="E57" s="228"/>
      <c r="F57" s="228"/>
      <c r="G57" s="228"/>
      <c r="H57" s="229"/>
      <c r="I57" s="121"/>
      <c r="J57" s="121"/>
    </row>
    <row r="58" spans="2:10" hidden="1" x14ac:dyDescent="0.25">
      <c r="B58" s="236" t="e">
        <f>'Capacity (local prices)'!#REF!</f>
        <v>#REF!</v>
      </c>
      <c r="C58" s="241"/>
      <c r="D58" s="505" t="e">
        <f>'Capacity (local prices)'!#REF!-'Capacity (local prices)'!#REF!</f>
        <v>#REF!</v>
      </c>
      <c r="E58" s="505" t="e">
        <f>'Capacity (local prices)'!#REF!-'Capacity (local prices)'!#REF!</f>
        <v>#REF!</v>
      </c>
      <c r="F58" s="505" t="e">
        <f>'Capacity (local prices)'!#REF!-'Capacity (local prices)'!#REF!</f>
        <v>#REF!</v>
      </c>
      <c r="G58" s="505" t="e">
        <f>'Capacity (local prices)'!#REF!-'Capacity (local prices)'!#REF!</f>
        <v>#REF!</v>
      </c>
      <c r="H58" s="505" t="e">
        <f>'Capacity (local prices)'!#REF!-'Capacity (local prices)'!#REF!</f>
        <v>#REF!</v>
      </c>
      <c r="I58" s="121"/>
      <c r="J58" s="121"/>
    </row>
    <row r="59" spans="2:10" hidden="1" x14ac:dyDescent="0.25">
      <c r="B59" s="236" t="e">
        <f>'Capacity (local prices)'!#REF!</f>
        <v>#REF!</v>
      </c>
      <c r="C59" s="241"/>
      <c r="D59" s="505" t="e">
        <f>'Capacity (local prices)'!#REF!-'Capacity (local prices)'!#REF!</f>
        <v>#REF!</v>
      </c>
      <c r="E59" s="505" t="e">
        <f>'Capacity (local prices)'!#REF!-'Capacity (local prices)'!#REF!</f>
        <v>#REF!</v>
      </c>
      <c r="F59" s="505" t="e">
        <f>'Capacity (local prices)'!#REF!-'Capacity (local prices)'!#REF!</f>
        <v>#REF!</v>
      </c>
      <c r="G59" s="505" t="e">
        <f>'Capacity (local prices)'!#REF!-'Capacity (local prices)'!#REF!</f>
        <v>#REF!</v>
      </c>
      <c r="H59" s="505" t="e">
        <f>'Capacity (local prices)'!#REF!-'Capacity (local prices)'!#REF!</f>
        <v>#REF!</v>
      </c>
      <c r="I59" s="121"/>
      <c r="J59" s="121"/>
    </row>
    <row r="60" spans="2:10" hidden="1" x14ac:dyDescent="0.25">
      <c r="I60" s="121"/>
      <c r="J60" s="121"/>
    </row>
    <row r="61" spans="2:10" hidden="1" x14ac:dyDescent="0.25">
      <c r="B61" s="234" t="s">
        <v>732</v>
      </c>
      <c r="C61" s="235"/>
      <c r="D61" s="228"/>
      <c r="E61" s="228"/>
      <c r="F61" s="228"/>
      <c r="G61" s="228"/>
      <c r="H61" s="229"/>
      <c r="I61" s="121"/>
      <c r="J61" s="121"/>
    </row>
    <row r="62" spans="2:10" hidden="1" x14ac:dyDescent="0.25">
      <c r="B62" s="236" t="e">
        <f>'Capacity (local prices)'!#REF!</f>
        <v>#REF!</v>
      </c>
      <c r="C62" s="237"/>
      <c r="D62" s="505" t="e">
        <f>'Capacity (local prices)'!#REF!-'Capacity (local prices)'!#REF!</f>
        <v>#REF!</v>
      </c>
      <c r="E62" s="505" t="e">
        <f>'Capacity (local prices)'!#REF!-'Capacity (local prices)'!#REF!</f>
        <v>#REF!</v>
      </c>
      <c r="F62" s="505" t="e">
        <f>'Capacity (local prices)'!#REF!-'Capacity (local prices)'!#REF!</f>
        <v>#REF!</v>
      </c>
      <c r="G62" s="505" t="e">
        <f>'Capacity (local prices)'!#REF!-'Capacity (local prices)'!#REF!</f>
        <v>#REF!</v>
      </c>
      <c r="H62" s="505" t="e">
        <f>'Capacity (local prices)'!#REF!-'Capacity (local prices)'!#REF!</f>
        <v>#REF!</v>
      </c>
      <c r="I62" s="121"/>
      <c r="J62" s="121"/>
    </row>
    <row r="63" spans="2:10" hidden="1" x14ac:dyDescent="0.25">
      <c r="B63" s="236" t="e">
        <f>'Capacity (local prices)'!#REF!</f>
        <v>#REF!</v>
      </c>
      <c r="C63" s="237"/>
      <c r="D63" s="505" t="e">
        <f>'Capacity (local prices)'!#REF!-'Capacity (local prices)'!#REF!</f>
        <v>#REF!</v>
      </c>
      <c r="E63" s="505" t="e">
        <f>'Capacity (local prices)'!#REF!-'Capacity (local prices)'!#REF!</f>
        <v>#REF!</v>
      </c>
      <c r="F63" s="505" t="e">
        <f>'Capacity (local prices)'!#REF!-'Capacity (local prices)'!#REF!</f>
        <v>#REF!</v>
      </c>
      <c r="G63" s="505" t="e">
        <f>'Capacity (local prices)'!#REF!-'Capacity (local prices)'!#REF!</f>
        <v>#REF!</v>
      </c>
      <c r="H63" s="505" t="e">
        <f>'Capacity (local prices)'!#REF!-'Capacity (local prices)'!#REF!</f>
        <v>#REF!</v>
      </c>
      <c r="I63" s="121"/>
      <c r="J63" s="121"/>
    </row>
    <row r="64" spans="2:10" hidden="1" x14ac:dyDescent="0.25">
      <c r="B64" s="236" t="e">
        <f>'Capacity (local prices)'!#REF!</f>
        <v>#REF!</v>
      </c>
      <c r="C64" s="237"/>
      <c r="D64" s="505" t="e">
        <f>'Capacity (local prices)'!#REF!-'Capacity (local prices)'!#REF!</f>
        <v>#REF!</v>
      </c>
      <c r="E64" s="505" t="e">
        <f>'Capacity (local prices)'!#REF!-'Capacity (local prices)'!#REF!</f>
        <v>#REF!</v>
      </c>
      <c r="F64" s="505" t="e">
        <f>'Capacity (local prices)'!#REF!-'Capacity (local prices)'!#REF!</f>
        <v>#REF!</v>
      </c>
      <c r="G64" s="505" t="e">
        <f>'Capacity (local prices)'!#REF!-'Capacity (local prices)'!#REF!</f>
        <v>#REF!</v>
      </c>
      <c r="H64" s="505" t="e">
        <f>'Capacity (local prices)'!#REF!-'Capacity (local prices)'!#REF!</f>
        <v>#REF!</v>
      </c>
      <c r="I64" s="121"/>
      <c r="J64" s="121"/>
    </row>
    <row r="65" spans="2:14" hidden="1" x14ac:dyDescent="0.25">
      <c r="B65" s="236" t="e">
        <f>'Capacity (local prices)'!#REF!</f>
        <v>#REF!</v>
      </c>
      <c r="C65" s="237"/>
      <c r="D65" s="505" t="e">
        <f>'Capacity (local prices)'!#REF!-'Capacity (local prices)'!#REF!</f>
        <v>#REF!</v>
      </c>
      <c r="E65" s="505" t="e">
        <f>'Capacity (local prices)'!#REF!-'Capacity (local prices)'!#REF!</f>
        <v>#REF!</v>
      </c>
      <c r="F65" s="505" t="e">
        <f>'Capacity (local prices)'!#REF!-'Capacity (local prices)'!#REF!</f>
        <v>#REF!</v>
      </c>
      <c r="G65" s="505" t="e">
        <f>'Capacity (local prices)'!#REF!-'Capacity (local prices)'!#REF!</f>
        <v>#REF!</v>
      </c>
      <c r="H65" s="505" t="e">
        <f>'Capacity (local prices)'!#REF!-'Capacity (local prices)'!#REF!</f>
        <v>#REF!</v>
      </c>
      <c r="I65" s="121"/>
      <c r="J65" s="121"/>
    </row>
    <row r="66" spans="2:14" hidden="1" x14ac:dyDescent="0.25">
      <c r="B66" s="236" t="e">
        <f>'Capacity (local prices)'!#REF!</f>
        <v>#REF!</v>
      </c>
      <c r="C66" s="237"/>
      <c r="D66" s="505" t="e">
        <f>'Capacity (local prices)'!#REF!-'Capacity (local prices)'!#REF!</f>
        <v>#REF!</v>
      </c>
      <c r="E66" s="505" t="e">
        <f>'Capacity (local prices)'!#REF!-'Capacity (local prices)'!#REF!</f>
        <v>#REF!</v>
      </c>
      <c r="F66" s="505" t="e">
        <f>'Capacity (local prices)'!#REF!-'Capacity (local prices)'!#REF!</f>
        <v>#REF!</v>
      </c>
      <c r="G66" s="505" t="e">
        <f>'Capacity (local prices)'!#REF!-'Capacity (local prices)'!#REF!</f>
        <v>#REF!</v>
      </c>
      <c r="H66" s="505" t="e">
        <f>'Capacity (local prices)'!#REF!-'Capacity (local prices)'!#REF!</f>
        <v>#REF!</v>
      </c>
      <c r="I66" s="121"/>
      <c r="J66" s="121"/>
    </row>
    <row r="67" spans="2:14" hidden="1" x14ac:dyDescent="0.25">
      <c r="B67" s="236" t="e">
        <f>'Capacity (local prices)'!#REF!</f>
        <v>#REF!</v>
      </c>
      <c r="C67" s="237"/>
      <c r="D67" s="505" t="e">
        <f>'Capacity (local prices)'!#REF!-'Capacity (local prices)'!#REF!</f>
        <v>#REF!</v>
      </c>
      <c r="E67" s="505" t="e">
        <f>'Capacity (local prices)'!#REF!-'Capacity (local prices)'!#REF!</f>
        <v>#REF!</v>
      </c>
      <c r="F67" s="505" t="e">
        <f>'Capacity (local prices)'!#REF!-'Capacity (local prices)'!#REF!</f>
        <v>#REF!</v>
      </c>
      <c r="G67" s="505" t="e">
        <f>'Capacity (local prices)'!#REF!-'Capacity (local prices)'!#REF!</f>
        <v>#REF!</v>
      </c>
      <c r="H67" s="505" t="e">
        <f>'Capacity (local prices)'!#REF!-'Capacity (local prices)'!#REF!</f>
        <v>#REF!</v>
      </c>
      <c r="I67" s="121"/>
      <c r="J67" s="121"/>
    </row>
    <row r="68" spans="2:14" x14ac:dyDescent="0.25">
      <c r="I68" s="121"/>
      <c r="J68" s="121"/>
    </row>
    <row r="69" spans="2:14" x14ac:dyDescent="0.25">
      <c r="B69" s="234" t="s">
        <v>733</v>
      </c>
      <c r="C69" s="232"/>
      <c r="D69" s="228"/>
      <c r="E69" s="228"/>
      <c r="F69" s="228"/>
      <c r="G69" s="228"/>
      <c r="H69" s="229"/>
      <c r="I69" s="121"/>
      <c r="J69" s="121"/>
    </row>
    <row r="70" spans="2:14" x14ac:dyDescent="0.25">
      <c r="B70" s="236" t="s">
        <v>2166</v>
      </c>
      <c r="C70" s="237"/>
      <c r="D70" s="505">
        <f>Events!J41</f>
        <v>-229.69392346154839</v>
      </c>
      <c r="E70" s="505">
        <f>Events!K41</f>
        <v>-302.46582567651853</v>
      </c>
      <c r="F70" s="505">
        <f>Events!L41</f>
        <v>-317.94358717981379</v>
      </c>
      <c r="G70" s="505">
        <f>Events!M41</f>
        <v>-306.47376212753926</v>
      </c>
      <c r="H70" s="505">
        <f>Events!N41</f>
        <v>-294.9031079137942</v>
      </c>
      <c r="I70" s="121"/>
      <c r="J70" s="121"/>
    </row>
    <row r="71" spans="2:14" x14ac:dyDescent="0.25">
      <c r="B71" s="240"/>
      <c r="C71" s="240"/>
      <c r="D71" s="227"/>
      <c r="E71" s="227"/>
      <c r="F71" s="227"/>
      <c r="G71" s="227"/>
      <c r="H71" s="227"/>
      <c r="I71" s="121"/>
      <c r="J71" s="121"/>
    </row>
    <row r="73" spans="2:14" x14ac:dyDescent="0.25">
      <c r="D73" s="1057"/>
      <c r="E73" s="1058"/>
      <c r="F73" s="1058"/>
      <c r="G73" s="1058"/>
      <c r="H73" s="1058"/>
      <c r="I73" s="1058"/>
      <c r="J73" s="1058"/>
      <c r="K73" s="1058"/>
      <c r="L73" s="1058"/>
      <c r="M73" s="1058"/>
      <c r="N73" s="1058"/>
    </row>
    <row r="74" spans="2:14" x14ac:dyDescent="0.25">
      <c r="D74" s="1058"/>
      <c r="E74" s="1058"/>
      <c r="F74" s="1058"/>
      <c r="G74" s="1058"/>
      <c r="H74" s="1058"/>
      <c r="I74" s="1058"/>
      <c r="J74" s="1058"/>
      <c r="K74" s="1058"/>
      <c r="L74" s="1058"/>
      <c r="M74" s="1058"/>
      <c r="N74" s="1058"/>
    </row>
    <row r="75" spans="2:14" x14ac:dyDescent="0.25">
      <c r="D75" s="1057"/>
      <c r="E75" s="1058"/>
      <c r="F75" s="1058"/>
      <c r="G75" s="1058"/>
      <c r="H75" s="1058"/>
      <c r="I75" s="1058"/>
      <c r="J75" s="1058"/>
      <c r="K75" s="1058"/>
      <c r="L75" s="1058"/>
      <c r="M75" s="1058"/>
      <c r="N75" s="1058"/>
    </row>
  </sheetData>
  <sheetProtection algorithmName="SHA-512" hashValue="ZZqVB0tB7YZBPyHAh+wyh3ieDWHjYoYeEwqmloq/08hHYXzqQxDy1HX1nNmJiPNo8MhfrkFSdlqnxF2O/jfPdQ==" saltValue="Oh+oTowLC+riX5S9zdZ0Gw==" spinCount="100000" sheet="1" objects="1" scenarios="1"/>
  <mergeCells count="2">
    <mergeCell ref="D73:N74"/>
    <mergeCell ref="D75:N75"/>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dcmitype/"/>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0eb656aa-4e79-4e95-9076-bc119a23e0cc"/>
    <ds:schemaRef ds:uri="c1f338ac-e338-414f-952c-f74dcc6d59e1"/>
    <ds:schemaRef ds:uri="acaf4567-dc07-471f-892c-2bcb86ef35ae"/>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TA1097 Enfortumab vedotin with pembrolizumab for untreated unresectable or metastatic urothelial cancer when platinum-based chemotherapy is suitable: Resource impact template 11/09/2025</dc:title>
  <dc:subject/>
  <dc:creator/>
  <cp:keywords/>
  <dc:description/>
  <cp:lastModifiedBy/>
  <cp:revision/>
  <dcterms:created xsi:type="dcterms:W3CDTF">2022-07-27T12:38:28Z</dcterms:created>
  <dcterms:modified xsi:type="dcterms:W3CDTF">2025-09-08T08:07:15Z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y fmtid="{D5CDD505-2E9C-101B-9397-08002B2CF9AE}" pid="14" name="MSIP_Label_c69d85d5-6d9e-4305-a294-1f636ec0f2d6_Tag">
    <vt:lpwstr>10, 3, 0, 2</vt:lpwstr>
  </property>
</Properties>
</file>