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8460F7C9-9825-4393-A8D4-912A1CB6FF8F}" xr6:coauthVersionLast="47" xr6:coauthVersionMax="47" xr10:uidLastSave="{00000000-0000-0000-0000-000000000000}"/>
  <bookViews>
    <workbookView xWindow="-12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Capacity!$A$2:$H$26</definedName>
    <definedName name="_xlnm.Print_Area" localSheetId="3">Contents!$A$1:$K$25</definedName>
    <definedName name="_xlnm.Print_Area" localSheetId="2">Cover!$A$1:$C$23</definedName>
    <definedName name="_xlnm.Print_Area" localSheetId="5">'Population and treatments'!$A$2:$L$87</definedName>
    <definedName name="_xlnm.Print_Area" localSheetId="0">'Population selection'!$B$11:$J$17</definedName>
    <definedName name="_xlnm.Print_Area" localSheetId="4">Summary!$A$1:$J$51</definedName>
    <definedName name="_xlnm.Print_Area" localSheetId="6">'Unit costs'!$A$1:$P$208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61" l="1"/>
  <c r="E26" i="62"/>
  <c r="D26" i="62"/>
  <c r="C26" i="62"/>
  <c r="B26" i="62"/>
  <c r="J94" i="59"/>
  <c r="C140" i="61" l="1"/>
  <c r="C139" i="61"/>
  <c r="C128" i="61"/>
  <c r="C127" i="61"/>
  <c r="C116" i="61"/>
  <c r="C115" i="61"/>
  <c r="C105" i="61"/>
  <c r="C103" i="61"/>
  <c r="C102" i="61"/>
  <c r="C98" i="61"/>
  <c r="C97" i="61"/>
  <c r="C96" i="61"/>
  <c r="C95" i="61"/>
  <c r="C94" i="61"/>
  <c r="C93" i="61"/>
  <c r="C92" i="61"/>
  <c r="C91" i="61"/>
  <c r="C90" i="61"/>
  <c r="C86" i="61"/>
  <c r="C85" i="61"/>
  <c r="C74" i="61"/>
  <c r="C73" i="61"/>
  <c r="C72" i="61"/>
  <c r="I17" i="61"/>
  <c r="C80" i="61" s="1"/>
  <c r="H17" i="61"/>
  <c r="C79" i="61" s="1"/>
  <c r="C53" i="61"/>
  <c r="C52" i="61"/>
  <c r="D53" i="50"/>
  <c r="G52" i="50"/>
  <c r="F52" i="50" l="1"/>
  <c r="E52" i="50"/>
  <c r="D52" i="50"/>
  <c r="G64" i="62" l="1"/>
  <c r="G63" i="62"/>
  <c r="G62" i="62"/>
  <c r="G61" i="62"/>
  <c r="G60" i="62"/>
  <c r="G59" i="62"/>
  <c r="G58" i="62"/>
  <c r="G57" i="62"/>
  <c r="G56" i="62"/>
  <c r="H15" i="61" l="1"/>
  <c r="C78" i="61" s="1"/>
  <c r="C84" i="61"/>
  <c r="C146" i="61"/>
  <c r="C145" i="61"/>
  <c r="C134" i="61"/>
  <c r="C133" i="61"/>
  <c r="C122" i="61"/>
  <c r="C121" i="61"/>
  <c r="C110" i="61"/>
  <c r="C109" i="61"/>
  <c r="C59" i="61"/>
  <c r="C58" i="61"/>
  <c r="H32" i="47" l="1"/>
  <c r="H64" i="47"/>
  <c r="H63" i="47"/>
  <c r="H62" i="47"/>
  <c r="H61" i="47"/>
  <c r="H60" i="47"/>
  <c r="H59" i="47"/>
  <c r="H58" i="47"/>
  <c r="H57" i="47"/>
  <c r="H56" i="47"/>
  <c r="C144" i="61"/>
  <c r="C143" i="61"/>
  <c r="C142" i="61"/>
  <c r="C141" i="61"/>
  <c r="C138" i="61"/>
  <c r="C132" i="61"/>
  <c r="C131" i="61"/>
  <c r="C130" i="61"/>
  <c r="C129" i="61"/>
  <c r="C126" i="61"/>
  <c r="C120" i="61"/>
  <c r="C119" i="61"/>
  <c r="C118" i="61"/>
  <c r="C117" i="61"/>
  <c r="C114" i="61"/>
  <c r="C108" i="61"/>
  <c r="C107" i="61"/>
  <c r="C106" i="61"/>
  <c r="C57" i="61"/>
  <c r="C56" i="61"/>
  <c r="C55" i="61"/>
  <c r="C54" i="61"/>
  <c r="C51" i="61"/>
  <c r="C47" i="61"/>
  <c r="B64" i="47" s="1"/>
  <c r="N171" i="59"/>
  <c r="C46" i="61" s="1"/>
  <c r="B63" i="47" s="1"/>
  <c r="N153" i="59"/>
  <c r="C45" i="61" s="1"/>
  <c r="B62" i="47" s="1"/>
  <c r="C44" i="61"/>
  <c r="B61" i="47" s="1"/>
  <c r="C43" i="61"/>
  <c r="B60" i="47" s="1"/>
  <c r="C42" i="61"/>
  <c r="B59" i="47" s="1"/>
  <c r="J163" i="59"/>
  <c r="J162" i="59"/>
  <c r="J145" i="59"/>
  <c r="N99" i="59"/>
  <c r="N85" i="59"/>
  <c r="N69" i="59"/>
  <c r="E13" i="61" s="1"/>
  <c r="C67" i="61" s="1"/>
  <c r="J45" i="59"/>
  <c r="A35" i="61"/>
  <c r="A34" i="61"/>
  <c r="A33" i="61"/>
  <c r="A32" i="61"/>
  <c r="A31" i="61"/>
  <c r="A30" i="61"/>
  <c r="A29" i="61"/>
  <c r="A28" i="61"/>
  <c r="A27" i="61"/>
  <c r="C41" i="61" l="1"/>
  <c r="B58" i="47" s="1"/>
  <c r="F13" i="61"/>
  <c r="C68" i="61" s="1"/>
  <c r="C40" i="61"/>
  <c r="B57" i="47" s="1"/>
  <c r="G17" i="32"/>
  <c r="J164" i="59" l="1"/>
  <c r="N143" i="59"/>
  <c r="N142" i="59"/>
  <c r="N130" i="59"/>
  <c r="P130" i="59" s="1"/>
  <c r="P131" i="59" s="1"/>
  <c r="D24" i="59" s="1"/>
  <c r="N114" i="59"/>
  <c r="K94" i="59"/>
  <c r="N125" i="59"/>
  <c r="M125" i="59"/>
  <c r="E125" i="59"/>
  <c r="D125" i="59"/>
  <c r="C125" i="59"/>
  <c r="B125" i="59"/>
  <c r="N109" i="59"/>
  <c r="M109" i="59"/>
  <c r="E109" i="59"/>
  <c r="D109" i="59"/>
  <c r="C109" i="59"/>
  <c r="B109" i="59"/>
  <c r="P99" i="59"/>
  <c r="P100" i="59" s="1"/>
  <c r="B24" i="59" s="1"/>
  <c r="N94" i="59"/>
  <c r="M94" i="59"/>
  <c r="E94" i="59"/>
  <c r="D94" i="59"/>
  <c r="C94" i="59"/>
  <c r="B94" i="59"/>
  <c r="A90" i="59"/>
  <c r="A105" i="59" s="1"/>
  <c r="A121" i="59" s="1"/>
  <c r="K109" i="59" l="1"/>
  <c r="J143" i="59"/>
  <c r="J144" i="59"/>
  <c r="N169" i="59"/>
  <c r="N181" i="59"/>
  <c r="M181" i="59"/>
  <c r="E181" i="59"/>
  <c r="D181" i="59"/>
  <c r="C181" i="59"/>
  <c r="B181" i="59"/>
  <c r="M164" i="59"/>
  <c r="E164" i="59"/>
  <c r="D163" i="59"/>
  <c r="D164" i="59"/>
  <c r="C164" i="59"/>
  <c r="B164" i="59"/>
  <c r="N164" i="59"/>
  <c r="N163" i="59"/>
  <c r="M163" i="59"/>
  <c r="N162" i="59"/>
  <c r="M162" i="59"/>
  <c r="E163" i="59"/>
  <c r="C163" i="59"/>
  <c r="B163" i="59"/>
  <c r="E162" i="59"/>
  <c r="D162" i="59"/>
  <c r="C162" i="59"/>
  <c r="B162" i="59"/>
  <c r="N152" i="59"/>
  <c r="P152" i="59" s="1"/>
  <c r="K144" i="59"/>
  <c r="N146" i="59"/>
  <c r="M143" i="59"/>
  <c r="M146" i="59"/>
  <c r="K146" i="59"/>
  <c r="E146" i="59"/>
  <c r="D146" i="59"/>
  <c r="C146" i="59"/>
  <c r="B146" i="59"/>
  <c r="N145" i="59"/>
  <c r="M145" i="59"/>
  <c r="K145" i="59"/>
  <c r="E145" i="59"/>
  <c r="D145" i="59"/>
  <c r="C145" i="59"/>
  <c r="B145" i="59"/>
  <c r="N144" i="59"/>
  <c r="M144" i="59"/>
  <c r="E144" i="59"/>
  <c r="D144" i="59"/>
  <c r="C144" i="59"/>
  <c r="B144" i="59"/>
  <c r="E143" i="59"/>
  <c r="D143" i="59"/>
  <c r="C143" i="59"/>
  <c r="B143" i="59"/>
  <c r="M142" i="59"/>
  <c r="E142" i="59"/>
  <c r="D142" i="59"/>
  <c r="C142" i="59"/>
  <c r="B142" i="59"/>
  <c r="J47" i="59"/>
  <c r="D79" i="59"/>
  <c r="P85" i="59"/>
  <c r="D23" i="59" s="1"/>
  <c r="L80" i="59"/>
  <c r="L64" i="59"/>
  <c r="L63" i="59"/>
  <c r="L62" i="59"/>
  <c r="M62" i="59"/>
  <c r="M64" i="59"/>
  <c r="M80" i="59"/>
  <c r="J80" i="59"/>
  <c r="J79" i="59"/>
  <c r="M79" i="59"/>
  <c r="M78" i="59"/>
  <c r="L79" i="59"/>
  <c r="L78" i="59"/>
  <c r="G78" i="59"/>
  <c r="P69" i="59"/>
  <c r="C23" i="59" s="1"/>
  <c r="J64" i="59"/>
  <c r="J63" i="59"/>
  <c r="J62" i="59"/>
  <c r="J48" i="59"/>
  <c r="D48" i="59"/>
  <c r="D64" i="59" s="1"/>
  <c r="D80" i="59" s="1"/>
  <c r="E48" i="59"/>
  <c r="E64" i="59" s="1"/>
  <c r="E80" i="59" s="1"/>
  <c r="M46" i="59"/>
  <c r="L47" i="59"/>
  <c r="L46" i="59"/>
  <c r="G46" i="59"/>
  <c r="M45" i="59"/>
  <c r="L45" i="59"/>
  <c r="M44" i="59"/>
  <c r="L44" i="59"/>
  <c r="G44" i="59"/>
  <c r="E47" i="59"/>
  <c r="D47" i="59"/>
  <c r="C47" i="59"/>
  <c r="E46" i="59"/>
  <c r="E63" i="59" s="1"/>
  <c r="D46" i="59"/>
  <c r="C46" i="59"/>
  <c r="C63" i="59" s="1"/>
  <c r="E45" i="59"/>
  <c r="E62" i="59" s="1"/>
  <c r="E79" i="59" s="1"/>
  <c r="D45" i="59"/>
  <c r="D62" i="59" s="1"/>
  <c r="D78" i="59" s="1"/>
  <c r="C45" i="59"/>
  <c r="C62" i="59" s="1"/>
  <c r="C78" i="59" s="1"/>
  <c r="B45" i="59"/>
  <c r="B62" i="59" s="1"/>
  <c r="B78" i="59" s="1"/>
  <c r="B46" i="59"/>
  <c r="B47" i="59"/>
  <c r="B44" i="59"/>
  <c r="G76" i="62"/>
  <c r="G75" i="62"/>
  <c r="G74" i="62"/>
  <c r="G73" i="62"/>
  <c r="G72" i="62"/>
  <c r="G52" i="62"/>
  <c r="G51" i="62"/>
  <c r="G50" i="62"/>
  <c r="G49" i="62"/>
  <c r="G48" i="62"/>
  <c r="G39" i="62"/>
  <c r="G38" i="62"/>
  <c r="G37" i="62"/>
  <c r="G36" i="62"/>
  <c r="G35" i="62"/>
  <c r="G34" i="62"/>
  <c r="G33" i="62"/>
  <c r="G32" i="62"/>
  <c r="G31" i="62"/>
  <c r="F30" i="59"/>
  <c r="F181" i="59" l="1"/>
  <c r="P114" i="59"/>
  <c r="P115" i="59" s="1"/>
  <c r="C24" i="59" s="1"/>
  <c r="K143" i="59"/>
  <c r="J78" i="59"/>
  <c r="K78" i="59" s="1"/>
  <c r="E78" i="59"/>
  <c r="C79" i="59"/>
  <c r="J46" i="59"/>
  <c r="B63" i="59"/>
  <c r="B79" i="59" s="1"/>
  <c r="D63" i="59"/>
  <c r="F47" i="59"/>
  <c r="K47" i="59" s="1"/>
  <c r="P47" i="59" s="1"/>
  <c r="F46" i="59"/>
  <c r="F79" i="59" s="1"/>
  <c r="K79" i="59" s="1"/>
  <c r="P79" i="59" s="1"/>
  <c r="K125" i="59" l="1"/>
  <c r="K46" i="59"/>
  <c r="P46" i="59" s="1"/>
  <c r="F63" i="59"/>
  <c r="K181" i="59" l="1"/>
  <c r="L181" i="59" s="1"/>
  <c r="P181" i="59" s="1"/>
  <c r="P182" i="59" s="1"/>
  <c r="D19" i="59" s="1"/>
  <c r="H19" i="47" s="1"/>
  <c r="K63" i="59"/>
  <c r="P63" i="59" s="1"/>
  <c r="D15" i="50" l="1"/>
  <c r="A12" i="47"/>
  <c r="A13" i="47"/>
  <c r="A14" i="47"/>
  <c r="A15" i="47"/>
  <c r="A16" i="47"/>
  <c r="A17" i="47"/>
  <c r="A18" i="47"/>
  <c r="A19" i="47"/>
  <c r="A11" i="47"/>
  <c r="D10" i="62"/>
  <c r="A26" i="62" s="1"/>
  <c r="C10" i="62"/>
  <c r="A25" i="62" s="1"/>
  <c r="B10" i="62"/>
  <c r="A24" i="62" s="1"/>
  <c r="E9" i="50"/>
  <c r="E54" i="50"/>
  <c r="F54" i="50"/>
  <c r="G54" i="50"/>
  <c r="D54" i="50"/>
  <c r="G11" i="61"/>
  <c r="A67" i="62" l="1"/>
  <c r="A43" i="62"/>
  <c r="A55" i="62"/>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138" i="59" l="1"/>
  <c r="A158" i="59" s="1"/>
  <c r="A177" i="59" s="1"/>
  <c r="A40" i="59"/>
  <c r="A58" i="59" s="1"/>
  <c r="A74" i="59" s="1"/>
  <c r="A85" i="59" s="1"/>
  <c r="A53" i="59" l="1"/>
  <c r="A69" i="59"/>
  <c r="E38" i="50"/>
  <c r="F38" i="50" s="1"/>
  <c r="G38" i="50" s="1"/>
  <c r="D16" i="50" l="1"/>
  <c r="C48" i="59"/>
  <c r="C64" i="59" s="1"/>
  <c r="C80" i="59" s="1"/>
  <c r="C44" i="59"/>
  <c r="E44" i="59"/>
  <c r="D44" i="59"/>
  <c r="F31" i="59"/>
  <c r="F32" i="59"/>
  <c r="F33" i="59"/>
  <c r="F125" i="59" s="1"/>
  <c r="L125" i="59" s="1"/>
  <c r="P125" i="59" s="1"/>
  <c r="P126" i="59" s="1"/>
  <c r="D18" i="59" s="1"/>
  <c r="F34" i="59"/>
  <c r="F163" i="59" s="1"/>
  <c r="F35" i="59"/>
  <c r="F144" i="59" s="1"/>
  <c r="L144" i="59" s="1"/>
  <c r="P144" i="59" s="1"/>
  <c r="F29" i="59"/>
  <c r="B39" i="50"/>
  <c r="F94" i="59" l="1"/>
  <c r="L94" i="59" s="1"/>
  <c r="P94" i="59" s="1"/>
  <c r="P95" i="59" s="1"/>
  <c r="B18" i="59" s="1"/>
  <c r="F109" i="59"/>
  <c r="L109" i="59" s="1"/>
  <c r="P109" i="59" s="1"/>
  <c r="P110" i="59" s="1"/>
  <c r="C18" i="59" s="1"/>
  <c r="F162" i="59"/>
  <c r="F164" i="59"/>
  <c r="F142" i="59"/>
  <c r="F145" i="59"/>
  <c r="L145" i="59" s="1"/>
  <c r="P145" i="59" s="1"/>
  <c r="F143" i="59"/>
  <c r="F146" i="59"/>
  <c r="L146" i="59" s="1"/>
  <c r="P146" i="59" s="1"/>
  <c r="F44" i="59"/>
  <c r="F45" i="59"/>
  <c r="F48" i="59"/>
  <c r="F64" i="59" s="1"/>
  <c r="F80" i="59" s="1"/>
  <c r="K80" i="59" s="1"/>
  <c r="P80" i="59" s="1"/>
  <c r="E37" i="50"/>
  <c r="H33" i="47"/>
  <c r="H31" i="47"/>
  <c r="K64" i="59" l="1"/>
  <c r="P64" i="59" s="1"/>
  <c r="K45" i="59"/>
  <c r="P45" i="59" s="1"/>
  <c r="F62" i="59"/>
  <c r="F78" i="59" s="1"/>
  <c r="P78" i="59" s="1"/>
  <c r="P81" i="59" s="1"/>
  <c r="D17" i="59" s="1"/>
  <c r="H13" i="47" s="1"/>
  <c r="H27" i="47"/>
  <c r="M48" i="59"/>
  <c r="L48" i="59"/>
  <c r="K62" i="59" l="1"/>
  <c r="P62" i="59" s="1"/>
  <c r="P65" i="59" s="1"/>
  <c r="C17" i="59" s="1"/>
  <c r="H12" i="47" s="1"/>
  <c r="G69" i="62"/>
  <c r="G70" i="62"/>
  <c r="G71" i="62"/>
  <c r="G68" i="62"/>
  <c r="G45" i="62"/>
  <c r="G46" i="62"/>
  <c r="G47" i="62"/>
  <c r="G44" i="62"/>
  <c r="L143" i="59" l="1"/>
  <c r="P143" i="59" s="1"/>
  <c r="K48" i="59"/>
  <c r="P48" i="59" s="1"/>
  <c r="H16" i="47" l="1"/>
  <c r="H15" i="47"/>
  <c r="H14" i="47"/>
  <c r="D6" i="47" l="1"/>
  <c r="E6" i="47"/>
  <c r="F6" i="47"/>
  <c r="C6" i="47"/>
  <c r="B40" i="50"/>
  <c r="J44" i="59" l="1"/>
  <c r="K44" i="59" s="1"/>
  <c r="N53" i="59" l="1"/>
  <c r="D13" i="61" s="1"/>
  <c r="C66" i="61" s="1"/>
  <c r="F37" i="50"/>
  <c r="G37" i="50" s="1"/>
  <c r="P44" i="59" l="1"/>
  <c r="P49" i="59" s="1"/>
  <c r="B17" i="59" s="1"/>
  <c r="H11" i="47" s="1"/>
  <c r="C39" i="61"/>
  <c r="F1784" i="32"/>
  <c r="E1784" i="32"/>
  <c r="B56" i="47"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P53" i="59"/>
  <c r="B23" i="59" s="1"/>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39" i="50"/>
  <c r="E39" i="50" s="1"/>
  <c r="D23" i="50" l="1"/>
  <c r="D24" i="50"/>
  <c r="D26" i="50"/>
  <c r="D25" i="50"/>
  <c r="F39" i="50"/>
  <c r="G39" i="50"/>
  <c r="D27" i="50" l="1"/>
  <c r="D28" i="50" s="1"/>
  <c r="D29" i="50" s="1"/>
  <c r="D30" i="50" s="1"/>
  <c r="D31" i="50" s="1"/>
  <c r="D32" i="50" s="1"/>
  <c r="D33" i="50" s="1"/>
  <c r="D34" i="50" s="1"/>
  <c r="D40" i="50" l="1"/>
  <c r="I53" i="50" l="1"/>
  <c r="I64" i="50" s="1"/>
  <c r="I51" i="50"/>
  <c r="I58" i="50" s="1"/>
  <c r="E40" i="50"/>
  <c r="I52" i="50"/>
  <c r="I61" i="50" s="1"/>
  <c r="J62" i="50" s="1"/>
  <c r="K63" i="50" s="1"/>
  <c r="C17" i="47"/>
  <c r="D27" i="61" l="1"/>
  <c r="J59" i="50"/>
  <c r="K60" i="50" s="1"/>
  <c r="I59" i="50"/>
  <c r="D30" i="61"/>
  <c r="D42" i="61" s="1"/>
  <c r="C59" i="47" s="1"/>
  <c r="I59" i="47" s="1"/>
  <c r="D138" i="61"/>
  <c r="D66" i="61"/>
  <c r="D51" i="61"/>
  <c r="D114" i="61"/>
  <c r="D126" i="61"/>
  <c r="J53" i="50"/>
  <c r="J64" i="50" s="1"/>
  <c r="K65" i="50" s="1"/>
  <c r="L66" i="50" s="1"/>
  <c r="E33" i="61"/>
  <c r="I54" i="50"/>
  <c r="C5" i="47" s="1"/>
  <c r="C7" i="47" s="1"/>
  <c r="C14" i="47"/>
  <c r="I14" i="47" s="1"/>
  <c r="I62" i="50"/>
  <c r="J63" i="50" s="1"/>
  <c r="E32" i="61" s="1"/>
  <c r="D39" i="61"/>
  <c r="C56" i="47" s="1"/>
  <c r="J52" i="50"/>
  <c r="J61" i="50" s="1"/>
  <c r="K62" i="50" s="1"/>
  <c r="L63" i="50" s="1"/>
  <c r="I65" i="50"/>
  <c r="J65" i="50"/>
  <c r="K66" i="50" s="1"/>
  <c r="D33" i="61"/>
  <c r="F40" i="50"/>
  <c r="J51" i="50"/>
  <c r="J58" i="50" s="1"/>
  <c r="E28" i="61"/>
  <c r="F29" i="61"/>
  <c r="E31" i="61"/>
  <c r="F32" i="61"/>
  <c r="D15" i="47"/>
  <c r="C11" i="47"/>
  <c r="D129" i="61" l="1"/>
  <c r="D117" i="61"/>
  <c r="D141" i="61"/>
  <c r="D54" i="61"/>
  <c r="J60" i="50"/>
  <c r="E29" i="61" s="1"/>
  <c r="I60" i="50"/>
  <c r="D29" i="61" s="1"/>
  <c r="D28" i="61"/>
  <c r="D17" i="47"/>
  <c r="E27" i="61"/>
  <c r="E66" i="61" s="1"/>
  <c r="K59" i="50"/>
  <c r="L60" i="50" s="1"/>
  <c r="G29" i="61" s="1"/>
  <c r="D79" i="61"/>
  <c r="D85" i="61" s="1"/>
  <c r="D78" i="61"/>
  <c r="D84" i="61" s="1"/>
  <c r="E120" i="61"/>
  <c r="E79" i="61"/>
  <c r="E85" i="61" s="1"/>
  <c r="E78" i="61"/>
  <c r="E84" i="61" s="1"/>
  <c r="F68" i="61"/>
  <c r="F74" i="61" s="1"/>
  <c r="F41" i="61"/>
  <c r="E58" i="47" s="1"/>
  <c r="D72" i="61"/>
  <c r="E57" i="61"/>
  <c r="E67" i="61"/>
  <c r="E73" i="61" s="1"/>
  <c r="E40" i="61"/>
  <c r="D57" i="47" s="1"/>
  <c r="E114" i="61"/>
  <c r="E45" i="61"/>
  <c r="E96" i="61" s="1"/>
  <c r="E132" i="61"/>
  <c r="E144" i="61"/>
  <c r="D31" i="61"/>
  <c r="D142" i="61" s="1"/>
  <c r="D102" i="61"/>
  <c r="D90" i="61"/>
  <c r="K53" i="50"/>
  <c r="K64" i="50" s="1"/>
  <c r="F33" i="61" s="1"/>
  <c r="I63" i="50"/>
  <c r="D32" i="61" s="1"/>
  <c r="D44" i="61" s="1"/>
  <c r="C61" i="47" s="1"/>
  <c r="D14" i="47"/>
  <c r="J14" i="47" s="1"/>
  <c r="C15" i="47"/>
  <c r="I15" i="47" s="1"/>
  <c r="J54" i="50"/>
  <c r="D5" i="47" s="1"/>
  <c r="D7" i="47" s="1"/>
  <c r="E30" i="61"/>
  <c r="E129" i="61" s="1"/>
  <c r="K52" i="50"/>
  <c r="K61" i="50" s="1"/>
  <c r="L62" i="50" s="1"/>
  <c r="G31" i="61" s="1"/>
  <c r="G142" i="61" s="1"/>
  <c r="K51" i="50"/>
  <c r="K58" i="50" s="1"/>
  <c r="L59" i="50" s="1"/>
  <c r="G40" i="50"/>
  <c r="E126" i="61"/>
  <c r="D144" i="61"/>
  <c r="D120" i="61"/>
  <c r="D132" i="61"/>
  <c r="D45" i="61"/>
  <c r="D57" i="61"/>
  <c r="E138" i="61"/>
  <c r="J66" i="50"/>
  <c r="I66" i="50"/>
  <c r="E142" i="61"/>
  <c r="E139" i="61"/>
  <c r="F140" i="61"/>
  <c r="E143" i="61"/>
  <c r="F143" i="61"/>
  <c r="F119" i="61"/>
  <c r="F131" i="61"/>
  <c r="E119" i="61"/>
  <c r="E131" i="61"/>
  <c r="E118" i="61"/>
  <c r="E130" i="61"/>
  <c r="E115" i="61"/>
  <c r="E127" i="61"/>
  <c r="F116" i="61"/>
  <c r="F128" i="61"/>
  <c r="D93" i="61"/>
  <c r="D105" i="61"/>
  <c r="E43" i="61"/>
  <c r="D60" i="47" s="1"/>
  <c r="J60" i="47" s="1"/>
  <c r="E55" i="61"/>
  <c r="E44" i="61"/>
  <c r="D61" i="47" s="1"/>
  <c r="E56" i="61"/>
  <c r="F53" i="61"/>
  <c r="E52" i="61"/>
  <c r="F44" i="61"/>
  <c r="E61" i="47" s="1"/>
  <c r="F56" i="61"/>
  <c r="F28" i="61"/>
  <c r="F31" i="61"/>
  <c r="F142" i="61" s="1"/>
  <c r="G32" i="61"/>
  <c r="E16" i="47"/>
  <c r="J15" i="47"/>
  <c r="I11" i="47"/>
  <c r="D13" i="47"/>
  <c r="C13" i="47"/>
  <c r="D12" i="47"/>
  <c r="E13" i="47"/>
  <c r="D16" i="47"/>
  <c r="C25" i="62"/>
  <c r="D11" i="47"/>
  <c r="L52" i="50"/>
  <c r="L61" i="50" s="1"/>
  <c r="G30" i="61" s="1"/>
  <c r="L51" i="50"/>
  <c r="E15" i="47"/>
  <c r="C12" i="47"/>
  <c r="E39" i="61" l="1"/>
  <c r="E102" i="61" s="1"/>
  <c r="E51" i="61"/>
  <c r="D40" i="61"/>
  <c r="D67" i="61"/>
  <c r="D139" i="61"/>
  <c r="D127" i="61"/>
  <c r="D52" i="61"/>
  <c r="D115" i="61"/>
  <c r="D41" i="61"/>
  <c r="D116" i="61"/>
  <c r="D128" i="61"/>
  <c r="D68" i="61"/>
  <c r="D74" i="61" s="1"/>
  <c r="D140" i="61"/>
  <c r="D53" i="61"/>
  <c r="E68" i="61"/>
  <c r="E74" i="61" s="1"/>
  <c r="E41" i="61"/>
  <c r="E140" i="61"/>
  <c r="E53" i="61"/>
  <c r="E128" i="61"/>
  <c r="E116" i="61"/>
  <c r="D62" i="47"/>
  <c r="F144" i="61"/>
  <c r="F79" i="61"/>
  <c r="F85" i="61" s="1"/>
  <c r="F78" i="61"/>
  <c r="F84" i="61" s="1"/>
  <c r="E108" i="61"/>
  <c r="E72" i="61"/>
  <c r="G68" i="61"/>
  <c r="G74" i="61" s="1"/>
  <c r="G41" i="61"/>
  <c r="F58" i="47" s="1"/>
  <c r="F40" i="61"/>
  <c r="E57" i="47" s="1"/>
  <c r="F67" i="61"/>
  <c r="F73" i="61" s="1"/>
  <c r="D130" i="61"/>
  <c r="E54" i="61"/>
  <c r="D118" i="61"/>
  <c r="F132" i="61"/>
  <c r="D55" i="61"/>
  <c r="D43" i="61"/>
  <c r="C60" i="47" s="1"/>
  <c r="I60" i="47" s="1"/>
  <c r="E141" i="61"/>
  <c r="F57" i="61"/>
  <c r="F45" i="61"/>
  <c r="E62" i="47" s="1"/>
  <c r="F120" i="61"/>
  <c r="E17" i="47"/>
  <c r="L65" i="50"/>
  <c r="D131" i="61"/>
  <c r="C16" i="47"/>
  <c r="I16" i="47" s="1"/>
  <c r="B25" i="62"/>
  <c r="B64" i="62" s="1"/>
  <c r="H64" i="62" s="1"/>
  <c r="D143" i="61"/>
  <c r="D119" i="61"/>
  <c r="L53" i="50"/>
  <c r="L64" i="50" s="1"/>
  <c r="G33" i="61" s="1"/>
  <c r="D56" i="61"/>
  <c r="E42" i="61"/>
  <c r="D59" i="47" s="1"/>
  <c r="J59" i="47" s="1"/>
  <c r="K54" i="50"/>
  <c r="E5" i="47" s="1"/>
  <c r="E7" i="47" s="1"/>
  <c r="F30" i="61"/>
  <c r="E14" i="47"/>
  <c r="K14" i="47" s="1"/>
  <c r="D25" i="62"/>
  <c r="E117" i="61"/>
  <c r="C62" i="47"/>
  <c r="D96" i="61"/>
  <c r="D108" i="61"/>
  <c r="G28" i="61"/>
  <c r="F27" i="61"/>
  <c r="C57" i="62"/>
  <c r="I57" i="62" s="1"/>
  <c r="C59" i="62"/>
  <c r="I59" i="62" s="1"/>
  <c r="C61" i="62"/>
  <c r="I61" i="62" s="1"/>
  <c r="C63" i="62"/>
  <c r="I63" i="62" s="1"/>
  <c r="C56" i="62"/>
  <c r="C58" i="62"/>
  <c r="I58" i="62" s="1"/>
  <c r="C60" i="62"/>
  <c r="I60" i="62" s="1"/>
  <c r="C62" i="62"/>
  <c r="I62" i="62" s="1"/>
  <c r="C64" i="62"/>
  <c r="I64" i="62" s="1"/>
  <c r="G141" i="61"/>
  <c r="G140" i="61"/>
  <c r="F139" i="61"/>
  <c r="I61" i="47"/>
  <c r="G143" i="61"/>
  <c r="K61" i="47"/>
  <c r="J61" i="47"/>
  <c r="F118" i="61"/>
  <c r="F130" i="61"/>
  <c r="F115" i="61"/>
  <c r="F127" i="61"/>
  <c r="G118" i="61"/>
  <c r="G130" i="61"/>
  <c r="G119" i="61"/>
  <c r="G131" i="61"/>
  <c r="G116" i="61"/>
  <c r="G128" i="61"/>
  <c r="G117" i="61"/>
  <c r="G129" i="61"/>
  <c r="E91" i="61"/>
  <c r="E103" i="61"/>
  <c r="E94" i="61"/>
  <c r="E106" i="61"/>
  <c r="F95" i="61"/>
  <c r="F107" i="61"/>
  <c r="E95" i="61"/>
  <c r="E107" i="61"/>
  <c r="F92" i="61"/>
  <c r="F104" i="61"/>
  <c r="D95" i="61"/>
  <c r="D107" i="61"/>
  <c r="G43" i="61"/>
  <c r="F60" i="47" s="1"/>
  <c r="G55" i="61"/>
  <c r="G42" i="61"/>
  <c r="F59" i="47" s="1"/>
  <c r="G54" i="61"/>
  <c r="G53" i="61"/>
  <c r="G44" i="61"/>
  <c r="F61" i="47" s="1"/>
  <c r="G56" i="61"/>
  <c r="F43" i="61"/>
  <c r="E60" i="47" s="1"/>
  <c r="K60" i="47" s="1"/>
  <c r="F55" i="61"/>
  <c r="F52" i="61"/>
  <c r="K16" i="47"/>
  <c r="F16" i="47"/>
  <c r="L16" i="47" s="1"/>
  <c r="F15" i="47"/>
  <c r="L15" i="47" s="1"/>
  <c r="K15" i="47"/>
  <c r="J13" i="47"/>
  <c r="I13" i="47"/>
  <c r="K13" i="47"/>
  <c r="K58" i="47"/>
  <c r="J12" i="47"/>
  <c r="J57" i="47"/>
  <c r="C24" i="62"/>
  <c r="C52" i="62" s="1"/>
  <c r="B24" i="62"/>
  <c r="D24" i="62"/>
  <c r="D52" i="62" s="1"/>
  <c r="E11" i="47"/>
  <c r="F12" i="47"/>
  <c r="J11" i="47"/>
  <c r="J16" i="47"/>
  <c r="F13" i="47"/>
  <c r="E12" i="47"/>
  <c r="I12" i="47"/>
  <c r="L58" i="50"/>
  <c r="G27" i="61" s="1"/>
  <c r="E25" i="62"/>
  <c r="F14" i="47"/>
  <c r="E90" i="61" l="1"/>
  <c r="B57" i="62"/>
  <c r="H57" i="62" s="1"/>
  <c r="D64" i="62"/>
  <c r="D63" i="62"/>
  <c r="D62" i="62"/>
  <c r="D61" i="62"/>
  <c r="J61" i="62" s="1"/>
  <c r="D60" i="62"/>
  <c r="J60" i="62" s="1"/>
  <c r="D56" i="62"/>
  <c r="D59" i="62"/>
  <c r="J59" i="62" s="1"/>
  <c r="D58" i="62"/>
  <c r="J58" i="62" s="1"/>
  <c r="D57" i="62"/>
  <c r="J57" i="62" s="1"/>
  <c r="B56" i="62"/>
  <c r="D56" i="47"/>
  <c r="J56" i="47" s="1"/>
  <c r="B62" i="62"/>
  <c r="H62" i="62" s="1"/>
  <c r="B59" i="62"/>
  <c r="H59" i="62" s="1"/>
  <c r="C58" i="47"/>
  <c r="I58" i="47" s="1"/>
  <c r="D104" i="61"/>
  <c r="D92" i="61"/>
  <c r="D58" i="47"/>
  <c r="J58" i="47" s="1"/>
  <c r="E92" i="61"/>
  <c r="E104" i="61"/>
  <c r="E69" i="61"/>
  <c r="D28" i="47" s="1"/>
  <c r="D73" i="61"/>
  <c r="D75" i="61" s="1"/>
  <c r="C48" i="47" s="1"/>
  <c r="D69" i="61"/>
  <c r="C28" i="47" s="1"/>
  <c r="E75" i="61"/>
  <c r="D48" i="47" s="1"/>
  <c r="C57" i="47"/>
  <c r="I57" i="47" s="1"/>
  <c r="D91" i="61"/>
  <c r="D103" i="61"/>
  <c r="F17" i="47"/>
  <c r="L54" i="50"/>
  <c r="F5" i="47" s="1"/>
  <c r="F7" i="47" s="1"/>
  <c r="E105" i="61"/>
  <c r="G45" i="61"/>
  <c r="F62" i="47" s="1"/>
  <c r="G79" i="61"/>
  <c r="G85" i="61" s="1"/>
  <c r="G78" i="61"/>
  <c r="G84" i="61" s="1"/>
  <c r="G57" i="61"/>
  <c r="F66" i="61"/>
  <c r="F39" i="61"/>
  <c r="G115" i="61"/>
  <c r="G40" i="61"/>
  <c r="F57" i="47" s="1"/>
  <c r="L57" i="47" s="1"/>
  <c r="G67" i="61"/>
  <c r="G73" i="61" s="1"/>
  <c r="G66" i="61"/>
  <c r="G39" i="61"/>
  <c r="D106" i="61"/>
  <c r="D94" i="61"/>
  <c r="G120" i="61"/>
  <c r="F108" i="61"/>
  <c r="G144" i="61"/>
  <c r="F96" i="61"/>
  <c r="G132" i="61"/>
  <c r="B60" i="62"/>
  <c r="H60" i="62" s="1"/>
  <c r="B58" i="62"/>
  <c r="H58" i="62" s="1"/>
  <c r="B63" i="62"/>
  <c r="H63" i="62" s="1"/>
  <c r="B61" i="62"/>
  <c r="H61" i="62" s="1"/>
  <c r="F141" i="61"/>
  <c r="F117" i="61"/>
  <c r="F129" i="61"/>
  <c r="F54" i="61"/>
  <c r="F42" i="61"/>
  <c r="E59" i="47" s="1"/>
  <c r="K59" i="47" s="1"/>
  <c r="E93" i="61"/>
  <c r="G139" i="61"/>
  <c r="G52" i="61"/>
  <c r="G127" i="61"/>
  <c r="G126" i="61"/>
  <c r="G51" i="61"/>
  <c r="G138" i="61"/>
  <c r="G114" i="61"/>
  <c r="F114" i="61"/>
  <c r="F51" i="61"/>
  <c r="F138" i="61"/>
  <c r="F126" i="61"/>
  <c r="E56" i="62"/>
  <c r="E57" i="62"/>
  <c r="K57" i="62" s="1"/>
  <c r="E59" i="62"/>
  <c r="K59" i="62" s="1"/>
  <c r="E61" i="62"/>
  <c r="K61" i="62" s="1"/>
  <c r="E63" i="62"/>
  <c r="K63" i="62" s="1"/>
  <c r="E58" i="62"/>
  <c r="K58" i="62" s="1"/>
  <c r="E60" i="62"/>
  <c r="K60" i="62" s="1"/>
  <c r="E62" i="62"/>
  <c r="K62" i="62" s="1"/>
  <c r="E64" i="62"/>
  <c r="K64" i="62" s="1"/>
  <c r="B47" i="62"/>
  <c r="B52" i="62"/>
  <c r="C44" i="62"/>
  <c r="L60" i="47"/>
  <c r="L59" i="47"/>
  <c r="G92" i="61"/>
  <c r="G104" i="61"/>
  <c r="F94" i="61"/>
  <c r="F106" i="61"/>
  <c r="G95" i="61"/>
  <c r="G107" i="61"/>
  <c r="G94" i="61"/>
  <c r="G106" i="61"/>
  <c r="F91" i="61"/>
  <c r="F103" i="61"/>
  <c r="G93" i="61"/>
  <c r="G105" i="61"/>
  <c r="L61" i="47"/>
  <c r="K12" i="47"/>
  <c r="K57" i="47"/>
  <c r="L12" i="47"/>
  <c r="L13" i="47"/>
  <c r="L58" i="47"/>
  <c r="J56" i="62"/>
  <c r="C47" i="62"/>
  <c r="C50" i="62"/>
  <c r="I50" i="62" s="1"/>
  <c r="C49" i="62"/>
  <c r="I49" i="62" s="1"/>
  <c r="C48" i="62"/>
  <c r="C51" i="62"/>
  <c r="B44" i="62"/>
  <c r="B51" i="62"/>
  <c r="B50" i="62"/>
  <c r="B49" i="62"/>
  <c r="B48" i="62"/>
  <c r="D49" i="62"/>
  <c r="J49" i="62" s="1"/>
  <c r="D48" i="62"/>
  <c r="D51" i="62"/>
  <c r="D50" i="62"/>
  <c r="J50" i="62" s="1"/>
  <c r="C45" i="62"/>
  <c r="B45" i="62"/>
  <c r="B46" i="62"/>
  <c r="C46" i="62"/>
  <c r="L14" i="47"/>
  <c r="I56" i="47"/>
  <c r="E24" i="62"/>
  <c r="E52" i="62" s="1"/>
  <c r="F11" i="47"/>
  <c r="K11" i="47"/>
  <c r="I56" i="62"/>
  <c r="I65" i="62" s="1"/>
  <c r="C65" i="62"/>
  <c r="H56" i="62"/>
  <c r="D44" i="62"/>
  <c r="D47" i="62"/>
  <c r="D46" i="62"/>
  <c r="D45" i="62"/>
  <c r="D65" i="62" l="1"/>
  <c r="G96" i="61"/>
  <c r="G108" i="61"/>
  <c r="B65" i="62"/>
  <c r="H65" i="62"/>
  <c r="G69" i="61"/>
  <c r="F28" i="47" s="1"/>
  <c r="G72" i="61"/>
  <c r="G75" i="61" s="1"/>
  <c r="F48" i="47" s="1"/>
  <c r="F69" i="61"/>
  <c r="E28" i="47" s="1"/>
  <c r="F72" i="61"/>
  <c r="F75" i="61" s="1"/>
  <c r="E48" i="47" s="1"/>
  <c r="G91" i="61"/>
  <c r="F105" i="61"/>
  <c r="F93" i="61"/>
  <c r="G103" i="61"/>
  <c r="F56" i="47"/>
  <c r="L56" i="47" s="1"/>
  <c r="G90" i="61"/>
  <c r="G102" i="61"/>
  <c r="E56" i="47"/>
  <c r="K56" i="47" s="1"/>
  <c r="F90" i="61"/>
  <c r="F102" i="61"/>
  <c r="H50" i="62"/>
  <c r="H49" i="62"/>
  <c r="J48" i="62"/>
  <c r="I48" i="62"/>
  <c r="H48" i="62"/>
  <c r="I51" i="62"/>
  <c r="H51" i="62"/>
  <c r="J51" i="62"/>
  <c r="I52" i="62"/>
  <c r="I47" i="62"/>
  <c r="E48" i="62"/>
  <c r="E51" i="62"/>
  <c r="E50" i="62"/>
  <c r="K50" i="62" s="1"/>
  <c r="E49" i="62"/>
  <c r="K49" i="62" s="1"/>
  <c r="H44" i="62"/>
  <c r="K56" i="62"/>
  <c r="K65" i="62" s="1"/>
  <c r="I45" i="62"/>
  <c r="H45" i="62"/>
  <c r="I46" i="62"/>
  <c r="H52" i="62"/>
  <c r="I44" i="62"/>
  <c r="H46" i="62"/>
  <c r="C53" i="62"/>
  <c r="H47" i="62"/>
  <c r="B53" i="62"/>
  <c r="E65" i="62"/>
  <c r="J45" i="62"/>
  <c r="J52" i="62"/>
  <c r="J44" i="62"/>
  <c r="D53" i="62"/>
  <c r="L11" i="47"/>
  <c r="E46" i="62"/>
  <c r="E44" i="62"/>
  <c r="E45" i="62"/>
  <c r="E47" i="62"/>
  <c r="J46" i="62"/>
  <c r="J47" i="62"/>
  <c r="K48" i="62" l="1"/>
  <c r="K51" i="62"/>
  <c r="I53" i="62"/>
  <c r="H53" i="62"/>
  <c r="K45" i="62"/>
  <c r="K52" i="62"/>
  <c r="E53" i="62"/>
  <c r="K44" i="62"/>
  <c r="K46" i="62"/>
  <c r="J53" i="62"/>
  <c r="K47" i="62"/>
  <c r="K53" i="62" l="1"/>
  <c r="N186" i="59"/>
  <c r="P186" i="59" s="1"/>
  <c r="P187" i="59" s="1"/>
  <c r="D25" i="59" s="1"/>
  <c r="K162" i="59"/>
  <c r="L162" i="59" s="1"/>
  <c r="P162" i="59" s="1"/>
  <c r="K142" i="59"/>
  <c r="L142" i="59" s="1"/>
  <c r="N151" i="59" s="1"/>
  <c r="K163" i="59"/>
  <c r="L163" i="59" s="1"/>
  <c r="P163" i="59" s="1"/>
  <c r="P169" i="59" l="1"/>
  <c r="P151" i="59"/>
  <c r="P153" i="59" s="1"/>
  <c r="B25" i="59" s="1"/>
  <c r="P142" i="59"/>
  <c r="P147" i="59" s="1"/>
  <c r="B19" i="59" s="1"/>
  <c r="H17" i="47" s="1"/>
  <c r="J17" i="47" l="1"/>
  <c r="I17" i="47"/>
  <c r="L17" i="47"/>
  <c r="K17" i="47"/>
  <c r="K62" i="47" l="1"/>
  <c r="J62" i="47"/>
  <c r="L62" i="47"/>
  <c r="I62" i="47"/>
  <c r="K164" i="59"/>
  <c r="L164" i="59" s="1"/>
  <c r="P164" i="59" s="1"/>
  <c r="P165" i="59" s="1"/>
  <c r="C19" i="59" s="1"/>
  <c r="H18" i="47" s="1"/>
  <c r="N170" i="59"/>
  <c r="P170" i="59" l="1"/>
  <c r="P171" i="59" s="1"/>
  <c r="C25" i="59" s="1"/>
  <c r="F34" i="61" l="1"/>
  <c r="L67" i="50"/>
  <c r="E18" i="47"/>
  <c r="D34" i="61"/>
  <c r="C18" i="47"/>
  <c r="G34" i="61"/>
  <c r="F18" i="47"/>
  <c r="E34" i="61"/>
  <c r="K67" i="50"/>
  <c r="D18" i="47"/>
  <c r="D145" i="61" l="1"/>
  <c r="D80" i="61"/>
  <c r="F145" i="61"/>
  <c r="F80" i="61"/>
  <c r="G145" i="61"/>
  <c r="G80" i="61"/>
  <c r="E145" i="61"/>
  <c r="E80" i="61"/>
  <c r="C71" i="62"/>
  <c r="C73" i="62"/>
  <c r="C75" i="62"/>
  <c r="C38" i="62" s="1"/>
  <c r="C69" i="62"/>
  <c r="C72" i="62"/>
  <c r="C74" i="62"/>
  <c r="C76" i="62"/>
  <c r="C39" i="62" s="1"/>
  <c r="C70" i="62"/>
  <c r="B69" i="62"/>
  <c r="B32" i="62" s="1"/>
  <c r="B71" i="62"/>
  <c r="B34" i="62" s="1"/>
  <c r="B73" i="62"/>
  <c r="B36" i="62" s="1"/>
  <c r="B75" i="62"/>
  <c r="B38" i="62" s="1"/>
  <c r="B70" i="62"/>
  <c r="B33" i="62" s="1"/>
  <c r="B72" i="62"/>
  <c r="B35" i="62" s="1"/>
  <c r="B74" i="62"/>
  <c r="B37" i="62" s="1"/>
  <c r="B76" i="62"/>
  <c r="B39" i="62" s="1"/>
  <c r="D69" i="62"/>
  <c r="D71" i="62"/>
  <c r="D73" i="62"/>
  <c r="D75" i="62"/>
  <c r="D72" i="62"/>
  <c r="D74" i="62"/>
  <c r="D76" i="62"/>
  <c r="D70" i="62"/>
  <c r="E69" i="62"/>
  <c r="E71" i="62"/>
  <c r="E73" i="62"/>
  <c r="E75" i="62"/>
  <c r="E38" i="62" s="1"/>
  <c r="E70" i="62"/>
  <c r="E72" i="62"/>
  <c r="E74" i="62"/>
  <c r="E76" i="62"/>
  <c r="E39" i="62" s="1"/>
  <c r="D121" i="61"/>
  <c r="D133" i="61"/>
  <c r="G121" i="61"/>
  <c r="G133" i="61"/>
  <c r="E121" i="61"/>
  <c r="E133" i="61"/>
  <c r="F121" i="61"/>
  <c r="F133" i="61"/>
  <c r="E46" i="61"/>
  <c r="D63" i="47" s="1"/>
  <c r="J63" i="47" s="1"/>
  <c r="E58" i="61"/>
  <c r="G46" i="61"/>
  <c r="F63" i="47" s="1"/>
  <c r="L63" i="47" s="1"/>
  <c r="G58" i="61"/>
  <c r="D46" i="61"/>
  <c r="C63" i="47" s="1"/>
  <c r="I63" i="47" s="1"/>
  <c r="D58" i="61"/>
  <c r="F46" i="61"/>
  <c r="E63" i="47" s="1"/>
  <c r="K63" i="47" s="1"/>
  <c r="F58" i="61"/>
  <c r="D35" i="61"/>
  <c r="C19" i="47"/>
  <c r="C20" i="47" s="1"/>
  <c r="E35" i="61"/>
  <c r="D19" i="47"/>
  <c r="D20" i="47" s="1"/>
  <c r="L18" i="47"/>
  <c r="D68" i="62"/>
  <c r="J67" i="50"/>
  <c r="I67" i="50"/>
  <c r="K18" i="47"/>
  <c r="J18" i="47"/>
  <c r="I18" i="47"/>
  <c r="F35" i="61"/>
  <c r="E19" i="47"/>
  <c r="H72" i="62"/>
  <c r="H35" i="62" s="1"/>
  <c r="B68" i="62"/>
  <c r="B31" i="62" s="1"/>
  <c r="G35" i="61"/>
  <c r="G47" i="61" s="1"/>
  <c r="F19" i="47"/>
  <c r="E68" i="62"/>
  <c r="C68" i="62"/>
  <c r="D81" i="61" l="1"/>
  <c r="D86" i="61"/>
  <c r="D87" i="61" s="1"/>
  <c r="E81" i="61"/>
  <c r="D29" i="47" s="1"/>
  <c r="E86" i="61"/>
  <c r="E87" i="61" s="1"/>
  <c r="D49" i="47" s="1"/>
  <c r="G81" i="61"/>
  <c r="G86" i="61"/>
  <c r="G87" i="61" s="1"/>
  <c r="F81" i="61"/>
  <c r="F86" i="61"/>
  <c r="F87" i="61" s="1"/>
  <c r="H73" i="62"/>
  <c r="H36" i="62" s="1"/>
  <c r="H74" i="62"/>
  <c r="H37" i="62" s="1"/>
  <c r="K73" i="62"/>
  <c r="K36" i="62" s="1"/>
  <c r="E36" i="62"/>
  <c r="K72" i="62"/>
  <c r="K35" i="62" s="1"/>
  <c r="E35" i="62"/>
  <c r="K74" i="62"/>
  <c r="K37" i="62" s="1"/>
  <c r="E37" i="62"/>
  <c r="J72" i="62"/>
  <c r="J35" i="62" s="1"/>
  <c r="D35" i="62"/>
  <c r="J74" i="62"/>
  <c r="I72" i="62"/>
  <c r="I35" i="62" s="1"/>
  <c r="C35" i="62"/>
  <c r="J73" i="62"/>
  <c r="D36" i="62"/>
  <c r="I73" i="62"/>
  <c r="I36" i="62" s="1"/>
  <c r="C36" i="62"/>
  <c r="I74" i="62"/>
  <c r="I37" i="62" s="1"/>
  <c r="C37" i="62"/>
  <c r="G134" i="61"/>
  <c r="G135" i="61" s="1"/>
  <c r="F32" i="47" s="1"/>
  <c r="L32" i="47" s="1"/>
  <c r="G146" i="61"/>
  <c r="G147" i="61" s="1"/>
  <c r="F33" i="47" s="1"/>
  <c r="L33" i="47" s="1"/>
  <c r="F134" i="61"/>
  <c r="F135" i="61" s="1"/>
  <c r="E32" i="47" s="1"/>
  <c r="K32" i="47" s="1"/>
  <c r="F146" i="61"/>
  <c r="F147" i="61" s="1"/>
  <c r="E33" i="47" s="1"/>
  <c r="K33" i="47" s="1"/>
  <c r="D134" i="61"/>
  <c r="D135" i="61" s="1"/>
  <c r="C32" i="47" s="1"/>
  <c r="I32" i="47" s="1"/>
  <c r="D146" i="61"/>
  <c r="D147" i="61" s="1"/>
  <c r="C33" i="47" s="1"/>
  <c r="I33" i="47" s="1"/>
  <c r="E134" i="61"/>
  <c r="E135" i="61" s="1"/>
  <c r="D32" i="47" s="1"/>
  <c r="J32" i="47" s="1"/>
  <c r="E146" i="61"/>
  <c r="E147" i="61" s="1"/>
  <c r="D33" i="47" s="1"/>
  <c r="J33" i="47" s="1"/>
  <c r="F59" i="61"/>
  <c r="F122" i="61"/>
  <c r="F123" i="61" s="1"/>
  <c r="E31" i="47" s="1"/>
  <c r="K31" i="47" s="1"/>
  <c r="D59" i="61"/>
  <c r="D122" i="61"/>
  <c r="D123" i="61" s="1"/>
  <c r="C31" i="47" s="1"/>
  <c r="I31" i="47" s="1"/>
  <c r="G59" i="61"/>
  <c r="G122" i="61"/>
  <c r="G123" i="61" s="1"/>
  <c r="F31" i="47" s="1"/>
  <c r="L31" i="47" s="1"/>
  <c r="E59" i="61"/>
  <c r="E122" i="61"/>
  <c r="E123" i="61" s="1"/>
  <c r="D31" i="47" s="1"/>
  <c r="J31" i="47" s="1"/>
  <c r="F97" i="61"/>
  <c r="F109" i="61"/>
  <c r="D97" i="61"/>
  <c r="D109" i="61"/>
  <c r="G97" i="61"/>
  <c r="G109" i="61"/>
  <c r="E97" i="61"/>
  <c r="E109" i="61"/>
  <c r="E36" i="61"/>
  <c r="E47" i="61"/>
  <c r="D64" i="47" s="1"/>
  <c r="D36" i="61"/>
  <c r="D47" i="61"/>
  <c r="C64" i="47" s="1"/>
  <c r="F36" i="61"/>
  <c r="F47" i="61"/>
  <c r="G36" i="61"/>
  <c r="F64" i="47"/>
  <c r="I69" i="62"/>
  <c r="I32" i="62" s="1"/>
  <c r="C32" i="62"/>
  <c r="K69" i="62"/>
  <c r="K32" i="62" s="1"/>
  <c r="E32" i="62"/>
  <c r="H70" i="62"/>
  <c r="H33" i="62" s="1"/>
  <c r="J69" i="62"/>
  <c r="J32" i="62" s="1"/>
  <c r="D32" i="62"/>
  <c r="K71" i="62"/>
  <c r="K34" i="62" s="1"/>
  <c r="E34" i="62"/>
  <c r="K68" i="62"/>
  <c r="E77" i="62"/>
  <c r="E31" i="62"/>
  <c r="J76" i="62"/>
  <c r="L19" i="47"/>
  <c r="L20" i="47" s="1"/>
  <c r="H69" i="62"/>
  <c r="H32" i="62" s="1"/>
  <c r="H71" i="62"/>
  <c r="H34" i="62" s="1"/>
  <c r="J71" i="62"/>
  <c r="J34" i="62" s="1"/>
  <c r="D34" i="62"/>
  <c r="F20" i="47"/>
  <c r="I76" i="62"/>
  <c r="I39" i="62" s="1"/>
  <c r="K70" i="62"/>
  <c r="K33" i="62" s="1"/>
  <c r="E33" i="62"/>
  <c r="I70" i="62"/>
  <c r="I33" i="62" s="1"/>
  <c r="C33" i="62"/>
  <c r="J75" i="62"/>
  <c r="J19" i="47"/>
  <c r="J20" i="47" s="1"/>
  <c r="I75" i="62"/>
  <c r="I38" i="62" s="1"/>
  <c r="H76" i="62"/>
  <c r="H39" i="62" s="1"/>
  <c r="K19" i="47"/>
  <c r="K20" i="47" s="1"/>
  <c r="E20" i="47"/>
  <c r="D77" i="62"/>
  <c r="J68" i="62"/>
  <c r="D31" i="62"/>
  <c r="J62" i="62" s="1"/>
  <c r="I19" i="47"/>
  <c r="I20" i="47" s="1"/>
  <c r="C77" i="62"/>
  <c r="I68" i="62"/>
  <c r="C31" i="62"/>
  <c r="H68" i="62"/>
  <c r="B77" i="62"/>
  <c r="K76" i="62"/>
  <c r="K39" i="62" s="1"/>
  <c r="K75" i="62"/>
  <c r="K38" i="62" s="1"/>
  <c r="H75" i="62"/>
  <c r="H38" i="62" s="1"/>
  <c r="I71" i="62"/>
  <c r="I34" i="62" s="1"/>
  <c r="C34" i="62"/>
  <c r="J70" i="62"/>
  <c r="J33" i="62" s="1"/>
  <c r="D33" i="62"/>
  <c r="J64" i="62" s="1"/>
  <c r="J38" i="62" l="1"/>
  <c r="J36" i="62"/>
  <c r="D37" i="62"/>
  <c r="J63" i="62"/>
  <c r="J65" i="62" s="1"/>
  <c r="D38" i="62"/>
  <c r="J37" i="62"/>
  <c r="J39" i="62"/>
  <c r="D39" i="62"/>
  <c r="E64" i="47"/>
  <c r="E65" i="47" s="1"/>
  <c r="E26" i="47" s="1"/>
  <c r="F110" i="61"/>
  <c r="D60" i="61"/>
  <c r="F60" i="61"/>
  <c r="E27" i="47" s="1"/>
  <c r="K27" i="47" s="1"/>
  <c r="E60" i="61"/>
  <c r="E63" i="61" s="1"/>
  <c r="G60" i="61"/>
  <c r="G63" i="61" s="1"/>
  <c r="D98" i="61"/>
  <c r="D99" i="61" s="1"/>
  <c r="C50" i="47" s="1"/>
  <c r="D110" i="61"/>
  <c r="D111" i="61" s="1"/>
  <c r="C51" i="47" s="1"/>
  <c r="E98" i="61"/>
  <c r="E99" i="61" s="1"/>
  <c r="D50" i="47" s="1"/>
  <c r="E110" i="61"/>
  <c r="E111" i="61" s="1"/>
  <c r="D51" i="47" s="1"/>
  <c r="G98" i="61"/>
  <c r="G99" i="61" s="1"/>
  <c r="F50" i="47" s="1"/>
  <c r="G110" i="61"/>
  <c r="G111" i="61" s="1"/>
  <c r="F51" i="47" s="1"/>
  <c r="F98" i="61"/>
  <c r="F99" i="61" s="1"/>
  <c r="E50" i="47" s="1"/>
  <c r="F111" i="61"/>
  <c r="E51" i="47" s="1"/>
  <c r="C27" i="47"/>
  <c r="I27" i="47" s="1"/>
  <c r="D63" i="61"/>
  <c r="C47" i="47" s="1"/>
  <c r="E48" i="61"/>
  <c r="F48" i="61"/>
  <c r="D48" i="61"/>
  <c r="G48" i="61"/>
  <c r="J21" i="47"/>
  <c r="J22" i="47" s="1"/>
  <c r="I64" i="47"/>
  <c r="I65" i="47" s="1"/>
  <c r="I26" i="47" s="1"/>
  <c r="C65" i="47"/>
  <c r="C26" i="47" s="1"/>
  <c r="J64" i="47"/>
  <c r="J65" i="47" s="1"/>
  <c r="J26" i="47" s="1"/>
  <c r="D65" i="47"/>
  <c r="D26" i="47" s="1"/>
  <c r="L21" i="47"/>
  <c r="E40" i="62"/>
  <c r="F30" i="47" s="1"/>
  <c r="B40" i="62"/>
  <c r="C30" i="47" s="1"/>
  <c r="K77" i="62"/>
  <c r="K31" i="62"/>
  <c r="K40" i="62" s="1"/>
  <c r="L30" i="47" s="1"/>
  <c r="K21" i="47"/>
  <c r="I77" i="62"/>
  <c r="I31" i="62"/>
  <c r="I40" i="62" s="1"/>
  <c r="J30" i="47" s="1"/>
  <c r="L64" i="47"/>
  <c r="L65" i="47" s="1"/>
  <c r="L26" i="47" s="1"/>
  <c r="F65" i="47"/>
  <c r="F26" i="47" s="1"/>
  <c r="H77" i="62"/>
  <c r="H31" i="62"/>
  <c r="H40" i="62" s="1"/>
  <c r="I30" i="47" s="1"/>
  <c r="J77" i="62"/>
  <c r="J31" i="62"/>
  <c r="C40" i="62"/>
  <c r="D30" i="47" s="1"/>
  <c r="D40" i="62" l="1"/>
  <c r="E30" i="47" s="1"/>
  <c r="J40" i="62"/>
  <c r="K30" i="47" s="1"/>
  <c r="K64" i="47"/>
  <c r="K65" i="47" s="1"/>
  <c r="K26" i="47" s="1"/>
  <c r="D27" i="47"/>
  <c r="J27" i="47" s="1"/>
  <c r="J34" i="47" s="1"/>
  <c r="F63" i="61"/>
  <c r="E47" i="47" s="1"/>
  <c r="D47" i="47"/>
  <c r="F27" i="47"/>
  <c r="L27" i="47" s="1"/>
  <c r="L34" i="47" s="1"/>
  <c r="L40" i="47" s="1"/>
  <c r="K22" i="47"/>
  <c r="I34" i="47"/>
  <c r="I40" i="47" s="1"/>
  <c r="L22" i="47"/>
  <c r="K34" i="47" l="1"/>
  <c r="K40" i="47" s="1"/>
  <c r="L42" i="47" s="1"/>
  <c r="F47" i="47"/>
  <c r="L35" i="47"/>
  <c r="K35" i="47"/>
  <c r="J35" i="47"/>
  <c r="J36" i="47" s="1"/>
  <c r="J40" i="47"/>
  <c r="L41" i="47"/>
  <c r="L36" i="47" l="1"/>
  <c r="J42" i="47"/>
  <c r="J41" i="47"/>
  <c r="K36" i="47"/>
  <c r="K41" i="47"/>
  <c r="K42" i="47"/>
  <c r="F49" i="47" l="1"/>
  <c r="C29" i="47" l="1"/>
  <c r="C49" i="47"/>
  <c r="E29" i="47"/>
  <c r="E49" i="47"/>
  <c r="F2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<sst xmlns="http://schemas.openxmlformats.org/spreadsheetml/2006/main" count="4678" uniqueCount="2292">
  <si>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</si>
  <si>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</si>
  <si>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</si>
  <si>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</si>
  <si>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</si>
  <si>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</si>
  <si>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</si>
  <si>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</si>
  <si>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</si>
  <si>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</si>
  <si>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</si>
  <si>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</si>
  <si>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</si>
  <si>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</si>
  <si>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</si>
  <si>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</si>
  <si>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</si>
  <si>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</si>
  <si>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</si>
  <si>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</si>
  <si>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</si>
  <si>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</si>
  <si>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</si>
  <si>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</si>
  <si>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</si>
  <si>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</si>
  <si>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</si>
  <si>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</si>
  <si>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</si>
  <si>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</si>
  <si>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</si>
  <si>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</si>
  <si>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</si>
  <si>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</si>
  <si>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</si>
  <si>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</si>
  <si>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</si>
  <si>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</si>
  <si>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</si>
  <si>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</si>
  <si>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</si>
  <si>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</si>
  <si>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</si>
  <si>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</si>
  <si>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</si>
  <si>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</si>
  <si>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</si>
  <si>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</si>
  <si>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</si>
  <si>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</si>
  <si>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</si>
  <si>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</si>
  <si>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</si>
  <si>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</si>
  <si>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</si>
  <si>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</si>
  <si>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</si>
  <si>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</si>
  <si>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</si>
  <si>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</si>
  <si>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</si>
  <si>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</si>
  <si>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</si>
  <si>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</si>
  <si>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</si>
  <si>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</si>
  <si>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</si>
  <si>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</si>
  <si>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</si>
  <si>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</si>
  <si>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</si>
  <si>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</si>
  <si>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</si>
  <si>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</si>
  <si>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</si>
  <si>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</si>
  <si>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</si>
  <si>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</si>
  <si>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</si>
  <si>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</si>
  <si>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</si>
  <si>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</si>
  <si>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</si>
  <si>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</si>
  <si>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</si>
  <si>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</si>
  <si>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</si>
  <si>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</si>
  <si>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</si>
  <si>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</si>
  <si>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</si>
  <si>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</si>
  <si>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</si>
  <si>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</si>
  <si>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</si>
  <si>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</si>
  <si>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</si>
  <si>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</si>
  <si>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</si>
  <si>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</si>
  <si>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</si>
  <si>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</si>
  <si>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</si>
  <si>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</si>
  <si>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</si>
  <si>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</si>
  <si>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</si>
  <si>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</si>
  <si>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</si>
  <si>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</si>
  <si>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</si>
  <si>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</si>
  <si>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</si>
  <si>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</si>
  <si>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</si>
  <si>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</si>
  <si>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</si>
  <si>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</si>
  <si>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</si>
  <si>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</si>
  <si>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</si>
  <si>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</si>
  <si>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</si>
  <si>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</si>
  <si>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</si>
  <si>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</si>
  <si>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</si>
  <si>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</si>
  <si>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</si>
  <si>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</si>
  <si>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</si>
  <si>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</si>
  <si>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</si>
  <si>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</si>
  <si>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</si>
  <si>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</si>
  <si>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</si>
  <si>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</si>
  <si>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</si>
  <si>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</si>
  <si>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</si>
  <si>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</si>
  <si>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</si>
  <si>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</si>
  <si>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</si>
  <si>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</si>
  <si>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</si>
  <si>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</si>
  <si>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</si>
  <si>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</si>
  <si>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</si>
  <si>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</si>
  <si>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</si>
  <si>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</si>
  <si>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</si>
  <si>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</si>
  <si>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</si>
  <si>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</si>
  <si>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</si>
  <si>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</si>
  <si>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</si>
  <si>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</si>
  <si>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</si>
  <si>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</si>
  <si>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</si>
  <si>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</si>
  <si>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</si>
  <si>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</si>
  <si>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</si>
  <si>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</si>
  <si>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</si>
  <si>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</si>
  <si>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</si>
  <si>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</si>
  <si>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</si>
  <si>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</si>
  <si>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</si>
  <si>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</si>
  <si>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</si>
  <si>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</si>
  <si>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</si>
  <si>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</si>
  <si>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</si>
  <si>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</si>
  <si>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</si>
  <si>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</si>
  <si>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</si>
  <si>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</si>
  <si>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</si>
  <si>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</si>
  <si>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</si>
  <si>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</si>
  <si>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</si>
  <si>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</si>
  <si>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</si>
  <si>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</si>
  <si>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</si>
  <si>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</si>
  <si>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</si>
  <si>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</si>
  <si>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</si>
  <si>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</si>
  <si>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</si>
  <si>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</si>
  <si>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</si>
  <si>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</si>
  <si>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</si>
  <si>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</si>
  <si>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</si>
  <si>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</si>
  <si>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</si>
  <si>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</si>
  <si>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</si>
  <si>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</si>
  <si>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</si>
  <si>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</si>
  <si>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</si>
  <si>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</si>
  <si>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</si>
  <si>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</si>
  <si>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</si>
  <si>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</si>
  <si>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</si>
  <si>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</si>
  <si>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</si>
  <si>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</si>
  <si>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</si>
  <si>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</si>
  <si>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</si>
  <si>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</si>
  <si>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</si>
  <si>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</si>
  <si>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</si>
  <si>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</si>
  <si>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</si>
  <si>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</si>
  <si>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</si>
  <si>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</si>
  <si>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</si>
  <si>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</si>
  <si>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</si>
  <si>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</si>
  <si>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</si>
  <si>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</si>
  <si>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</si>
  <si>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</si>
  <si>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</si>
  <si>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</si>
  <si>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</si>
  <si>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</si>
  <si>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</si>
  <si>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</si>
  <si>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</si>
  <si>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</si>
  <si>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</si>
  <si>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</si>
  <si>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</si>
  <si>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</si>
  <si>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</si>
  <si>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</si>
  <si>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</si>
  <si>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</si>
  <si>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</si>
  <si>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</si>
  <si>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</si>
  <si>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</si>
  <si>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</si>
  <si>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</si>
  <si>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</si>
  <si>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</si>
  <si>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</si>
  <si>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</si>
  <si>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</si>
  <si>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</si>
  <si>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</si>
  <si>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</si>
  <si>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</si>
  <si>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</si>
  <si>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</si>
  <si>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</si>
  <si>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</si>
  <si>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</si>
  <si>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</si>
  <si>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</si>
  <si>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</si>
  <si>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</si>
  <si>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</si>
  <si>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</si>
  <si>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</si>
  <si>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</si>
  <si>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</si>
  <si>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</si>
  <si>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</si>
  <si>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</si>
  <si>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</si>
  <si>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</si>
  <si>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</si>
  <si>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</si>
  <si>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</si>
  <si>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</si>
  <si>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</si>
  <si>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</si>
  <si>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</si>
  <si>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</si>
  <si>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</si>
  <si>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</si>
  <si>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</si>
  <si>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</si>
  <si>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</si>
  <si>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</si>
  <si>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</si>
  <si>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</si>
  <si>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</si>
  <si>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</si>
  <si>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</si>
  <si>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</si>
  <si>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</si>
  <si>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</si>
  <si>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</si>
  <si>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</si>
  <si>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</si>
  <si>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</si>
  <si>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</si>
  <si>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</si>
  <si>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</si>
  <si>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</si>
  <si>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</si>
  <si>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</si>
  <si>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</si>
  <si>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</si>
  <si>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</si>
  <si>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</si>
  <si>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</si>
  <si>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</si>
  <si>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</si>
  <si>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</si>
  <si>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</si>
  <si>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</si>
  <si>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</si>
  <si>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</si>
  <si>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</si>
  <si>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</si>
  <si>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</si>
  <si>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</si>
  <si>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</si>
  <si>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</si>
  <si>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</si>
  <si>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</si>
  <si>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</si>
  <si>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</si>
  <si>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</si>
  <si>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</si>
  <si>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</si>
  <si>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</si>
  <si>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</si>
  <si>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</si>
  <si>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</si>
  <si>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</si>
  <si>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</si>
  <si>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</si>
  <si>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</si>
  <si>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</si>
  <si>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</si>
  <si>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</si>
  <si>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</si>
  <si>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</si>
  <si>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</si>
  <si>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</si>
  <si>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</si>
  <si>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</si>
  <si>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</si>
  <si>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</si>
  <si>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</si>
  <si>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</si>
  <si>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</si>
  <si>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</si>
  <si>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</si>
  <si>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</si>
  <si>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</si>
  <si>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</si>
  <si>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</si>
  <si>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</si>
  <si>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</si>
  <si>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</si>
  <si>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</si>
  <si>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</si>
  <si>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</si>
  <si>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</si>
  <si>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</si>
  <si>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</si>
  <si>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</si>
  <si>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</si>
  <si>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</si>
  <si>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</si>
  <si>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</si>
  <si>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</si>
  <si>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</si>
  <si>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</si>
  <si>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</si>
  <si>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</si>
  <si>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</si>
  <si>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</si>
  <si>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</si>
  <si>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</si>
  <si>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</si>
  <si>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</si>
  <si>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</si>
  <si>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</si>
  <si>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</si>
  <si>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</si>
  <si>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</si>
  <si>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</si>
  <si>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</si>
  <si>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</si>
  <si>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</si>
  <si>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</si>
  <si>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</si>
  <si>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</si>
  <si>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</si>
  <si>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</si>
  <si>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</si>
  <si>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</si>
  <si>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</si>
  <si>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</si>
  <si>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</si>
  <si>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</si>
  <si>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</si>
  <si>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</si>
  <si>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</si>
  <si>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</si>
  <si>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</si>
  <si>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</si>
  <si>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</si>
  <si>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</si>
  <si>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</si>
  <si>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</si>
  <si>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</si>
  <si>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</si>
  <si>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</si>
  <si>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</si>
  <si>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</si>
  <si>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</si>
  <si>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</si>
  <si>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</si>
  <si>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</si>
  <si>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</si>
  <si>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</si>
  <si>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</si>
  <si>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</si>
  <si>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</si>
  <si>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</si>
  <si>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</si>
  <si>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</si>
  <si>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</si>
  <si>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</si>
  <si>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</si>
  <si>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</si>
  <si>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</si>
  <si>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</si>
  <si>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</si>
  <si>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</si>
  <si>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</si>
  <si>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</si>
  <si>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</si>
  <si>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</si>
  <si>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</si>
  <si>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</si>
  <si>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</si>
  <si>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</si>
  <si>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</si>
  <si>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</si>
  <si>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</si>
  <si>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</si>
  <si>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</si>
  <si>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</si>
  <si>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</si>
  <si>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</si>
  <si>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</si>
  <si>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</si>
  <si>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</si>
  <si>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</si>
  <si>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</si>
  <si>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</si>
  <si>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</si>
  <si>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</si>
  <si>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</si>
  <si>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</si>
  <si>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</si>
  <si>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</si>
  <si>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</si>
  <si>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</si>
  <si>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</si>
  <si>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</si>
  <si>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</si>
  <si>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</si>
  <si>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</si>
  <si>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</si>
  <si>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</si>
  <si>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</si>
  <si>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</si>
  <si>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</si>
  <si>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</si>
  <si>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</si>
  <si>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</si>
  <si>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</si>
  <si>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</si>
  <si>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</si>
  <si>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</si>
  <si>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</si>
  <si>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</si>
  <si>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</si>
  <si>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</si>
  <si>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</si>
  <si>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</si>
  <si>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</si>
  <si>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</si>
  <si>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</si>
  <si>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</si>
  <si>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</si>
  <si>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</si>
  <si>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</si>
  <si>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</si>
  <si>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</si>
  <si>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</si>
  <si>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</si>
  <si>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</si>
  <si>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</si>
  <si>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</si>
  <si>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</si>
  <si>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</si>
  <si>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</si>
  <si>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</si>
  <si>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</si>
  <si>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</si>
  <si>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</si>
  <si>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</si>
  <si>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</si>
  <si>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</si>
  <si>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</si>
  <si>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</si>
  <si>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</si>
  <si>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</si>
  <si>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</si>
  <si>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</si>
  <si>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</si>
  <si>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</si>
  <si>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</si>
  <si>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</si>
  <si>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</si>
  <si>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</si>
  <si>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</si>
  <si>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</si>
  <si>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</si>
  <si>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</si>
  <si>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</si>
  <si>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</si>
  <si>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</si>
  <si>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</si>
  <si>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</si>
  <si>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</si>
  <si>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</si>
  <si>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</si>
  <si>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</si>
  <si>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</si>
  <si>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</si>
  <si>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</si>
  <si>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</si>
  <si>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</si>
  <si>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</si>
  <si>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</si>
  <si>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</si>
  <si>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</si>
  <si>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</si>
  <si>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</si>
  <si>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</si>
  <si>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</si>
  <si>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</si>
  <si>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</si>
  <si>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</si>
  <si>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</si>
  <si>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</si>
  <si>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</si>
  <si>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</si>
  <si>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</si>
  <si>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</si>
  <si>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</si>
  <si>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</si>
  <si>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</si>
  <si>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</si>
  <si>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</si>
  <si>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</si>
  <si>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</si>
  <si>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</si>
  <si>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</si>
  <si>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</si>
  <si>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</si>
  <si>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</si>
  <si>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</si>
  <si>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</si>
  <si>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</si>
  <si>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</si>
  <si>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</si>
  <si>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</si>
  <si>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</si>
  <si>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</si>
  <si>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</si>
  <si>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</si>
  <si>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</si>
  <si>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</si>
  <si>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</si>
  <si>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</si>
  <si>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</si>
  <si>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</si>
  <si>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</si>
  <si>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</si>
  <si>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</si>
  <si>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</si>
  <si>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</si>
  <si>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</si>
  <si>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</si>
  <si>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</si>
  <si>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</si>
  <si>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</si>
  <si>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</si>
  <si>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</si>
  <si>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</si>
  <si>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</si>
  <si>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</si>
  <si>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</si>
  <si>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</si>
  <si>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</si>
  <si>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</si>
  <si>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</si>
  <si>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</si>
  <si>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</si>
  <si>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</si>
  <si>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</si>
  <si>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</si>
  <si>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</si>
  <si>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</si>
  <si>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</si>
  <si>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</si>
  <si>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</si>
  <si>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</si>
  <si>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</si>
  <si>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</si>
  <si>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</si>
  <si>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</si>
  <si>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</si>
  <si>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</si>
  <si>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</si>
  <si>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</si>
  <si>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</si>
  <si>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</si>
  <si>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</si>
  <si>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</si>
  <si>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</si>
  <si>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</si>
  <si>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</si>
  <si>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</si>
  <si>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</si>
  <si>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</si>
  <si>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</si>
  <si>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</si>
  <si>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</si>
  <si>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</si>
  <si>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</si>
  <si>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</si>
  <si>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</si>
  <si>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</si>
  <si>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</si>
  <si>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</si>
  <si>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</si>
  <si>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</si>
  <si>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</si>
  <si>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</si>
  <si>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</si>
  <si>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</si>
  <si>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</si>
  <si>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</si>
  <si>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</si>
  <si>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</si>
  <si>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</si>
  <si>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</si>
  <si>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</si>
  <si>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</si>
  <si>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</si>
  <si>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</si>
  <si>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</si>
  <si>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</si>
  <si>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</si>
  <si>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</si>
  <si>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</si>
  <si>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</si>
  <si>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</si>
  <si>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</si>
  <si>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</si>
  <si>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</si>
  <si>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</si>
  <si>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</si>
  <si>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</si>
  <si>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</si>
  <si>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</si>
  <si>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</si>
  <si>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</si>
  <si>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</si>
  <si>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</si>
  <si>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</si>
  <si>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</si>
  <si>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</si>
  <si>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</si>
  <si>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</si>
  <si>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</si>
  <si>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</si>
  <si>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</si>
  <si>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</si>
  <si>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</si>
  <si>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</si>
  <si>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</si>
  <si>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</si>
  <si>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</si>
  <si>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</si>
  <si>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</si>
  <si>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</si>
  <si>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</si>
  <si>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</si>
  <si>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</si>
  <si>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</si>
  <si>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</si>
  <si>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</si>
  <si>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</si>
  <si>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</si>
  <si>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</si>
  <si>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</si>
  <si>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</si>
  <si>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</si>
  <si>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</si>
  <si>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</si>
  <si>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</si>
  <si>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</si>
  <si>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</si>
  <si>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</si>
  <si>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</si>
  <si>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</si>
  <si>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</si>
  <si>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</si>
  <si>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</si>
  <si>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</si>
  <si>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</si>
  <si>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</si>
  <si>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</si>
  <si>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</si>
  <si>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</si>
  <si>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</si>
  <si>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</si>
  <si>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</si>
  <si>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</si>
  <si>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</si>
  <si>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</si>
  <si>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</si>
  <si>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</si>
  <si>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</si>
  <si>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</si>
  <si>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</si>
  <si>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</si>
  <si>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</si>
  <si>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</si>
  <si>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</si>
  <si>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</si>
  <si>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</si>
  <si>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</si>
  <si>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</si>
  <si>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</si>
  <si>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</si>
  <si>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</si>
  <si>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</si>
  <si>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</si>
  <si>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</si>
  <si>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</si>
  <si>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</si>
  <si>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</si>
  <si>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</si>
  <si>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</si>
  <si>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</si>
  <si>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</si>
  <si>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</si>
  <si>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</si>
  <si>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</si>
  <si>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</si>
  <si>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</si>
  <si>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</si>
  <si>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</si>
  <si>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</si>
  <si>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</si>
  <si>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</si>
  <si>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</si>
  <si>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</si>
  <si>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</si>
  <si>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</si>
  <si>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</si>
  <si>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</si>
  <si>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</si>
  <si>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</si>
  <si>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</si>
  <si>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</si>
  <si>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</si>
  <si>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</si>
  <si>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</si>
  <si>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</si>
  <si>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</si>
  <si>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</si>
  <si>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</si>
  <si>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</si>
  <si>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</si>
  <si>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</si>
  <si>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</si>
  <si>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</si>
  <si>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</si>
  <si>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</si>
  <si>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</si>
  <si>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</si>
  <si>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</si>
  <si>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</si>
  <si>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</si>
  <si>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</si>
  <si>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</si>
  <si>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</si>
  <si>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</si>
  <si>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</si>
  <si>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</si>
  <si>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</si>
  <si>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</si>
  <si>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</si>
  <si>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</si>
  <si>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</si>
  <si>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</si>
  <si>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</si>
  <si>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</si>
  <si>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</si>
  <si>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</si>
  <si>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</si>
  <si>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</si>
  <si>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</si>
  <si>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</si>
  <si>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</si>
  <si>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</si>
  <si>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</si>
  <si>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</si>
  <si>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</si>
  <si>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</si>
  <si>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</si>
  <si>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</si>
  <si>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</si>
  <si>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</si>
  <si>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</si>
  <si>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</si>
  <si>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</si>
  <si>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</si>
  <si>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</si>
  <si>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</si>
  <si>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</si>
  <si>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</si>
  <si>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</si>
  <si>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</si>
  <si>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</si>
  <si>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</si>
  <si>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</si>
  <si>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</si>
  <si>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</si>
  <si>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</si>
  <si>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</si>
  <si>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</si>
  <si>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</si>
  <si>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</si>
  <si>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</si>
  <si>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</si>
  <si>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</si>
  <si>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</si>
  <si>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</si>
  <si>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</si>
  <si>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</si>
  <si>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</si>
  <si>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</si>
  <si>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</si>
  <si>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</si>
  <si>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</si>
  <si>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</si>
  <si>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</si>
  <si>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</si>
  <si>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</si>
  <si>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</si>
  <si>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</si>
  <si>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</si>
  <si>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</si>
  <si>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</si>
  <si>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</si>
  <si>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</si>
  <si>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</si>
  <si>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</si>
  <si>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</si>
  <si>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</si>
  <si>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</si>
  <si>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</si>
  <si>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</si>
  <si>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</si>
  <si>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</si>
  <si>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</si>
  <si>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</si>
  <si>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</si>
  <si>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</si>
  <si>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</si>
  <si>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</si>
  <si>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</si>
  <si>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</si>
  <si>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</si>
  <si>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</si>
  <si>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</si>
  <si>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</si>
  <si>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</si>
  <si>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</si>
  <si>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</si>
  <si>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</si>
  <si>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</si>
  <si>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</si>
  <si>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</si>
  <si>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</si>
  <si>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</si>
  <si>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</si>
  <si>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</si>
  <si>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</si>
  <si>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</si>
  <si>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</si>
  <si>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</si>
  <si>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</si>
  <si>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</si>
  <si>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</si>
  <si>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</si>
  <si>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</si>
  <si>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</si>
  <si>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</si>
  <si>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</si>
  <si>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</si>
  <si>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</si>
  <si>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</si>
  <si>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</si>
  <si>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</si>
  <si>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</si>
  <si>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</si>
  <si>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</si>
  <si>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</si>
  <si>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</si>
  <si>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</si>
  <si>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</si>
  <si>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</si>
  <si>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</si>
  <si>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</si>
  <si>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</si>
  <si>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</si>
  <si>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</si>
  <si>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</si>
  <si>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</si>
  <si>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</si>
  <si>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</si>
  <si>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</si>
  <si>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</si>
  <si>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</si>
  <si>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</si>
  <si>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</si>
  <si>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</si>
  <si>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</si>
  <si>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</si>
  <si>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</si>
  <si>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</si>
  <si>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</si>
  <si>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</si>
  <si>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</si>
  <si>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</si>
  <si>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</si>
  <si>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</si>
  <si>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</si>
  <si>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</si>
  <si>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</si>
  <si>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</si>
  <si>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</si>
  <si>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</si>
  <si>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</si>
  <si>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</si>
  <si>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</si>
  <si>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</si>
  <si>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</si>
  <si>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</si>
  <si>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</si>
  <si>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</si>
  <si>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</si>
  <si>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</si>
  <si>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</si>
  <si>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</si>
  <si>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</si>
  <si>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</si>
  <si>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</si>
  <si>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</si>
  <si>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</si>
  <si>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</si>
  <si>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</si>
  <si>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</si>
  <si>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</si>
  <si>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</si>
  <si>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</si>
  <si>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</si>
  <si>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</si>
  <si>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</si>
  <si>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</si>
  <si>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</si>
  <si>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</si>
  <si>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</si>
  <si>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</si>
  <si>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</si>
  <si>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</si>
  <si>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</si>
  <si>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</si>
  <si>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</si>
  <si>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</si>
  <si>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</si>
  <si>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</si>
  <si>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</si>
  <si>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</si>
  <si>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</si>
  <si>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</si>
  <si>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</si>
  <si>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</si>
  <si>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</si>
  <si>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</si>
  <si>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</si>
  <si>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</si>
  <si>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</si>
  <si>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</si>
  <si>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</si>
  <si>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</si>
  <si>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</si>
  <si>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</si>
  <si>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</si>
  <si>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</si>
  <si>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</si>
  <si>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</si>
  <si>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</si>
  <si>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</si>
  <si>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</si>
  <si>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</si>
  <si>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</si>
  <si>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</si>
  <si>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</si>
  <si>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</si>
  <si>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</si>
  <si>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</si>
  <si>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</si>
  <si>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</si>
  <si>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</si>
  <si>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</si>
  <si>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</si>
  <si>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</si>
  <si>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</si>
  <si>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</si>
  <si>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</si>
  <si>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</si>
  <si>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</si>
  <si>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</si>
  <si>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</si>
  <si>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</si>
  <si>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</si>
  <si>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</si>
  <si>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</si>
  <si>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</si>
  <si>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</si>
  <si>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</si>
  <si>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</si>
  <si>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</si>
  <si>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</si>
  <si>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</si>
  <si>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</si>
  <si>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</si>
  <si>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</si>
  <si>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</si>
  <si>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</si>
  <si>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</si>
  <si>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</si>
  <si>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</si>
  <si>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</si>
  <si>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</si>
  <si>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</si>
  <si>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</si>
  <si>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</si>
  <si>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</si>
  <si>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</si>
  <si>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</si>
  <si>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</si>
  <si>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</si>
  <si>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</si>
  <si>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</si>
  <si>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</si>
  <si>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</si>
  <si>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</si>
  <si>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</si>
  <si>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</si>
  <si>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</si>
  <si>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</si>
  <si>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</si>
  <si>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</si>
  <si>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</si>
  <si>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</si>
  <si>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</si>
  <si>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</si>
  <si>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</si>
  <si>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</si>
  <si>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</si>
  <si>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</si>
  <si>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</si>
  <si>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</si>
  <si>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</si>
  <si>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</si>
  <si>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</si>
  <si>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</si>
  <si>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</si>
  <si>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</si>
  <si>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</si>
  <si>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</si>
  <si>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</si>
  <si>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</si>
  <si>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</si>
  <si>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</si>
  <si>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</si>
  <si>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</si>
  <si>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</si>
  <si>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</si>
  <si>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</si>
  <si>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</si>
  <si>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</si>
  <si>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</si>
  <si>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</si>
  <si>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</si>
  <si>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</si>
  <si>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</si>
  <si>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</si>
  <si>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</si>
  <si>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</si>
  <si>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</si>
  <si>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</si>
  <si>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</si>
  <si>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</si>
  <si>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</si>
  <si>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</si>
  <si>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</si>
  <si>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</si>
  <si>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</si>
  <si>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</si>
  <si>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</si>
  <si>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</si>
  <si>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</si>
  <si>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</si>
  <si>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</si>
  <si>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</si>
  <si>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</si>
  <si>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</si>
  <si>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</si>
  <si>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</si>
  <si>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</si>
  <si>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</si>
  <si>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</si>
  <si>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</si>
  <si>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</si>
  <si>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</si>
  <si>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</si>
  <si>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</si>
  <si>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</si>
  <si>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</si>
  <si>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</si>
  <si>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</si>
  <si>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</si>
  <si>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</si>
  <si>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</si>
  <si>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</si>
  <si>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</si>
  <si>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</si>
  <si>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</si>
  <si>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</si>
  <si>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</si>
  <si>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</si>
  <si>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</si>
  <si>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</si>
  <si>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</si>
  <si>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</si>
  <si>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</si>
  <si>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</si>
  <si>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</si>
  <si>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</si>
  <si>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</si>
  <si>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</si>
  <si>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</si>
  <si>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</si>
  <si>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</si>
  <si>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</si>
  <si>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</si>
  <si>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</si>
  <si>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</si>
  <si>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</si>
  <si>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</si>
  <si>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</si>
  <si>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</si>
  <si>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</si>
  <si>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</si>
  <si>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</si>
  <si>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</si>
  <si>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</si>
  <si>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</si>
  <si>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</si>
  <si>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</si>
  <si>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</si>
  <si>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</si>
  <si>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</si>
  <si>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</si>
  <si>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</si>
  <si>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</si>
  <si>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</si>
  <si>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</si>
  <si>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</si>
  <si>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</si>
  <si>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</si>
  <si>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</si>
  <si>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</si>
  <si>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</si>
  <si>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</si>
  <si>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</si>
  <si>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</si>
  <si>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</si>
  <si>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</si>
  <si>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</si>
  <si>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</si>
  <si>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</si>
  <si>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</si>
  <si>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</si>
  <si>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</si>
  <si>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</si>
  <si>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</si>
  <si>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</si>
  <si>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</si>
  <si>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</si>
  <si>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</si>
  <si>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</si>
  <si>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</si>
  <si>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</si>
  <si>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</si>
  <si>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</si>
  <si>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</si>
  <si>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</si>
  <si>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</si>
  <si>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</si>
  <si>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</si>
  <si>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</si>
  <si>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</si>
  <si>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</si>
  <si>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</si>
  <si>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</si>
  <si>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</si>
  <si>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</si>
  <si>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</si>
  <si>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</si>
  <si>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</si>
  <si>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</si>
  <si>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</si>
  <si>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</si>
  <si>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</si>
  <si>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</si>
  <si>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</si>
  <si>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</si>
  <si>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</si>
  <si>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</si>
  <si>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</si>
  <si>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</si>
  <si>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</si>
  <si>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</si>
  <si>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</si>
  <si>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</si>
  <si>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</si>
  <si>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</si>
  <si>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</si>
  <si>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</si>
  <si>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</si>
  <si>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</si>
  <si>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</si>
  <si>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</si>
  <si>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</si>
  <si>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</si>
  <si>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</si>
  <si>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</si>
  <si>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</si>
  <si>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</si>
  <si>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</si>
  <si>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</si>
  <si>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</si>
  <si>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</si>
  <si>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</si>
  <si>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</si>
  <si>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</si>
  <si>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</si>
  <si>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</si>
  <si>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</si>
  <si>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</si>
  <si>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</si>
  <si>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</si>
  <si>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</si>
  <si>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</si>
  <si>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</si>
  <si>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</si>
  <si>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</si>
  <si>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</si>
  <si>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</si>
  <si>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</si>
  <si>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</si>
  <si>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</si>
  <si>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</si>
  <si>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</si>
  <si>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</si>
  <si>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</si>
  <si>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</si>
  <si>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</si>
  <si>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</si>
  <si>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</si>
  <si>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</si>
  <si>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</si>
  <si>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</si>
  <si>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</si>
  <si>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</si>
  <si>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</si>
  <si>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</si>
  <si>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</si>
  <si>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</si>
  <si>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</si>
  <si>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</si>
  <si>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</si>
  <si>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</si>
  <si>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</si>
  <si>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</si>
  <si>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</si>
  <si>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</si>
  <si>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</si>
  <si>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</si>
  <si>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</si>
  <si>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</si>
  <si>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</si>
  <si>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</si>
  <si>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</si>
  <si>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</si>
  <si>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</si>
  <si>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</si>
  <si>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</si>
  <si>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</si>
  <si>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</si>
  <si>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</si>
  <si>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</si>
  <si>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</si>
  <si>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</si>
  <si>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</si>
  <si>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</si>
  <si>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</si>
  <si>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</si>
  <si>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</si>
  <si>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</si>
  <si>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</si>
  <si>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</si>
  <si>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</si>
  <si>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</si>
  <si>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</si>
  <si>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</si>
  <si>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</si>
  <si>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</si>
  <si>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</si>
  <si>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</si>
  <si>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</si>
  <si>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</si>
  <si>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</si>
  <si>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</si>
  <si>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</si>
  <si>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</si>
  <si>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</si>
  <si>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</si>
  <si>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</si>
  <si>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</si>
  <si>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</si>
  <si>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</si>
  <si>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</si>
  <si>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</si>
  <si>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</si>
  <si>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</si>
  <si>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</si>
  <si>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</si>
  <si>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</si>
  <si>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</si>
  <si>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</si>
  <si>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</si>
  <si>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</si>
  <si>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</si>
  <si>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</si>
  <si>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</si>
  <si>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</si>
  <si>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</si>
  <si>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</si>
  <si>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</si>
  <si>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</si>
  <si>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</si>
  <si>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</si>
  <si>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</si>
  <si>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</si>
  <si>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</si>
  <si>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</si>
  <si>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</si>
  <si>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</si>
  <si>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</si>
  <si>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</si>
  <si>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</si>
  <si>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</si>
  <si>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</si>
  <si>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</si>
  <si>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</si>
  <si>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</si>
  <si>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</si>
  <si>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</si>
  <si>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</si>
  <si>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</si>
  <si>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</si>
  <si>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</si>
  <si>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</si>
  <si>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</si>
  <si>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</si>
  <si>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</si>
  <si>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</si>
  <si>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</si>
  <si>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</si>
  <si>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</si>
  <si>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</si>
  <si>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</si>
  <si>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</si>
  <si>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</si>
  <si>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</si>
  <si>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</si>
  <si>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</si>
  <si>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</si>
  <si>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</si>
  <si>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</si>
  <si>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</si>
  <si>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</si>
  <si>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</si>
  <si>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</si>
  <si>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</si>
  <si>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</si>
  <si>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</si>
  <si>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</si>
  <si>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</si>
  <si>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</si>
  <si>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</si>
  <si>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</si>
  <si>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</si>
  <si>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</si>
  <si>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</si>
  <si>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</si>
  <si>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</si>
  <si>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</si>
  <si>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</si>
  <si>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</si>
  <si>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</si>
  <si>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</si>
  <si>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</si>
  <si>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</si>
  <si>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</si>
  <si>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</si>
  <si>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</si>
  <si>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</si>
  <si>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</si>
  <si>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</si>
  <si>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</si>
  <si>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</si>
  <si>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</si>
  <si>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</si>
  <si>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</si>
  <si>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</si>
  <si>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</si>
  <si>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</si>
  <si>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</si>
  <si>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</si>
  <si>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</si>
  <si>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</si>
  <si>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</si>
  <si>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</si>
  <si>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</si>
  <si>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</si>
  <si>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</si>
  <si>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</si>
  <si>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</si>
  <si>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</si>
  <si>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</si>
  <si>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</si>
  <si>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</si>
  <si>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</si>
  <si>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</si>
  <si>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</si>
  <si>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</si>
  <si>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</si>
  <si>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</si>
  <si>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</si>
  <si>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</si>
  <si>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</si>
  <si>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</si>
  <si>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</si>
  <si>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</si>
  <si>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</si>
  <si>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</si>
  <si>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</si>
  <si>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</si>
  <si>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</si>
  <si>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</si>
  <si>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</si>
  <si>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</si>
  <si>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</si>
  <si>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</si>
  <si>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</si>
  <si>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</si>
  <si>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</si>
  <si>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</si>
  <si>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</si>
  <si>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</si>
  <si>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</si>
  <si>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</si>
  <si>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</si>
  <si>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</si>
  <si>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</si>
  <si>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</si>
  <si>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</si>
  <si>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</si>
  <si>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</si>
  <si>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</si>
  <si>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</si>
  <si>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</si>
  <si>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</si>
  <si>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</si>
  <si>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</si>
  <si>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</si>
  <si>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</si>
  <si>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</si>
  <si>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</si>
  <si>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</si>
  <si>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</si>
  <si>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</si>
  <si>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</si>
  <si>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</si>
  <si>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</si>
  <si>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</si>
  <si>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</si>
  <si>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</si>
  <si>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</si>
  <si>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</si>
  <si>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</si>
  <si>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</si>
  <si>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</si>
  <si>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</si>
  <si>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</si>
  <si>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</si>
  <si>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</si>
  <si>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</si>
  <si>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</si>
  <si>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</si>
  <si>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</si>
  <si>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</si>
  <si>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</si>
  <si>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</si>
  <si>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</si>
  <si>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</si>
  <si>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</si>
  <si>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</si>
  <si>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</si>
  <si>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</si>
  <si>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</si>
  <si>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</si>
  <si>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</si>
  <si>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</si>
  <si>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</si>
  <si>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</si>
  <si>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</si>
  <si>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</si>
  <si>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</si>
  <si>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</si>
  <si>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</si>
  <si>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</si>
  <si>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</si>
  <si>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</si>
  <si>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</si>
  <si>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</si>
  <si>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</si>
  <si>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</si>
  <si>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</si>
  <si>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</si>
  <si>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</si>
  <si>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</si>
  <si>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</si>
  <si>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</si>
  <si>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</si>
  <si>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</si>
  <si>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</si>
  <si>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</si>
  <si>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</si>
  <si>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</si>
  <si>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</si>
  <si>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</si>
  <si>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</si>
  <si>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</si>
  <si>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</si>
  <si>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</si>
  <si>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</si>
  <si>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</si>
  <si>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</si>
  <si>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</si>
  <si>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</si>
  <si>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</si>
  <si>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</si>
  <si>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</si>
  <si>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</si>
  <si>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</si>
  <si>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</si>
  <si>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</si>
  <si>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</si>
  <si>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</si>
  <si>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</si>
  <si>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</si>
  <si>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</si>
  <si>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</si>
  <si>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</si>
  <si>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</si>
  <si>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</si>
  <si>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</si>
  <si>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</si>
  <si>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</si>
  <si>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</si>
  <si>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</si>
  <si>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</si>
  <si>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</si>
  <si>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</si>
  <si>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</si>
  <si>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</si>
  <si>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</si>
  <si>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</si>
  <si>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</si>
  <si>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</si>
  <si>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</si>
  <si>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</si>
  <si>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</si>
  <si>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</si>
  <si>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</si>
  <si>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</si>
  <si>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</si>
  <si>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</si>
  <si>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</si>
  <si>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</si>
  <si>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</si>
  <si>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</si>
  <si>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</si>
  <si>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</si>
  <si>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</si>
  <si>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</si>
  <si>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</si>
  <si>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</si>
  <si>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</si>
  <si>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</si>
  <si>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</si>
  <si>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</si>
  <si>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</si>
  <si>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</si>
  <si>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</si>
  <si>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</si>
  <si>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</si>
  <si>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</si>
  <si>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</si>
  <si>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</si>
  <si>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</si>
  <si>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</si>
  <si>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</si>
  <si>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</si>
  <si>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</si>
  <si>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</si>
  <si>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</si>
  <si>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</si>
  <si>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</si>
  <si>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</si>
  <si>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</si>
  <si>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</si>
  <si>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</si>
  <si>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</si>
  <si>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</si>
  <si>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</si>
  <si>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</si>
  <si>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</si>
  <si>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</si>
  <si>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</si>
  <si>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</si>
  <si>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</si>
  <si>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</si>
  <si>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</si>
  <si>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</si>
  <si>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</si>
  <si>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</si>
  <si>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</si>
  <si>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</si>
  <si>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</si>
  <si>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</si>
  <si>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</si>
  <si>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</si>
  <si>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</si>
  <si>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</si>
  <si>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</si>
  <si>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</si>
  <si>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</si>
  <si>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</si>
  <si>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</si>
  <si>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</si>
  <si>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</si>
  <si>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</si>
  <si>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</si>
  <si>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</si>
  <si>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</si>
  <si>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</si>
  <si>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</si>
  <si>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</si>
  <si>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</si>
  <si>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</si>
  <si>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</si>
  <si>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</si>
  <si>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</si>
  <si>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</si>
  <si>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</si>
  <si>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</si>
  <si>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</si>
  <si>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</si>
  <si>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</si>
  <si>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</si>
  <si>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</si>
  <si>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</si>
  <si>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</si>
  <si>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</si>
  <si>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</si>
  <si>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</si>
  <si>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</si>
  <si>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</si>
  <si>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</si>
  <si>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</si>
  <si>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</si>
  <si>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</si>
  <si>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</si>
  <si>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</si>
  <si>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</si>
  <si>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</si>
  <si>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</si>
  <si>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</si>
  <si>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</si>
  <si>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</si>
  <si>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</si>
  <si>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</si>
  <si>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</si>
  <si>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</si>
  <si>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</si>
  <si>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</si>
  <si>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</si>
  <si>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</si>
  <si>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</si>
  <si>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</si>
  <si>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</si>
  <si>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</si>
  <si>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</si>
  <si>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</si>
  <si>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</si>
  <si>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</si>
  <si>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</si>
  <si>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</si>
  <si>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</si>
  <si>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</si>
  <si>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</si>
  <si>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</si>
  <si>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</si>
  <si>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</si>
  <si>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</si>
  <si>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</si>
  <si>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</si>
  <si>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</si>
  <si>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</si>
  <si>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</si>
  <si>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</si>
  <si>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</si>
  <si>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</si>
  <si>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</si>
  <si>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</si>
  <si>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</si>
  <si>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</si>
  <si>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</si>
  <si>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</si>
  <si>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</si>
  <si>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</si>
  <si>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</si>
  <si>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</si>
  <si>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</si>
  <si>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</si>
  <si>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</si>
  <si>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</si>
  <si>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</si>
  <si>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</si>
  <si>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</si>
  <si>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</si>
  <si>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</si>
  <si>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</si>
  <si>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</si>
  <si>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</si>
  <si>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</si>
  <si>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</si>
  <si>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</si>
  <si>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</si>
  <si>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</si>
  <si>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</si>
  <si>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</si>
  <si>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</si>
  <si>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</si>
  <si>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</si>
  <si>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</si>
  <si>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</si>
  <si>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</si>
  <si>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</si>
  <si>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</si>
  <si>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</si>
  <si>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</si>
  <si>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</si>
  <si>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</si>
  <si>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</si>
  <si>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</si>
  <si>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</si>
  <si>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</si>
  <si>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</si>
  <si>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</si>
  <si>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</si>
  <si>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</si>
  <si>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</si>
  <si>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</si>
  <si>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</si>
  <si>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</si>
  <si>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</si>
  <si>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</si>
  <si>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</si>
  <si>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</si>
  <si>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</si>
  <si>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</si>
  <si>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</si>
  <si>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</si>
  <si>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</si>
  <si>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</si>
  <si>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</si>
  <si>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</si>
  <si>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</si>
  <si>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</si>
  <si>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</si>
  <si>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</si>
  <si>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</si>
  <si>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</si>
  <si>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</si>
  <si>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</si>
  <si>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</si>
  <si>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</si>
  <si>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</si>
  <si>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</si>
  <si>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</si>
  <si>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</si>
  <si>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</si>
  <si>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</si>
  <si>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</si>
  <si>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</si>
  <si>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</si>
  <si>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</si>
  <si>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</si>
  <si>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</si>
  <si>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</si>
  <si>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</si>
  <si>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</si>
  <si>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</si>
  <si>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</si>
  <si>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</si>
  <si>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</si>
  <si>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Alanine aminotransferase increased</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</si>
  <si>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</si>
  <si>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</si>
  <si>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</si>
  <si>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</si>
  <si>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</si>
  <si>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</si>
  <si>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</si>
  <si>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</si>
  <si>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</si>
  <si>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</si>
  <si>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</si>
  <si>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</si>
  <si>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</si>
  <si>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</si>
  <si>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</si>
  <si>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SB11Z</t>
  </si>
  <si>
    <t>Deliver exclusively oral chemotherapy</t>
  </si>
  <si>
    <t>Appointments with specialist</t>
  </si>
  <si>
    <t>Follow up attendance</t>
  </si>
  <si>
    <t>WF01A</t>
  </si>
  <si>
    <t>370 Medical Oncology Service, Follow Up Attendance - Single Professional</t>
  </si>
  <si>
    <t>RD51A</t>
  </si>
  <si>
    <t>Simple echocardiogram, 19 years and over</t>
  </si>
  <si>
    <t>Pathology</t>
  </si>
  <si>
    <t>DAPS05</t>
  </si>
  <si>
    <t>Eligible population and uptake</t>
  </si>
  <si>
    <t>Future practice -year 3</t>
  </si>
  <si>
    <t>Eligible population</t>
  </si>
  <si>
    <t>£'000</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</si>
  <si>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</si>
  <si>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</si>
  <si>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</si>
  <si>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</si>
  <si>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</si>
  <si>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</si>
  <si>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</si>
  <si>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</si>
  <si>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</si>
  <si>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</si>
  <si>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</si>
  <si>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</si>
  <si>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</si>
  <si>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</si>
  <si>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</si>
  <si>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</si>
  <si>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</si>
  <si>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</si>
  <si>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</si>
  <si>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</si>
  <si>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</si>
  <si>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</si>
  <si>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</si>
  <si>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</si>
  <si>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</si>
  <si>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</si>
  <si>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</si>
  <si>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</si>
  <si>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</si>
  <si>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</si>
  <si>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</si>
  <si>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</si>
  <si>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</si>
  <si>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</si>
  <si>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</si>
  <si>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</si>
  <si>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</si>
  <si>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</si>
  <si>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</si>
  <si>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</si>
  <si>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</si>
  <si>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</si>
  <si>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</si>
  <si>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</si>
  <si>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</si>
  <si>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</si>
  <si>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</si>
  <si>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</si>
  <si>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</si>
  <si>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</si>
  <si>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</si>
  <si>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</si>
  <si>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</si>
  <si>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</si>
  <si>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</si>
  <si>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</si>
  <si>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</si>
  <si>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</si>
  <si>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</si>
  <si>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</si>
  <si>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</si>
  <si>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</si>
  <si>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</si>
  <si>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</si>
  <si>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</si>
  <si>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</si>
  <si>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</si>
  <si>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</si>
  <si>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</si>
  <si>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</si>
  <si>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</si>
  <si>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</si>
  <si>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Oral, once daily</t>
  </si>
  <si>
    <t>tablet</t>
  </si>
  <si>
    <t>Drugs - people having treatment options (includes discontinuations in year) - from inputs and population tab</t>
  </si>
  <si>
    <t>Cost of each event</t>
  </si>
  <si>
    <t>Number of follow up attendances (per year)</t>
  </si>
  <si>
    <t>Oncologist appointments</t>
  </si>
  <si>
    <t>Radiology - ECG</t>
  </si>
  <si>
    <t>Drug</t>
  </si>
  <si>
    <t>Source for price</t>
  </si>
  <si>
    <t>Number per person per year (from unit costs tab)</t>
  </si>
  <si>
    <t>Drugs costs and financial impact of capacity items</t>
  </si>
  <si>
    <t>Number of days of treatment per cycle</t>
  </si>
  <si>
    <t>vial</t>
  </si>
  <si>
    <t>Number of cycles per year</t>
  </si>
  <si>
    <t>Pharmacy time in minutes</t>
  </si>
  <si>
    <t>Pharmacy time required per patient per cycle</t>
  </si>
  <si>
    <t>Specialty follow up appointments - number of appointments</t>
  </si>
  <si>
    <t>Specialty follow up appointment hours required (number of appointments x time per appointment)</t>
  </si>
  <si>
    <t>Oncologist follow ups - number of hours</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</si>
  <si>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</si>
  <si>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</si>
  <si>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</si>
  <si>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</si>
  <si>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</si>
  <si>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oncologist appointments and cost</t>
  </si>
  <si>
    <t>Number of adverse events and cost (from adverse events tab)</t>
  </si>
  <si>
    <t>Pathology - number of complete blood count and cost</t>
  </si>
  <si>
    <t>Radiology - number of ECG's and cost</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</si>
  <si>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</si>
  <si>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</si>
  <si>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</si>
  <si>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</si>
  <si>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</si>
  <si>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</si>
  <si>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</si>
  <si>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</si>
  <si>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</si>
  <si>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</si>
  <si>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</si>
  <si>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</si>
  <si>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Total number of ECG's</t>
  </si>
  <si>
    <t>Total number of complete blood count</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</si>
  <si>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</si>
  <si>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</si>
  <si>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</si>
  <si>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</si>
  <si>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</si>
  <si>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</si>
  <si>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</si>
  <si>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</si>
  <si>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</si>
  <si>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</si>
  <si>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</si>
  <si>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</si>
  <si>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</si>
  <si>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</si>
  <si>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</si>
  <si>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</si>
  <si>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</si>
  <si>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</si>
  <si>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</si>
  <si>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</si>
  <si>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</si>
  <si>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</si>
  <si>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</si>
  <si>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</si>
  <si>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Eligible population current, year 0</t>
  </si>
  <si>
    <t>Market shares</t>
  </si>
  <si>
    <t>Treatment options</t>
  </si>
  <si>
    <t>Future - 
year 1</t>
  </si>
  <si>
    <t>Future - 
year 2</t>
  </si>
  <si>
    <t>Future - 
year 3</t>
  </si>
  <si>
    <t>Number of people treated in each year</t>
  </si>
  <si>
    <t>Current  - 
year 0</t>
  </si>
  <si>
    <t>Treatment options, number of people</t>
  </si>
  <si>
    <t>This worksheet calculates the unit costs used in this template. Blue cells can be amended to include local data if required.</t>
  </si>
  <si>
    <t>Quantity per pack</t>
  </si>
  <si>
    <t>eMIT</t>
  </si>
  <si>
    <t>VAT rates: Secondary care is 20%.  Homecare service via secondary care is 0%. Primary care is 0%</t>
  </si>
  <si>
    <t>Dose and cost</t>
  </si>
  <si>
    <t>Dose intensity</t>
  </si>
  <si>
    <t>GP Top</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</si>
  <si>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</si>
  <si>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</si>
  <si>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</si>
  <si>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</si>
  <si>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</si>
  <si>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</si>
  <si>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</si>
  <si>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</si>
  <si>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</si>
  <si>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</si>
  <si>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</si>
  <si>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</si>
  <si>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</si>
  <si>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</si>
  <si>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</si>
  <si>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</si>
  <si>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</si>
  <si>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Diagnostic test</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</si>
  <si>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</si>
  <si>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</si>
  <si>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</si>
  <si>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</si>
  <si>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Total events for all treatment options</t>
  </si>
  <si>
    <t>Total costs per year for all treatments</t>
  </si>
  <si>
    <t>Year 1 of treatment</t>
  </si>
  <si>
    <t>Year 2 of treatment</t>
  </si>
  <si>
    <t>Year 3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</si>
  <si>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</si>
  <si>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</si>
  <si>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</si>
  <si>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</si>
  <si>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</si>
  <si>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</si>
  <si>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</si>
  <si>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Guidance published: January 2026</t>
  </si>
  <si>
    <t>2D Cancers &amp; Tumours - Lung</t>
  </si>
  <si>
    <t>NHS England</t>
  </si>
  <si>
    <t>NHS Hospital Trusts</t>
  </si>
  <si>
    <t>Cancer</t>
  </si>
  <si>
    <t>Lung cancer</t>
  </si>
  <si>
    <t>First-line</t>
  </si>
  <si>
    <t>Incidence of NSCLC</t>
  </si>
  <si>
    <t>People diagnosed at Stage IIIb: 
-who do not have curative intent treatment at diagnosis or
-have curative intent treatment but it fails</t>
  </si>
  <si>
    <t>People diagnosed at Stage IIIc</t>
  </si>
  <si>
    <t>People diagnosed at Stage IV</t>
  </si>
  <si>
    <t>People diagnosed at Stage I to IIIa progressing to IIIb per year</t>
  </si>
  <si>
    <t>Cancer registration statistics 2023</t>
  </si>
  <si>
    <t>Adult population</t>
  </si>
  <si>
    <t>Advanced NSCLC patients, tested for EGFRm</t>
  </si>
  <si>
    <t>Adequate testing sample obtained</t>
  </si>
  <si>
    <t>People identified to have EGFRm</t>
  </si>
  <si>
    <t xml:space="preserve">EGFRm patients with Exon21 L858R or Exon 19 deletion </t>
  </si>
  <si>
    <t>Adizie JB et al. 2021</t>
  </si>
  <si>
    <t>Table 2</t>
  </si>
  <si>
    <t>Leonetti A et al. 2019</t>
  </si>
  <si>
    <t>Santarpia et al 2017</t>
  </si>
  <si>
    <t xml:space="preserve">People having amivantamab plus lazertinib </t>
  </si>
  <si>
    <t>People having osimertinib alone</t>
  </si>
  <si>
    <t xml:space="preserve">People having osimertinib plus chemotherapy </t>
  </si>
  <si>
    <t>People having amivantamab plus lazertinib  - year 1 of treatment</t>
  </si>
  <si>
    <t>People having amivantamab plus lazertinib  - year 2 of treatment</t>
  </si>
  <si>
    <t>People having amivantamab plus lazertinib  - year 3 of treatment</t>
  </si>
  <si>
    <t>People having osimertinib alone - year 1 of treatment</t>
  </si>
  <si>
    <t>People having osimertinib alone - year 2 of treatment</t>
  </si>
  <si>
    <t>People having osimertinib alone - year 3 of treatment</t>
  </si>
  <si>
    <t>People having osimertinib plus chemotherapy - year 1 of treatment</t>
  </si>
  <si>
    <t>People having osimertinib plus chemotherapy  - year 2 of treatment</t>
  </si>
  <si>
    <t>People having osimertinib plus chemotherapy - year 3 of treatment</t>
  </si>
  <si>
    <t xml:space="preserve">amivantamab plus lazertinib </t>
  </si>
  <si>
    <t>osimertinib alone</t>
  </si>
  <si>
    <t xml:space="preserve">osimertinib plus chemotherapy </t>
  </si>
  <si>
    <t>amivantamab</t>
  </si>
  <si>
    <t>lazertinib</t>
  </si>
  <si>
    <t>Subcutaneous injection</t>
  </si>
  <si>
    <t xml:space="preserve">solution for injection </t>
  </si>
  <si>
    <t>Local input</t>
  </si>
  <si>
    <t xml:space="preserve">osimertinib </t>
  </si>
  <si>
    <t>pemetrexed</t>
  </si>
  <si>
    <t xml:space="preserve">infusion bag </t>
  </si>
  <si>
    <t>carboplatin</t>
  </si>
  <si>
    <t>Dermatitis acneiform</t>
  </si>
  <si>
    <t>Hypalbuminaemia</t>
  </si>
  <si>
    <t>Paronychia</t>
  </si>
  <si>
    <t>Infusion related reaction</t>
  </si>
  <si>
    <t>Rash</t>
  </si>
  <si>
    <t>Pulmonary embolism</t>
  </si>
  <si>
    <t>Grade ≤2 VTE</t>
  </si>
  <si>
    <t>Pneumonia</t>
  </si>
  <si>
    <t>Unit costs as per table 11 company BI submission</t>
  </si>
  <si>
    <t xml:space="preserve">Nursing time includes preparation time before administration, administration and post administration.  </t>
  </si>
  <si>
    <t xml:space="preserve">Proportion </t>
  </si>
  <si>
    <t>Amivantamab (&lt;80 kg ) week 5+ every 2 weeks</t>
  </si>
  <si>
    <t>Amivantamab (≥80 kg ) week 5+ every 2 weeks</t>
  </si>
  <si>
    <t>Amivantamab (&lt;80 kg ) once weekly for initial 4 weeks</t>
  </si>
  <si>
    <t>Amivantamab (≥80 kg ) once weekly for initial 4 weeks</t>
  </si>
  <si>
    <t xml:space="preserve">Dosing as per company submission </t>
  </si>
  <si>
    <t>Administration cost as per NHS England, National Tariff Payment System. 2025/26 with pay award [accessed online 25.11.25]</t>
  </si>
  <si>
    <t>People &lt;80kg and ≥80 kg in ratio 88%:12% based on table 7, company submission.</t>
  </si>
  <si>
    <t>Drug cost - year 1</t>
  </si>
  <si>
    <t>SB12Z</t>
  </si>
  <si>
    <t>Deliver Simple Parenteral Chemotherapy at First Attendance</t>
  </si>
  <si>
    <t>Drug cost - year 2</t>
  </si>
  <si>
    <t>Amivantamab (≥80 kg )  every 2 weeks</t>
  </si>
  <si>
    <t>Amivantamab (&lt;80 kg ) every 2 weeks</t>
  </si>
  <si>
    <t>Drug cost - year 3</t>
  </si>
  <si>
    <t>Drug cost- Year 1</t>
  </si>
  <si>
    <t>Dose per admin/m2 for pemetrexed</t>
  </si>
  <si>
    <t>BSA (m2)</t>
  </si>
  <si>
    <t>n/a</t>
  </si>
  <si>
    <t xml:space="preserve">Osimertinib - induction phase </t>
  </si>
  <si>
    <t>Pemetrexed - induction phase</t>
  </si>
  <si>
    <t>Carboplatin - induction phase</t>
  </si>
  <si>
    <t>Osimertinib - maintenance phase</t>
  </si>
  <si>
    <t>Pemetrexed - maintenance phase</t>
  </si>
  <si>
    <t>SB13Z</t>
  </si>
  <si>
    <t>Deliver more complex parenteral chemotherapy at first Attendance</t>
  </si>
  <si>
    <t>Deliver simple parenteral chemotherapy at first Attendance</t>
  </si>
  <si>
    <t>Treatment duration based on the company BI submission for TA1060, pemetrexed 16.5m (23.76 cycles), osimertinib 32.9 months (osimertinib+chemo 3 months, osimertinib+pemetrexed 21months, osimertinib mono 8.9m), carboplatin and cisplatin 3 months (4.32 cycles).</t>
  </si>
  <si>
    <t xml:space="preserve">It is assumed all patients receive pemetrexed with carboplatin combination treatment.  There are not significant cost differences if patients are treated with pemetrexed with cisplatin. </t>
  </si>
  <si>
    <t>Drug cost- Year 2</t>
  </si>
  <si>
    <t xml:space="preserve">Osimertinib </t>
  </si>
  <si>
    <t xml:space="preserve">Pemetrexed </t>
  </si>
  <si>
    <t>Drug cost- Year 3</t>
  </si>
  <si>
    <t xml:space="preserve">Mean weight assumed to be 79.3 kg as per </t>
  </si>
  <si>
    <t>Health Survey for England, 2022. NHS Digital</t>
  </si>
  <si>
    <t xml:space="preserve">Mean body surface area assumed to be 1.79 m2 as per </t>
  </si>
  <si>
    <t>Sacco JJ, Botten J, Macbeth F, Bagust A, Clark P. The average body surface area of adult cancer patients in the UK: a multicentre retrospective study. PLoS One. 2010 Jan 28;5(1):e8933. doi: 10.1371/journal.pone.0008933. PMID: 20126669; PMCID: PMC2812484.</t>
  </si>
  <si>
    <t>Treatment duration based on the company BI submission for TA1060,</t>
  </si>
  <si>
    <t>Treatment duration based on the company BI submission for TA1060.</t>
  </si>
  <si>
    <t>Treatment duration based on the company BI submission for TA1060</t>
  </si>
  <si>
    <t>Drug costs from Gov.UK electronic market information tool (eMIT): online [accessed 02.12.2025]</t>
  </si>
  <si>
    <t>Radiology - CT scan</t>
  </si>
  <si>
    <t>Radiology - CT</t>
  </si>
  <si>
    <t>Amivantamab with lazertinib uptake</t>
  </si>
  <si>
    <t>People having amivantamab with lazertinib each year</t>
  </si>
  <si>
    <t>NHS England, National Tariff Payment System. 2025/26 with pay award [accessed online 25.11.2025]</t>
  </si>
  <si>
    <t>NHS England, National Cost Collection, National Schedule 2024/24 [online, accessed 25.11.25]</t>
  </si>
  <si>
    <t>amivantamab plus lazertinib - year 1</t>
  </si>
  <si>
    <t>amivantamab plus lazertinib - year 2</t>
  </si>
  <si>
    <t>amivantamab plus lazertinib -  year 3</t>
  </si>
  <si>
    <t>osimertinib alone - year 1</t>
  </si>
  <si>
    <t>osimertinib alone - year 2</t>
  </si>
  <si>
    <t>osimertinib alone - year 3</t>
  </si>
  <si>
    <t>osimertinib plus chemotherapy - year 1</t>
  </si>
  <si>
    <t>osimertinib plus chemotherapy - year 2</t>
  </si>
  <si>
    <t>osimertinib plus chemotherapy - year 3</t>
  </si>
  <si>
    <t>People receiving treatment each year</t>
  </si>
  <si>
    <t>NHS England, National Tariff Payment System. 2025/26 with pay award [accessed online 25.11.25]</t>
  </si>
  <si>
    <t>Number required</t>
  </si>
  <si>
    <t>Data entered in the drug pack sizes and price will be used to calculate the annual treatment costs</t>
  </si>
  <si>
    <t>Appointments with specialist assumed to take place quarterly and be a 30 minute follow up outpatient attendance</t>
  </si>
  <si>
    <t>Total number of CT scans</t>
  </si>
  <si>
    <t>Blood test (Phlebotomy) (Adult and Paediatric)</t>
  </si>
  <si>
    <t xml:space="preserve">Blood test </t>
  </si>
  <si>
    <t>Pathology - blood test</t>
  </si>
  <si>
    <t>Radiology - number of CTs and cost</t>
  </si>
  <si>
    <t>Computerised Tomography Scan of Three Areas, with Contrast</t>
  </si>
  <si>
    <t>RD26Z</t>
  </si>
  <si>
    <t>CT scan</t>
  </si>
  <si>
    <t>osimertinib plus chemotherapy year 1</t>
  </si>
  <si>
    <t>osimertinib plus chemotherapy year 2</t>
  </si>
  <si>
    <t>osimertinib plus chemotherapy year 3</t>
  </si>
  <si>
    <t>Per patient per cycle</t>
  </si>
  <si>
    <t>IV time (time per cycle x number of IV cycles)</t>
  </si>
  <si>
    <t>Total number of hours</t>
  </si>
  <si>
    <t xml:space="preserve">IV Administrations  </t>
  </si>
  <si>
    <t>Number of IV attendances</t>
  </si>
  <si>
    <t xml:space="preserve">IV Time - hours </t>
  </si>
  <si>
    <t>IV administrations</t>
  </si>
  <si>
    <t xml:space="preserve">Mean cycle lengths for amivantamab are CIC - please enter number of cycles per year in column I </t>
  </si>
  <si>
    <t>Current  
practice</t>
  </si>
  <si>
    <t>Future practice 
year 1</t>
  </si>
  <si>
    <t>Future practice 
year 2</t>
  </si>
  <si>
    <t>Future practice  year 3</t>
  </si>
  <si>
    <t xml:space="preserve">Current  practice </t>
  </si>
  <si>
    <t>1) This worksheet calculates the number of adverse events used in this template. Blue cells can be amended to include local data if required.</t>
  </si>
  <si>
    <t>2) The % of adverse events entered in cells B10 to D18 will be applied to the number of patients treated each year</t>
  </si>
  <si>
    <t>3) The unit cost used for each event are as per the company submission</t>
  </si>
  <si>
    <t>Summary - financial and capacity impact</t>
  </si>
  <si>
    <t xml:space="preserve">Subcut attendances </t>
  </si>
  <si>
    <t xml:space="preserve">Number of subcut attendances per year </t>
  </si>
  <si>
    <t>NLCA State of the Nation 2025 Version 2 - National Lung Cancer Audit</t>
  </si>
  <si>
    <t>J. Nieva et al. (2023)- Annals of Oncology</t>
  </si>
  <si>
    <t>People diagnosed at Stage I to IIIa progressing to IIIb per year is 10% as per company BI submission.  10% of 48.5% of stage I to IIIa (48.5% of diagnoses) of NSCLC. 10%*48.5%=4.85% of all diagnoses</t>
  </si>
  <si>
    <t>Stage IIIc at diagnosis assumed to be half of stage IIIb/c.  8.4%/2=4.2%.</t>
  </si>
  <si>
    <t>Stage IIIb at diagnosis assumed to be half of stage IIIb/c.  8.4%/2=4.2%.  Of these, 80% have curative intent treatment and 20% cured and thus ineligible.   4.2%-(4.2%*80%*20%)=4.2%-0.67%=3.53%</t>
  </si>
  <si>
    <t xml:space="preserve">amivantamab plus lazertinib year 1 </t>
  </si>
  <si>
    <t xml:space="preserve">amivantamab plus lazertinib year 2  </t>
  </si>
  <si>
    <t xml:space="preserve">amivantamab plus lazertinib year 3 </t>
  </si>
  <si>
    <t xml:space="preserve">Subcut Administrations  </t>
  </si>
  <si>
    <t>Total number of administrations</t>
  </si>
  <si>
    <t>The number of carboplatin cycles are 4.3 cycles in year 1, some of these overlap with the number of pemetrexed cycles and given at the same time, the remainder are assumed to take place at separate visits.  For administration capacity costs it is assumed that pemetrexed takes 30 minutes to administer and carboplatin takes 130 minutes. Osimertinib is an oral tablet, the additional cycles in the combination regimen (approx. 4) do not impact on capacity and costs significantly.  This can be altered in the blue cells below if preferred.</t>
  </si>
  <si>
    <t xml:space="preserve">IV time in minutes- carboplatin </t>
  </si>
  <si>
    <t>IV time in minutes - pemetrexed</t>
  </si>
  <si>
    <t>subcut administration time in minutes</t>
  </si>
  <si>
    <t>IV attendances - carboplatin</t>
  </si>
  <si>
    <t xml:space="preserve">Nursing time in minutes </t>
  </si>
  <si>
    <t>IV attendances - pemetrexed</t>
  </si>
  <si>
    <t>subcut time (time per cycle x number of cycles)</t>
  </si>
  <si>
    <t>People having osimertinib plus chemotherapy - year 1 of treatment - carboplatin</t>
  </si>
  <si>
    <t>People having osimertinib plus chemotherapy - year 2 of treatment - pemetrexed</t>
  </si>
  <si>
    <t>People having osimertinib plus chemotherapy - year 1 of treatment - pemetrexed</t>
  </si>
  <si>
    <t>Subcut time - hours</t>
  </si>
  <si>
    <t>Subcut administrations</t>
  </si>
  <si>
    <t>Disease growth</t>
  </si>
  <si>
    <t>Overall Survival with Amivantamab–Lazertinib in EGFR-Mutated Advanced NSCLC | New England Journal of Medicine</t>
  </si>
  <si>
    <t xml:space="preserve">subcutaneous and oral </t>
  </si>
  <si>
    <t>Incorporates</t>
  </si>
  <si>
    <t>TA1060 - Osimertinib with pemetrexed and platinum-based chemotherapy for untreated EGFR mutation-positive advanced non-small-cell lung cancer</t>
  </si>
  <si>
    <t>TA1122 - Amivantamab with lazertinib for untreated EGFR mutation-positive advanced non-small-cell lung cancer</t>
  </si>
  <si>
    <t>Amivantamab plus lazertinib is expected to peak at 25%</t>
  </si>
  <si>
    <t>4) Adverse events are taken from the MARIPOSA and FLAURA  trials.</t>
  </si>
  <si>
    <t>Treatments for untreated EGFR mutation-positive advanced non-small-cell lung cancer</t>
  </si>
  <si>
    <t>Market share estimates are based on information from clinical experts and NHSE. 34% of current osimertinib usage is with chemotherapy but with an expectation that this will rise further.  5% step changes per annum are assumed until a peak at 49%.</t>
  </si>
  <si>
    <t xml:space="preserve">Cycle lengths for amivantamab plus lazertinib are median values and come from Yang et al (2025) </t>
  </si>
  <si>
    <t>It assumes that the treatment durations for amivantamab and lazertinib will be the same - users should review these assumptions locally.</t>
  </si>
  <si>
    <t>Review the data in each blue cell below. Enter a local value or leave NICE standard assumptions.</t>
  </si>
  <si>
    <t>As the subcutaneous injections for amivantamab take place in hospital, an appointment will be needed and users should input the time for this appointment in row 14. For osimertinib plus chemotherapy there is the requirement to populate activity levels for each year on treatment as the combination phase activity differs because this involves IV time.</t>
  </si>
  <si>
    <t>Proportion of people with Cooperative Oncology Group (ECOG) status 0-1 (eligible for the combination treatment)</t>
  </si>
  <si>
    <t>Proportion of people assumed to have treatment</t>
  </si>
  <si>
    <t>Local input - people can reduce the population expected to receive treatment to reflect the proportion of people who will go onto receive best supportive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</si>
</sst>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 numFmtId="176" formatCode="_-* #,##0.0_-;\-* #,##0.0_-;_-* &quot;-&quot;??_-;_-@_-"/>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Calibri"/>
      <family val="2"/>
    </font>
    <font>
      <sz val="14"/>
      <color rgb="FF1A1A1A"/>
      <name val="Arial"/>
      <family val="2"/>
    </font>
    <font>
      <b/>
      <sz val="16"/>
      <color theme="0"/>
      <name val="Calibri"/>
      <family val="2"/>
      <scheme val="minor"/>
    </font>
    <font>
      <b/>
      <sz val="10"/>
      <color theme="0"/>
      <name val="Arial"/>
      <family val="2"/>
    </font>
    <font>
      <b/>
      <u/>
      <sz val="11"/>
      <color theme="10"/>
      <name val="Calibri"/>
      <family val="2"/>
    </font>
    <font>
      <b/>
      <sz val="16"/>
      <color theme="1"/>
      <name val="Calibri"/>
      <family val="2"/>
      <scheme val="minor"/>
    </font>
    <font>
      <b/>
      <sz val="16"/>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5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39" fillId="37" borderId="18" xfId="0" applyFont="1" applyFill="1" applyBorder="1"/>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1" fillId="0" borderId="45" xfId="0" applyFont="1" applyBorder="1"/>
    <xf numFmtId="0" fontId="45" fillId="0" borderId="45"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2" fontId="46" fillId="39"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0" fontId="57" fillId="0" borderId="0" xfId="0" applyFont="1"/>
    <xf numFmtId="9" fontId="0" fillId="39" borderId="11" xfId="0" applyNumberFormat="1" applyFill="1" applyBorder="1" applyAlignment="1" applyProtection="1">
      <alignment horizontal="right"/>
      <protection locked="0"/>
    </xf>
    <xf numFmtId="0" fontId="48" fillId="24" borderId="15" xfId="82" applyFont="1" applyFill="1" applyBorder="1" applyAlignment="1">
      <alignment horizontal="center" wrapText="1"/>
    </xf>
    <xf numFmtId="0" fontId="57" fillId="0" borderId="45"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0" fillId="0" borderId="14" xfId="0"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0" borderId="50" xfId="82" applyFont="1" applyBorder="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173" fontId="46" fillId="25" borderId="11" xfId="82" applyNumberFormat="1" applyFont="1" applyFill="1" applyBorder="1"/>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74"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46" fillId="0" borderId="22" xfId="82" applyFont="1" applyBorder="1"/>
    <xf numFmtId="166" fontId="46" fillId="39" borderId="11" xfId="56" applyNumberFormat="1" applyFont="1" applyFill="1" applyBorder="1" applyAlignment="1" applyProtection="1">
      <alignment horizontal="left"/>
      <protection locked="0"/>
    </xf>
    <xf numFmtId="175" fontId="2" fillId="0" borderId="0" xfId="82" applyNumberFormat="1"/>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7" xfId="0" applyFill="1" applyBorder="1" applyAlignment="1">
      <alignment horizontal="center" wrapText="1"/>
    </xf>
    <xf numFmtId="0" fontId="0" fillId="0" borderId="0" xfId="0" applyAlignment="1">
      <alignment horizontal="right" vertical="center"/>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0" fillId="24" borderId="31" xfId="0" applyFill="1" applyBorder="1" applyAlignment="1">
      <alignment horizontal="center" wrapText="1"/>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5" xfId="72" applyBorder="1" applyAlignment="1" applyProtection="1">
      <protection locked="0"/>
    </xf>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xf numFmtId="0" fontId="0" fillId="24" borderId="12" xfId="0" applyFill="1" applyBorder="1"/>
    <xf numFmtId="10" fontId="0" fillId="39" borderId="15" xfId="92" applyNumberFormat="1" applyFont="1" applyFill="1" applyBorder="1" applyProtection="1">
      <protection locked="0"/>
    </xf>
    <xf numFmtId="10" fontId="0" fillId="39" borderId="19" xfId="92" applyNumberFormat="1" applyFont="1" applyFill="1" applyBorder="1" applyProtection="1">
      <protection locked="0"/>
    </xf>
    <xf numFmtId="10" fontId="0" fillId="24" borderId="17" xfId="92" applyNumberFormat="1" applyFont="1" applyFill="1" applyBorder="1" applyProtection="1">
      <protection locked="0"/>
    </xf>
    <xf numFmtId="3" fontId="44" fillId="29" borderId="17" xfId="0" applyNumberFormat="1" applyFont="1" applyFill="1" applyBorder="1" applyProtection="1">
      <protection locked="0"/>
    </xf>
    <xf numFmtId="10" fontId="0" fillId="39" borderId="18" xfId="92" applyNumberFormat="1" applyFont="1" applyFill="1" applyBorder="1" applyProtection="1">
      <protection locked="0"/>
    </xf>
    <xf numFmtId="0" fontId="0" fillId="25" borderId="0" xfId="0" applyFill="1"/>
    <xf numFmtId="0" fontId="28" fillId="0" borderId="12" xfId="72" applyBorder="1" applyAlignment="1" applyProtection="1">
      <alignment vertical="top"/>
    </xf>
    <xf numFmtId="0" fontId="73" fillId="0" borderId="20" xfId="72" applyFont="1" applyBorder="1" applyAlignment="1" applyProtection="1"/>
    <xf numFmtId="0" fontId="73" fillId="0" borderId="20" xfId="72" applyFont="1" applyBorder="1" applyAlignment="1" applyProtection="1">
      <alignment wrapText="1"/>
    </xf>
    <xf numFmtId="0" fontId="28" fillId="0" borderId="20" xfId="72" applyBorder="1" applyAlignment="1" applyProtection="1">
      <alignment wrapText="1"/>
    </xf>
    <xf numFmtId="0" fontId="28" fillId="0" borderId="17" xfId="72" applyBorder="1" applyAlignment="1" applyProtection="1">
      <alignment wrapText="1"/>
    </xf>
    <xf numFmtId="0" fontId="28" fillId="0" borderId="12" xfId="72" applyBorder="1" applyAlignment="1" applyProtection="1">
      <alignment wrapText="1"/>
    </xf>
    <xf numFmtId="0" fontId="0" fillId="25" borderId="0" xfId="0" applyFill="1" applyAlignment="1">
      <alignment vertical="top"/>
    </xf>
    <xf numFmtId="0" fontId="63" fillId="25" borderId="0" xfId="82" applyFont="1" applyFill="1"/>
    <xf numFmtId="176" fontId="46" fillId="39" borderId="11" xfId="56" applyNumberFormat="1" applyFont="1" applyFill="1" applyBorder="1" applyProtection="1">
      <protection locked="0"/>
    </xf>
    <xf numFmtId="0" fontId="46" fillId="25" borderId="0" xfId="82" applyFont="1" applyFill="1"/>
    <xf numFmtId="166" fontId="6" fillId="25" borderId="0" xfId="56" applyNumberFormat="1" applyFont="1" applyFill="1" applyBorder="1"/>
    <xf numFmtId="0" fontId="46" fillId="0" borderId="11" xfId="0" applyFont="1" applyBorder="1" applyAlignment="1">
      <alignment vertical="center"/>
    </xf>
    <xf numFmtId="0" fontId="66" fillId="24" borderId="12" xfId="82" applyFont="1" applyFill="1" applyBorder="1" applyAlignment="1">
      <alignment horizontal="center"/>
    </xf>
    <xf numFmtId="0" fontId="66" fillId="24" borderId="20" xfId="82" applyFont="1" applyFill="1" applyBorder="1" applyAlignment="1">
      <alignment horizontal="left"/>
    </xf>
    <xf numFmtId="0" fontId="0" fillId="25" borderId="18" xfId="0" applyFill="1" applyBorder="1"/>
    <xf numFmtId="0" fontId="6" fillId="25" borderId="0" xfId="82" applyFont="1" applyFill="1"/>
    <xf numFmtId="0" fontId="46" fillId="39" borderId="11" xfId="82" applyFont="1" applyFill="1" applyBorder="1" applyAlignment="1" applyProtection="1">
      <alignment wrapText="1"/>
      <protection locked="0"/>
    </xf>
    <xf numFmtId="0" fontId="46" fillId="0" borderId="0" xfId="0" applyFont="1"/>
    <xf numFmtId="4" fontId="46" fillId="39" borderId="11" xfId="82" applyNumberFormat="1" applyFont="1" applyFill="1" applyBorder="1" applyAlignment="1" applyProtection="1">
      <alignment horizontal="right" wrapText="1"/>
      <protection locked="0"/>
    </xf>
    <xf numFmtId="166" fontId="46" fillId="39" borderId="12" xfId="56" applyNumberFormat="1" applyFont="1" applyFill="1" applyBorder="1" applyAlignment="1" applyProtection="1">
      <alignment horizontal="center"/>
      <protection locked="0"/>
    </xf>
    <xf numFmtId="0" fontId="46" fillId="0" borderId="0" xfId="72" applyFont="1" applyFill="1" applyAlignment="1" applyProtection="1"/>
    <xf numFmtId="166" fontId="6" fillId="39" borderId="20" xfId="56" applyNumberFormat="1" applyFont="1" applyFill="1" applyBorder="1" applyAlignment="1" applyProtection="1">
      <alignment horizontal="left"/>
      <protection locked="0"/>
    </xf>
    <xf numFmtId="0" fontId="39" fillId="25" borderId="0" xfId="0" applyFont="1" applyFill="1"/>
    <xf numFmtId="0" fontId="28" fillId="0" borderId="12" xfId="72" applyBorder="1" applyAlignment="1" applyProtection="1">
      <alignment vertical="top" wrapText="1"/>
    </xf>
    <xf numFmtId="3" fontId="74" fillId="0" borderId="0" xfId="0" applyNumberFormat="1" applyFont="1"/>
    <xf numFmtId="0" fontId="48" fillId="24" borderId="13" xfId="0" applyFont="1" applyFill="1" applyBorder="1" applyAlignment="1">
      <alignment vertical="center"/>
    </xf>
    <xf numFmtId="0" fontId="0" fillId="24" borderId="58" xfId="0" applyFill="1" applyBorder="1"/>
    <xf numFmtId="0" fontId="46" fillId="0" borderId="12" xfId="82" applyFont="1" applyBorder="1" applyAlignment="1">
      <alignment horizontal="left"/>
    </xf>
    <xf numFmtId="0" fontId="40" fillId="37" borderId="0" xfId="0" applyFont="1" applyFill="1" applyAlignment="1">
      <alignment horizontal="center" vertical="center"/>
    </xf>
    <xf numFmtId="0" fontId="46" fillId="0" borderId="17" xfId="82" applyFont="1" applyBorder="1" applyAlignment="1">
      <alignment horizontal="left" wrapText="1"/>
    </xf>
    <xf numFmtId="0" fontId="48" fillId="24" borderId="58" xfId="82" applyFont="1" applyFill="1" applyBorder="1" applyAlignment="1">
      <alignment horizontal="center" wrapText="1"/>
    </xf>
    <xf numFmtId="0" fontId="0" fillId="40" borderId="12" xfId="0" applyFill="1" applyBorder="1" applyAlignment="1">
      <alignment horizontal="left"/>
    </xf>
    <xf numFmtId="0" fontId="0" fillId="39" borderId="17" xfId="0" applyFill="1" applyBorder="1" applyProtection="1">
      <protection locked="0"/>
    </xf>
    <xf numFmtId="0" fontId="44" fillId="24" borderId="13" xfId="0" applyFont="1" applyFill="1" applyBorder="1" applyAlignment="1">
      <alignment horizontal="center" wrapText="1"/>
    </xf>
    <xf numFmtId="0" fontId="44" fillId="24" borderId="58" xfId="0" applyFont="1" applyFill="1" applyBorder="1" applyAlignment="1">
      <alignment horizontal="center" wrapText="1"/>
    </xf>
    <xf numFmtId="0" fontId="0" fillId="24" borderId="12" xfId="0" applyFill="1" applyBorder="1" applyAlignment="1">
      <alignment horizontal="left" wrapText="1"/>
    </xf>
    <xf numFmtId="0" fontId="0" fillId="24" borderId="17" xfId="0" applyFill="1" applyBorder="1" applyAlignment="1">
      <alignment horizontal="left" wrapText="1"/>
    </xf>
    <xf numFmtId="0" fontId="0" fillId="24" borderId="13" xfId="0" applyFill="1" applyBorder="1" applyAlignment="1">
      <alignment horizontal="left" wrapText="1"/>
    </xf>
    <xf numFmtId="0" fontId="0" fillId="24" borderId="58" xfId="0" applyFill="1" applyBorder="1" applyAlignment="1">
      <alignment horizontal="left" wrapText="1"/>
    </xf>
    <xf numFmtId="0" fontId="0" fillId="26" borderId="12" xfId="0" applyFill="1" applyBorder="1" applyAlignment="1">
      <alignment horizontal="left"/>
    </xf>
    <xf numFmtId="0" fontId="0" fillId="42" borderId="12" xfId="0" applyFill="1" applyBorder="1" applyAlignment="1">
      <alignment horizontal="left"/>
    </xf>
    <xf numFmtId="2" fontId="0" fillId="41" borderId="12" xfId="0" applyNumberFormat="1" applyFill="1" applyBorder="1" applyAlignment="1">
      <alignment horizontal="left"/>
    </xf>
    <xf numFmtId="2" fontId="0" fillId="0" borderId="11" xfId="0" applyNumberFormat="1" applyBorder="1"/>
    <xf numFmtId="0" fontId="75" fillId="24" borderId="0" xfId="0" applyFont="1" applyFill="1"/>
    <xf numFmtId="0" fontId="76" fillId="24" borderId="0" xfId="82" applyFont="1" applyFill="1"/>
    <xf numFmtId="0" fontId="76" fillId="24" borderId="18" xfId="82" applyFont="1" applyFill="1" applyBorder="1"/>
    <xf numFmtId="0" fontId="77" fillId="24" borderId="0" xfId="72" applyFont="1" applyFill="1" applyBorder="1" applyAlignment="1" applyProtection="1"/>
    <xf numFmtId="0" fontId="44" fillId="24" borderId="18" xfId="0" applyFont="1" applyFill="1" applyBorder="1"/>
    <xf numFmtId="0" fontId="75" fillId="24" borderId="10" xfId="0" applyFont="1" applyFill="1" applyBorder="1"/>
    <xf numFmtId="0" fontId="76" fillId="24" borderId="10" xfId="82" applyFont="1" applyFill="1" applyBorder="1"/>
    <xf numFmtId="0" fontId="76" fillId="24" borderId="21" xfId="82" applyFont="1" applyFill="1" applyBorder="1"/>
    <xf numFmtId="0" fontId="75" fillId="24" borderId="45" xfId="0" applyFont="1" applyFill="1" applyBorder="1"/>
    <xf numFmtId="0" fontId="76" fillId="24" borderId="45" xfId="82" applyFont="1" applyFill="1" applyBorder="1"/>
    <xf numFmtId="0" fontId="76" fillId="24" borderId="58" xfId="82" applyFont="1" applyFill="1" applyBorder="1"/>
    <xf numFmtId="0" fontId="44" fillId="24" borderId="14" xfId="0" applyFont="1" applyFill="1" applyBorder="1"/>
    <xf numFmtId="0" fontId="48" fillId="24" borderId="19" xfId="82" applyFont="1" applyFill="1" applyBorder="1" applyAlignment="1">
      <alignment horizontal="center" wrapText="1"/>
    </xf>
    <xf numFmtId="0" fontId="45" fillId="0" borderId="10" xfId="82" applyFont="1" applyBorder="1"/>
    <xf numFmtId="166" fontId="7" fillId="0" borderId="11" xfId="56" applyNumberFormat="1" applyFont="1" applyFill="1" applyBorder="1"/>
    <xf numFmtId="0" fontId="0" fillId="40" borderId="11" xfId="0" applyFill="1" applyBorder="1"/>
    <xf numFmtId="0" fontId="0" fillId="26" borderId="11" xfId="0" applyFill="1" applyBorder="1"/>
    <xf numFmtId="0" fontId="0" fillId="42" borderId="11" xfId="0" applyFill="1" applyBorder="1"/>
    <xf numFmtId="0" fontId="44" fillId="41" borderId="11" xfId="0" applyFont="1" applyFill="1" applyBorder="1"/>
    <xf numFmtId="0" fontId="0" fillId="24" borderId="11" xfId="0" applyFill="1" applyBorder="1" applyProtection="1">
      <protection locked="0"/>
    </xf>
    <xf numFmtId="2" fontId="0" fillId="0" borderId="21" xfId="0" applyNumberFormat="1" applyBorder="1"/>
    <xf numFmtId="0" fontId="0" fillId="0" borderId="58" xfId="0" applyBorder="1"/>
    <xf numFmtId="164" fontId="27" fillId="24" borderId="11" xfId="82" applyNumberFormat="1" applyFont="1" applyFill="1" applyBorder="1"/>
    <xf numFmtId="165" fontId="0" fillId="24" borderId="11" xfId="0" applyNumberFormat="1" applyFill="1" applyBorder="1"/>
    <xf numFmtId="0" fontId="0" fillId="24" borderId="12" xfId="0" applyFill="1" applyBorder="1" applyAlignment="1">
      <alignment horizontal="left"/>
    </xf>
    <xf numFmtId="174" fontId="0" fillId="39" borderId="11" xfId="0" applyNumberFormat="1" applyFill="1" applyBorder="1" applyProtection="1">
      <protection locked="0"/>
    </xf>
    <xf numFmtId="3" fontId="46" fillId="25" borderId="11" xfId="92" applyNumberFormat="1" applyFont="1" applyFill="1" applyBorder="1"/>
    <xf numFmtId="0" fontId="46" fillId="0" borderId="11" xfId="82" applyFont="1" applyBorder="1" applyAlignment="1" applyProtection="1">
      <alignment horizontal="left" wrapText="1"/>
      <protection locked="0"/>
    </xf>
    <xf numFmtId="0" fontId="46" fillId="0" borderId="11" xfId="82" applyFont="1" applyBorder="1" applyAlignment="1" applyProtection="1">
      <alignment horizontal="left"/>
      <protection locked="0"/>
    </xf>
    <xf numFmtId="166" fontId="46" fillId="0" borderId="11" xfId="56" applyNumberFormat="1" applyFont="1" applyFill="1" applyBorder="1" applyAlignment="1" applyProtection="1">
      <protection locked="0"/>
    </xf>
    <xf numFmtId="1" fontId="46" fillId="0" borderId="11" xfId="56" applyNumberFormat="1" applyFont="1" applyFill="1" applyBorder="1" applyAlignment="1" applyProtection="1">
      <protection locked="0"/>
    </xf>
    <xf numFmtId="166" fontId="46" fillId="0" borderId="11" xfId="56" applyNumberFormat="1" applyFont="1" applyFill="1" applyBorder="1" applyAlignment="1" applyProtection="1">
      <alignment wrapText="1"/>
      <protection locked="0"/>
    </xf>
    <xf numFmtId="0" fontId="46" fillId="0" borderId="11" xfId="82" applyFont="1" applyBorder="1" applyAlignment="1" applyProtection="1">
      <alignment wrapText="1"/>
      <protection locked="0"/>
    </xf>
    <xf numFmtId="0" fontId="46" fillId="0" borderId="11" xfId="82" applyFont="1" applyBorder="1" applyAlignment="1">
      <alignment horizontal="left" wrapText="1"/>
    </xf>
    <xf numFmtId="164" fontId="46" fillId="0" borderId="11" xfId="82" applyNumberFormat="1" applyFont="1" applyBorder="1" applyAlignment="1">
      <alignment horizontal="right" wrapText="1"/>
    </xf>
    <xf numFmtId="9" fontId="46" fillId="0" borderId="11" xfId="92" applyFont="1" applyFill="1" applyBorder="1" applyAlignment="1">
      <alignment horizontal="right" wrapText="1"/>
    </xf>
    <xf numFmtId="3" fontId="46" fillId="0" borderId="11" xfId="82" applyNumberFormat="1" applyFont="1" applyBorder="1" applyAlignment="1">
      <alignment horizontal="right" wrapText="1"/>
    </xf>
    <xf numFmtId="1"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0" fontId="48" fillId="24" borderId="17" xfId="82" applyFont="1" applyFill="1" applyBorder="1" applyAlignment="1">
      <alignment horizontal="center" wrapText="1"/>
    </xf>
    <xf numFmtId="0" fontId="48" fillId="24" borderId="38" xfId="82" applyFont="1" applyFill="1" applyBorder="1"/>
    <xf numFmtId="0" fontId="46" fillId="24" borderId="60"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0" fontId="48" fillId="24" borderId="12" xfId="82" applyFont="1" applyFill="1" applyBorder="1" applyAlignment="1">
      <alignment horizontal="center" wrapText="1"/>
    </xf>
    <xf numFmtId="166" fontId="46" fillId="39" borderId="17" xfId="56" applyNumberFormat="1" applyFont="1" applyFill="1" applyBorder="1" applyAlignment="1" applyProtection="1">
      <protection locked="0"/>
    </xf>
    <xf numFmtId="3" fontId="46" fillId="0" borderId="10" xfId="82" applyNumberFormat="1" applyFont="1" applyBorder="1"/>
    <xf numFmtId="0" fontId="48" fillId="24" borderId="60" xfId="82" applyFont="1" applyFill="1" applyBorder="1"/>
    <xf numFmtId="166" fontId="46" fillId="39" borderId="62" xfId="56" applyNumberFormat="1" applyFont="1" applyFill="1" applyBorder="1" applyAlignment="1" applyProtection="1">
      <alignment wrapText="1"/>
      <protection locked="0"/>
    </xf>
    <xf numFmtId="0" fontId="46" fillId="39" borderId="28" xfId="82" applyFont="1" applyFill="1" applyBorder="1" applyAlignment="1" applyProtection="1">
      <alignment horizontal="right" wrapText="1"/>
      <protection locked="0"/>
    </xf>
    <xf numFmtId="2" fontId="46" fillId="39" borderId="28" xfId="82" applyNumberFormat="1" applyFont="1" applyFill="1" applyBorder="1" applyAlignment="1" applyProtection="1">
      <alignment horizontal="right" wrapText="1"/>
      <protection locked="0"/>
    </xf>
    <xf numFmtId="9" fontId="46" fillId="39" borderId="28" xfId="92" applyFont="1" applyFill="1" applyBorder="1" applyAlignment="1" applyProtection="1">
      <alignment horizontal="right" wrapText="1"/>
      <protection locked="0"/>
    </xf>
    <xf numFmtId="0" fontId="48" fillId="24" borderId="63" xfId="82" applyFont="1" applyFill="1" applyBorder="1" applyAlignment="1">
      <alignment horizontal="center"/>
    </xf>
    <xf numFmtId="0" fontId="46" fillId="39" borderId="64" xfId="82" applyFont="1" applyFill="1" applyBorder="1" applyProtection="1">
      <protection locked="0"/>
    </xf>
    <xf numFmtId="165" fontId="48" fillId="39" borderId="59" xfId="82" applyNumberFormat="1" applyFont="1" applyFill="1" applyBorder="1"/>
    <xf numFmtId="166" fontId="46" fillId="0" borderId="12" xfId="56" applyNumberFormat="1" applyFont="1" applyFill="1" applyBorder="1" applyAlignment="1" applyProtection="1">
      <alignment wrapText="1"/>
      <protection locked="0"/>
    </xf>
    <xf numFmtId="166" fontId="46" fillId="0" borderId="12" xfId="56" applyNumberFormat="1" applyFont="1" applyFill="1" applyBorder="1" applyAlignment="1" applyProtection="1">
      <protection locked="0"/>
    </xf>
    <xf numFmtId="0" fontId="46" fillId="0" borderId="17" xfId="82" applyFont="1" applyBorder="1" applyAlignment="1" applyProtection="1">
      <alignment horizontal="left" wrapText="1"/>
      <protection locked="0"/>
    </xf>
    <xf numFmtId="0" fontId="48" fillId="24" borderId="66" xfId="82" applyFont="1" applyFill="1" applyBorder="1" applyAlignment="1">
      <alignment horizontal="center" wrapText="1"/>
    </xf>
    <xf numFmtId="0" fontId="48" fillId="24" borderId="48" xfId="82" applyFont="1" applyFill="1" applyBorder="1" applyAlignment="1">
      <alignment horizontal="center" wrapText="1"/>
    </xf>
    <xf numFmtId="0" fontId="48" fillId="24" borderId="67" xfId="82" applyFont="1" applyFill="1" applyBorder="1" applyAlignment="1">
      <alignment horizontal="center" wrapText="1"/>
    </xf>
    <xf numFmtId="0" fontId="48" fillId="24" borderId="48" xfId="82" applyFont="1" applyFill="1" applyBorder="1" applyAlignment="1">
      <alignment horizontal="center"/>
    </xf>
    <xf numFmtId="0" fontId="48" fillId="24" borderId="49" xfId="82" applyFont="1" applyFill="1" applyBorder="1" applyAlignment="1">
      <alignment horizontal="center" wrapText="1"/>
    </xf>
    <xf numFmtId="0" fontId="46" fillId="39" borderId="68" xfId="82" applyFont="1" applyFill="1" applyBorder="1" applyProtection="1">
      <protection locked="0"/>
    </xf>
    <xf numFmtId="0" fontId="46" fillId="0" borderId="62" xfId="82" applyFont="1" applyBorder="1" applyAlignment="1">
      <alignment horizontal="left" wrapText="1"/>
    </xf>
    <xf numFmtId="0" fontId="46" fillId="0" borderId="28" xfId="82" applyFont="1" applyBorder="1" applyAlignment="1">
      <alignment horizontal="left" wrapText="1"/>
    </xf>
    <xf numFmtId="166" fontId="46" fillId="0" borderId="28" xfId="56" applyNumberFormat="1" applyFont="1" applyFill="1" applyBorder="1" applyAlignment="1" applyProtection="1">
      <alignment wrapText="1"/>
      <protection locked="0"/>
    </xf>
    <xf numFmtId="0" fontId="46" fillId="0" borderId="28" xfId="82" applyFont="1" applyBorder="1" applyAlignment="1" applyProtection="1">
      <alignment wrapText="1"/>
      <protection locked="0"/>
    </xf>
    <xf numFmtId="166" fontId="46" fillId="0" borderId="61" xfId="56" applyNumberFormat="1" applyFont="1" applyFill="1" applyBorder="1" applyAlignment="1" applyProtection="1">
      <alignment wrapText="1"/>
      <protection locked="0"/>
    </xf>
    <xf numFmtId="3" fontId="46" fillId="0" borderId="28" xfId="82" applyNumberFormat="1" applyFont="1" applyBorder="1" applyAlignment="1">
      <alignment horizontal="right" wrapText="1"/>
    </xf>
    <xf numFmtId="2" fontId="46" fillId="0" borderId="28" xfId="82" applyNumberFormat="1" applyFont="1" applyBorder="1" applyAlignment="1">
      <alignment horizontal="right" wrapText="1"/>
    </xf>
    <xf numFmtId="164" fontId="46" fillId="0" borderId="28" xfId="82" applyNumberFormat="1" applyFont="1" applyBorder="1" applyAlignment="1">
      <alignment horizontal="right" wrapText="1"/>
    </xf>
    <xf numFmtId="9" fontId="46" fillId="0" borderId="28" xfId="92" applyFont="1" applyFill="1" applyBorder="1" applyAlignment="1">
      <alignment horizontal="right" wrapText="1"/>
    </xf>
    <xf numFmtId="0" fontId="46" fillId="0" borderId="23" xfId="82" applyFont="1" applyBorder="1" applyAlignment="1" applyProtection="1">
      <alignment horizontal="left" wrapText="1"/>
      <protection locked="0"/>
    </xf>
    <xf numFmtId="0" fontId="46" fillId="0" borderId="27" xfId="82" applyFont="1" applyBorder="1" applyAlignment="1">
      <alignment horizontal="left" wrapText="1"/>
    </xf>
    <xf numFmtId="0" fontId="48" fillId="24" borderId="34" xfId="82" applyFont="1" applyFill="1" applyBorder="1"/>
    <xf numFmtId="0" fontId="46" fillId="24" borderId="35" xfId="82" applyFont="1" applyFill="1" applyBorder="1"/>
    <xf numFmtId="0" fontId="48" fillId="24" borderId="35" xfId="82" applyFont="1" applyFill="1" applyBorder="1"/>
    <xf numFmtId="165" fontId="46" fillId="24" borderId="36" xfId="82" applyNumberFormat="1" applyFont="1" applyFill="1" applyBorder="1"/>
    <xf numFmtId="0" fontId="46" fillId="39" borderId="28" xfId="82" applyFont="1" applyFill="1" applyBorder="1" applyAlignment="1" applyProtection="1">
      <alignment horizontal="left"/>
      <protection locked="0"/>
    </xf>
    <xf numFmtId="173" fontId="46" fillId="39" borderId="28" xfId="82" applyNumberFormat="1" applyFont="1" applyFill="1" applyBorder="1" applyAlignment="1" applyProtection="1">
      <alignment horizontal="right" wrapText="1"/>
      <protection locked="0"/>
    </xf>
    <xf numFmtId="3" fontId="46" fillId="39" borderId="28" xfId="82" applyNumberFormat="1" applyFont="1" applyFill="1" applyBorder="1" applyAlignment="1" applyProtection="1">
      <alignment horizontal="right" wrapText="1"/>
      <protection locked="0"/>
    </xf>
    <xf numFmtId="0" fontId="46" fillId="39" borderId="61" xfId="82" applyFont="1" applyFill="1" applyBorder="1" applyAlignment="1" applyProtection="1">
      <alignment horizontal="left"/>
      <protection locked="0"/>
    </xf>
    <xf numFmtId="165" fontId="48" fillId="39" borderId="59" xfId="82" applyNumberFormat="1" applyFont="1" applyFill="1" applyBorder="1" applyProtection="1">
      <protection locked="0"/>
    </xf>
    <xf numFmtId="4" fontId="46" fillId="39" borderId="28" xfId="82" applyNumberFormat="1" applyFont="1" applyFill="1" applyBorder="1" applyAlignment="1" applyProtection="1">
      <alignment horizontal="right" wrapText="1"/>
      <protection locked="0"/>
    </xf>
    <xf numFmtId="0" fontId="46" fillId="39" borderId="62" xfId="82" applyFont="1" applyFill="1" applyBorder="1" applyAlignment="1" applyProtection="1">
      <alignment horizontal="left"/>
      <protection locked="0"/>
    </xf>
    <xf numFmtId="0" fontId="48" fillId="24" borderId="20" xfId="82" applyFont="1" applyFill="1" applyBorder="1" applyAlignment="1">
      <alignment horizontal="center"/>
    </xf>
    <xf numFmtId="166" fontId="46" fillId="39" borderId="20" xfId="56" applyNumberFormat="1" applyFont="1" applyFill="1" applyBorder="1" applyAlignment="1" applyProtection="1">
      <alignment horizontal="center"/>
      <protection locked="0"/>
    </xf>
    <xf numFmtId="0" fontId="46" fillId="0" borderId="62" xfId="82" applyFont="1" applyBorder="1" applyAlignment="1" applyProtection="1">
      <alignment horizontal="left"/>
      <protection locked="0"/>
    </xf>
    <xf numFmtId="0" fontId="46" fillId="0" borderId="28" xfId="82" applyFont="1" applyBorder="1" applyAlignment="1" applyProtection="1">
      <alignment horizontal="left"/>
      <protection locked="0"/>
    </xf>
    <xf numFmtId="0" fontId="46" fillId="0" borderId="28" xfId="82" applyFont="1" applyBorder="1" applyAlignment="1" applyProtection="1">
      <alignment horizontal="right"/>
      <protection locked="0"/>
    </xf>
    <xf numFmtId="0" fontId="46" fillId="0" borderId="61" xfId="82" applyFont="1" applyBorder="1" applyAlignment="1" applyProtection="1">
      <alignment horizontal="right"/>
      <protection locked="0"/>
    </xf>
    <xf numFmtId="0" fontId="46" fillId="0" borderId="61" xfId="82" applyFont="1" applyBorder="1" applyAlignment="1" applyProtection="1">
      <alignment horizontal="left"/>
      <protection locked="0"/>
    </xf>
    <xf numFmtId="0" fontId="46" fillId="0" borderId="17" xfId="82" applyFont="1" applyBorder="1" applyAlignment="1" applyProtection="1">
      <alignment horizontal="left"/>
      <protection locked="0"/>
    </xf>
    <xf numFmtId="0" fontId="46" fillId="0" borderId="11" xfId="82" applyFont="1" applyBorder="1" applyAlignment="1" applyProtection="1">
      <alignment horizontal="right"/>
      <protection locked="0"/>
    </xf>
    <xf numFmtId="0" fontId="46" fillId="0" borderId="12" xfId="82" applyFont="1" applyBorder="1" applyAlignment="1" applyProtection="1">
      <alignment horizontal="right"/>
      <protection locked="0"/>
    </xf>
    <xf numFmtId="0" fontId="46" fillId="0" borderId="11" xfId="82" applyFont="1" applyBorder="1" applyAlignment="1" applyProtection="1">
      <alignment horizontal="right" wrapText="1"/>
      <protection locked="0"/>
    </xf>
    <xf numFmtId="0" fontId="46" fillId="0" borderId="12" xfId="82" applyFont="1" applyBorder="1" applyAlignment="1" applyProtection="1">
      <alignment horizontal="right" wrapText="1"/>
      <protection locked="0"/>
    </xf>
    <xf numFmtId="0" fontId="46" fillId="0" borderId="11" xfId="82" applyFont="1" applyBorder="1" applyAlignment="1">
      <alignment horizontal="right" wrapText="1"/>
    </xf>
    <xf numFmtId="0" fontId="46" fillId="0" borderId="12" xfId="82" applyFont="1" applyBorder="1" applyAlignment="1">
      <alignment horizontal="right" wrapText="1"/>
    </xf>
    <xf numFmtId="0" fontId="46" fillId="0" borderId="28" xfId="82" applyFont="1" applyBorder="1" applyAlignment="1">
      <alignment horizontal="right" wrapText="1"/>
    </xf>
    <xf numFmtId="0" fontId="46" fillId="0" borderId="61" xfId="82" applyFont="1" applyBorder="1" applyAlignment="1">
      <alignment horizontal="right" wrapText="1"/>
    </xf>
    <xf numFmtId="166" fontId="46" fillId="0" borderId="11" xfId="56" applyNumberFormat="1" applyFont="1" applyFill="1" applyBorder="1" applyAlignment="1" applyProtection="1">
      <alignment horizontal="right"/>
      <protection locked="0"/>
    </xf>
    <xf numFmtId="166" fontId="46" fillId="0" borderId="12" xfId="56" applyNumberFormat="1" applyFont="1" applyFill="1" applyBorder="1" applyAlignment="1" applyProtection="1">
      <alignment horizontal="right"/>
      <protection locked="0"/>
    </xf>
    <xf numFmtId="1" fontId="46" fillId="0" borderId="11" xfId="82" applyNumberFormat="1" applyFont="1" applyBorder="1" applyAlignment="1" applyProtection="1">
      <alignment horizontal="right" wrapText="1"/>
      <protection locked="0"/>
    </xf>
    <xf numFmtId="166" fontId="46" fillId="0" borderId="28" xfId="56" applyNumberFormat="1" applyFont="1" applyFill="1" applyBorder="1" applyAlignment="1" applyProtection="1">
      <alignment horizontal="right"/>
      <protection locked="0"/>
    </xf>
    <xf numFmtId="166" fontId="46" fillId="0" borderId="61" xfId="56" applyNumberFormat="1" applyFont="1" applyFill="1" applyBorder="1" applyAlignment="1" applyProtection="1">
      <alignment horizontal="right"/>
      <protection locked="0"/>
    </xf>
    <xf numFmtId="0" fontId="0" fillId="24" borderId="17" xfId="0" applyFill="1" applyBorder="1" applyAlignment="1">
      <alignment horizontal="center" wrapText="1"/>
    </xf>
    <xf numFmtId="0" fontId="0" fillId="24" borderId="11" xfId="0" applyFill="1" applyBorder="1" applyAlignment="1">
      <alignment horizontal="center" wrapText="1"/>
    </xf>
    <xf numFmtId="0" fontId="48" fillId="24" borderId="14" xfId="0" applyFont="1" applyFill="1" applyBorder="1" applyAlignment="1">
      <alignment vertical="center"/>
    </xf>
    <xf numFmtId="9" fontId="46" fillId="39" borderId="11" xfId="92" applyFont="1" applyFill="1" applyBorder="1" applyProtection="1">
      <protection locked="0"/>
    </xf>
    <xf numFmtId="10" fontId="0" fillId="0" borderId="0" xfId="0" applyNumberFormat="1"/>
    <xf numFmtId="9" fontId="0" fillId="0" borderId="0" xfId="0" applyNumberFormat="1"/>
    <xf numFmtId="0" fontId="28" fillId="0" borderId="0" xfId="72" applyBorder="1" applyAlignment="1" applyProtection="1">
      <alignment wrapText="1"/>
    </xf>
    <xf numFmtId="0" fontId="28" fillId="0" borderId="16" xfId="72" applyBorder="1" applyAlignment="1" applyProtection="1">
      <alignment wrapText="1"/>
    </xf>
    <xf numFmtId="174" fontId="0" fillId="39" borderId="17" xfId="0" applyNumberFormat="1" applyFill="1" applyBorder="1" applyProtection="1">
      <protection locked="0"/>
    </xf>
    <xf numFmtId="174" fontId="0" fillId="0" borderId="21" xfId="0" applyNumberFormat="1" applyBorder="1"/>
    <xf numFmtId="174" fontId="0" fillId="0" borderId="17" xfId="0" applyNumberFormat="1" applyBorder="1"/>
    <xf numFmtId="2" fontId="0" fillId="39" borderId="11" xfId="0" applyNumberFormat="1" applyFill="1" applyBorder="1" applyProtection="1">
      <protection locked="0"/>
    </xf>
    <xf numFmtId="0" fontId="54" fillId="25" borderId="0" xfId="0" applyFont="1" applyFill="1" applyAlignment="1">
      <alignment vertical="center"/>
    </xf>
    <xf numFmtId="0" fontId="51" fillId="25" borderId="14" xfId="0" applyFont="1" applyFill="1" applyBorder="1"/>
    <xf numFmtId="0" fontId="79" fillId="25" borderId="14" xfId="0" applyFont="1" applyFill="1" applyBorder="1" applyAlignment="1">
      <alignment vertical="center"/>
    </xf>
    <xf numFmtId="0" fontId="78" fillId="25" borderId="14" xfId="0" applyFont="1" applyFill="1" applyBorder="1"/>
    <xf numFmtId="0" fontId="0" fillId="25" borderId="14" xfId="0" applyFill="1" applyBorder="1"/>
    <xf numFmtId="0" fontId="0" fillId="25" borderId="21" xfId="0" applyFill="1" applyBorder="1"/>
    <xf numFmtId="0" fontId="0" fillId="25" borderId="11" xfId="0" applyFill="1" applyBorder="1" applyAlignment="1">
      <alignment wrapText="1"/>
    </xf>
    <xf numFmtId="0" fontId="0" fillId="25" borderId="12" xfId="0" applyFill="1" applyBorder="1"/>
    <xf numFmtId="0" fontId="0" fillId="25" borderId="11" xfId="0" applyFill="1" applyBorder="1"/>
    <xf numFmtId="0" fontId="28" fillId="0" borderId="18" xfId="72" applyBorder="1" applyAlignment="1" applyProtection="1">
      <alignment wrapText="1"/>
    </xf>
    <xf numFmtId="0" fontId="0" fillId="25" borderId="11" xfId="0" applyFill="1" applyBorder="1" applyAlignment="1">
      <alignment horizontal="left" wrapText="1"/>
    </xf>
    <xf numFmtId="0" fontId="0" fillId="25" borderId="12" xfId="0" applyFill="1" applyBorder="1" applyAlignment="1">
      <alignment horizontal="left" wrapText="1"/>
    </xf>
    <xf numFmtId="0" fontId="0" fillId="25" borderId="0" xfId="0" quotePrefix="1" applyFill="1"/>
    <xf numFmtId="0" fontId="0" fillId="24" borderId="11" xfId="0" applyFill="1" applyBorder="1"/>
    <xf numFmtId="165" fontId="0" fillId="39" borderId="11" xfId="0" applyNumberFormat="1" applyFill="1" applyBorder="1" applyProtection="1">
      <protection locked="0"/>
    </xf>
    <xf numFmtId="166" fontId="46" fillId="39" borderId="11" xfId="56" applyNumberFormat="1" applyFont="1" applyFill="1" applyBorder="1" applyAlignment="1" applyProtection="1">
      <protection locked="0"/>
    </xf>
    <xf numFmtId="166" fontId="46" fillId="39" borderId="11" xfId="56" applyNumberFormat="1" applyFont="1" applyFill="1" applyBorder="1" applyAlignment="1" applyProtection="1">
      <alignment wrapText="1"/>
      <protection locked="0"/>
    </xf>
    <xf numFmtId="166" fontId="46" fillId="39" borderId="28" xfId="56" applyNumberFormat="1" applyFont="1" applyFill="1" applyBorder="1" applyAlignment="1" applyProtection="1">
      <alignment wrapText="1"/>
      <protection locked="0"/>
    </xf>
    <xf numFmtId="0" fontId="0" fillId="39" borderId="12" xfId="82" applyFont="1" applyFill="1" applyBorder="1" applyAlignment="1" applyProtection="1">
      <alignment vertical="top"/>
      <protection locked="0"/>
    </xf>
    <xf numFmtId="165" fontId="46" fillId="39" borderId="32" xfId="82" applyNumberFormat="1" applyFont="1" applyFill="1" applyBorder="1" applyAlignment="1" applyProtection="1">
      <alignment horizontal="right" wrapText="1"/>
      <protection locked="0"/>
    </xf>
    <xf numFmtId="165" fontId="46" fillId="39" borderId="26" xfId="82" applyNumberFormat="1" applyFont="1" applyFill="1" applyBorder="1" applyAlignment="1" applyProtection="1">
      <alignment horizontal="right" wrapText="1"/>
      <protection locked="0"/>
    </xf>
    <xf numFmtId="0" fontId="45" fillId="0" borderId="60" xfId="82" applyFont="1" applyBorder="1"/>
    <xf numFmtId="0" fontId="45" fillId="0" borderId="14" xfId="82" applyFont="1" applyBorder="1"/>
    <xf numFmtId="0" fontId="0" fillId="39" borderId="68" xfId="82" applyFont="1" applyFill="1" applyBorder="1" applyAlignment="1" applyProtection="1">
      <alignment vertical="top"/>
      <protection locked="0"/>
    </xf>
    <xf numFmtId="0" fontId="0" fillId="39" borderId="69" xfId="82" applyFont="1" applyFill="1" applyBorder="1" applyAlignment="1" applyProtection="1">
      <alignment vertical="top"/>
      <protection locked="0"/>
    </xf>
    <xf numFmtId="0" fontId="0" fillId="39" borderId="64" xfId="82" applyFont="1" applyFill="1" applyBorder="1" applyAlignment="1" applyProtection="1">
      <alignment vertical="top"/>
      <protection locked="0"/>
    </xf>
    <xf numFmtId="0" fontId="0" fillId="39" borderId="65" xfId="82" applyFont="1" applyFill="1" applyBorder="1" applyAlignment="1" applyProtection="1">
      <alignment vertical="top"/>
      <protection locked="0"/>
    </xf>
    <xf numFmtId="0" fontId="0" fillId="39" borderId="11" xfId="82" applyFont="1" applyFill="1" applyBorder="1" applyAlignment="1" applyProtection="1">
      <alignment vertical="top"/>
      <protection locked="0"/>
    </xf>
    <xf numFmtId="165" fontId="66" fillId="39" borderId="11" xfId="82" applyNumberFormat="1" applyFont="1" applyFill="1" applyBorder="1" applyAlignment="1" applyProtection="1">
      <alignment horizontal="right"/>
      <protection locked="0"/>
    </xf>
    <xf numFmtId="164" fontId="46" fillId="39" borderId="28" xfId="82" applyNumberFormat="1" applyFont="1" applyFill="1" applyBorder="1" applyAlignment="1" applyProtection="1">
      <alignment horizontal="right" wrapText="1"/>
      <protection locked="0"/>
    </xf>
    <xf numFmtId="173" fontId="46" fillId="39" borderId="12" xfId="82" applyNumberFormat="1" applyFont="1" applyFill="1" applyBorder="1" applyAlignment="1" applyProtection="1">
      <alignment horizontal="right"/>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xf numFmtId="0" fontId="73" fillId="0" borderId="12" xfId="72" applyFont="1" applyBorder="1" applyAlignment="1" applyProtection="1">
      <alignment horizontal="left" vertical="top" wrapText="1"/>
    </xf>
    <xf numFmtId="0" fontId="73" fillId="0" borderId="20" xfId="72" applyFont="1" applyBorder="1" applyAlignment="1" applyProtection="1">
      <alignment horizontal="left" vertical="top" wrapText="1"/>
    </xf>
    <xf numFmtId="0" fontId="73" fillId="0" borderId="17" xfId="72" applyFont="1" applyBorder="1" applyAlignment="1" applyProtection="1">
      <alignment horizontal="left" vertical="top" wrapText="1"/>
    </xf>
    <xf numFmtId="0" fontId="0" fillId="0" borderId="20" xfId="0" applyBorder="1" applyAlignment="1">
      <alignment horizontal="left" vertical="top" wrapText="1"/>
    </xf>
    <xf numFmtId="0" fontId="0" fillId="0" borderId="17" xfId="0" applyBorder="1" applyAlignment="1">
      <alignment horizontal="left" vertical="top" wrapText="1"/>
    </xf>
    <xf numFmtId="0" fontId="49" fillId="0" borderId="12" xfId="72" applyFont="1" applyBorder="1" applyAlignment="1" applyProtection="1">
      <alignment horizontal="left" wrapText="1"/>
    </xf>
    <xf numFmtId="0" fontId="49" fillId="0" borderId="20" xfId="72" applyFont="1" applyBorder="1" applyAlignment="1" applyProtection="1">
      <alignment horizontal="left" wrapText="1"/>
    </xf>
    <xf numFmtId="0" fontId="49" fillId="0" borderId="17" xfId="72" applyFont="1" applyBorder="1" applyAlignment="1" applyProtection="1">
      <alignment horizontal="left" wrapText="1"/>
    </xf>
    <xf numFmtId="0" fontId="77" fillId="24" borderId="0" xfId="72" applyFont="1" applyFill="1" applyBorder="1" applyAlignment="1" applyProtection="1">
      <alignment horizontal="left" wrapText="1"/>
    </xf>
    <xf numFmtId="0" fontId="44" fillId="24" borderId="0" xfId="0" applyFont="1" applyFill="1" applyAlignment="1">
      <alignment wrapText="1"/>
    </xf>
    <xf numFmtId="0" fontId="46" fillId="0" borderId="12" xfId="82" applyFont="1" applyBorder="1" applyAlignment="1">
      <alignment horizontal="left"/>
    </xf>
    <xf numFmtId="0" fontId="46" fillId="0" borderId="20" xfId="82" applyFont="1" applyBorder="1" applyAlignment="1">
      <alignment horizontal="left"/>
    </xf>
    <xf numFmtId="0" fontId="0" fillId="0" borderId="22" xfId="0" applyBorder="1" applyAlignment="1">
      <alignment horizontal="left" wrapText="1"/>
    </xf>
    <xf numFmtId="0" fontId="0" fillId="0" borderId="10" xfId="0" applyBorder="1" applyAlignment="1">
      <alignment horizontal="left" wrapText="1"/>
    </xf>
    <xf numFmtId="0" fontId="0" fillId="0" borderId="21" xfId="0" applyBorder="1" applyAlignment="1">
      <alignment horizontal="left" wrapText="1"/>
    </xf>
    <xf numFmtId="0" fontId="46" fillId="0" borderId="14" xfId="0" applyFont="1" applyBorder="1" applyAlignment="1">
      <alignment horizontal="left" wrapText="1"/>
    </xf>
    <xf numFmtId="0" fontId="46" fillId="0" borderId="0" xfId="0" applyFont="1" applyAlignment="1">
      <alignment horizontal="left" wrapText="1"/>
    </xf>
    <xf numFmtId="0" fontId="46" fillId="0" borderId="18" xfId="0" applyFont="1" applyBorder="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18646E"/>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pmc.ncbi.nlm.nih.gov/articles/PMC8474239/" TargetMode="External"/><Relationship Id="rId13" Type="http://schemas.openxmlformats.org/officeDocument/2006/relationships/hyperlink" Target="https://www.natcan.org.uk/wp-content/uploads/2025/07/NLCA-State-of-the-Nation-Report-2025_V2.0.pdf" TargetMode="External"/><Relationship Id="rId1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pmc.ncbi.nlm.nih.gov/articles/PMC8474239/" TargetMode="External"/><Relationship Id="rId12" Type="http://schemas.openxmlformats.org/officeDocument/2006/relationships/hyperlink" Target="https://www.natcan.org.uk/wp-content/uploads/2025/07/NLCA-State-of-the-Nation-Report-2025_V2.0.pdf" TargetMode="External"/><Relationship Id="rId1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6" Type="http://schemas.openxmlformats.org/officeDocument/2006/relationships/hyperlink" Target="https://www.annalsofoncology.org/article/S0923-7534(23)03214-3/fulltext"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digital.nhs.uk/data-and-information/publications/statistical/cancer-registration-statistics" TargetMode="External"/><Relationship Id="rId11" Type="http://schemas.openxmlformats.org/officeDocument/2006/relationships/hyperlink" Target="https://pmc.ncbi.nlm.nih.gov/articles/PMC8474239/" TargetMode="External"/><Relationship Id="rId5" Type="http://schemas.openxmlformats.org/officeDocument/2006/relationships/hyperlink" Target="https://digital.nhs.uk/data-and-information/publications/statistical/cancer-registration-statistics" TargetMode="External"/><Relationship Id="rId15" Type="http://schemas.openxmlformats.org/officeDocument/2006/relationships/hyperlink" Target="https://www.annalsofoncology.org/article/S0923-7534(23)03214-3/fulltext" TargetMode="External"/><Relationship Id="rId10" Type="http://schemas.openxmlformats.org/officeDocument/2006/relationships/hyperlink" Target="https://pmc.ncbi.nlm.nih.gov/articles/PMC5571822/" TargetMode="External"/><Relationship Id="rId19"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pmc.ncbi.nlm.nih.gov/articles/PMC6889286/" TargetMode="External"/><Relationship Id="rId14" Type="http://schemas.openxmlformats.org/officeDocument/2006/relationships/hyperlink" Target="https://www.natcan.org.uk/wp-content/uploads/2025/07/NLCA-State-of-the-Nation-Report-2025_V2.0.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pmc.ncbi.nlm.nih.gov/articles/PMC2812484/" TargetMode="External"/><Relationship Id="rId17" Type="http://schemas.openxmlformats.org/officeDocument/2006/relationships/printerSettings" Target="../printerSettings/printerSettings6.bin"/><Relationship Id="rId2" Type="http://schemas.openxmlformats.org/officeDocument/2006/relationships/hyperlink" Target="https://www.england.nhs.uk/pay-syst/national-tariff/national-tariff-payment-system/" TargetMode="External"/><Relationship Id="rId16" Type="http://schemas.openxmlformats.org/officeDocument/2006/relationships/hyperlink" Target="https://www.nejm.org/doi/full/10.1056/NEJMoa2503001" TargetMode="External"/><Relationship Id="rId1" Type="http://schemas.openxmlformats.org/officeDocument/2006/relationships/hyperlink" Target="https://www.england.nhs.uk/costing-in-the-nhs/national-cost-collection/"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digital.nhs.uk/data-and-information/publications/statistical/health-survey-for-england/2021/health-survey-for-england-2021-data-tables" TargetMode="External"/><Relationship Id="rId5" Type="http://schemas.openxmlformats.org/officeDocument/2006/relationships/hyperlink" Target="https://www.england.nhs.uk/pay-syst/national-tariff/national-tariff-payment-system/" TargetMode="External"/><Relationship Id="rId15" Type="http://schemas.openxmlformats.org/officeDocument/2006/relationships/hyperlink" Target="https://www.england.nhs.uk/pay-syst/national-tariff/national-tariff-payment-system/"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0" zoomScale="55" zoomScaleNormal="55" workbookViewId="0">
      <selection activeCell="G17" sqref="G17"/>
    </sheetView>
  </sheetViews>
  <sheetFormatPr defaultColWidth="9.26953125" defaultRowHeight="14" x14ac:dyDescent="0.3"/>
  <cols>
    <col min="1" max="1" width="24.36328125" style="10" customWidth="1"/>
    <col min="2" max="2" width="49.36328125" style="10" customWidth="1"/>
    <col min="3" max="3" width="63.54296875" style="14" customWidth="1"/>
    <col min="4" max="4" width="20.36328125" style="10" customWidth="1"/>
    <col min="5" max="12" width="21" style="10" customWidth="1"/>
    <col min="13" max="13" width="16.36328125" style="10" customWidth="1"/>
    <col min="14" max="14" width="15.7265625" style="10" customWidth="1"/>
    <col min="15" max="15" width="14.26953125" style="10" customWidth="1"/>
    <col min="16" max="16" width="10.7265625" style="10" customWidth="1"/>
    <col min="17" max="17" width="15.26953125" style="11" customWidth="1"/>
    <col min="18" max="18" width="20.26953125" style="11" customWidth="1"/>
    <col min="19" max="42" width="10.7265625" style="11" customWidth="1"/>
    <col min="43" max="50" width="10.7265625" style="12" customWidth="1"/>
    <col min="51" max="106" width="10.7265625" style="1" customWidth="1"/>
    <col min="107" max="189" width="10.7265625" style="10" hidden="1" customWidth="1"/>
    <col min="190" max="193" width="10.7265625" style="10" customWidth="1"/>
    <col min="194" max="194" width="10.36328125" style="10" customWidth="1"/>
    <col min="195" max="16384" width="9.26953125" style="10"/>
  </cols>
  <sheetData>
    <row r="1" spans="2:106" x14ac:dyDescent="0.3">
      <c r="C1" s="430" t="s">
        <v>0</v>
      </c>
    </row>
    <row r="2" spans="2:106" x14ac:dyDescent="0.3">
      <c r="B2" s="9" t="s">
        <v>1</v>
      </c>
    </row>
    <row r="3" spans="2:106" x14ac:dyDescent="0.3">
      <c r="B3" s="84" t="s">
        <v>2</v>
      </c>
      <c r="C3" s="477"/>
      <c r="D3" s="478"/>
      <c r="E3" s="478"/>
      <c r="F3" s="478"/>
      <c r="G3" s="479"/>
    </row>
    <row r="4" spans="2:106" x14ac:dyDescent="0.3">
      <c r="B4" s="85"/>
      <c r="C4" s="86"/>
      <c r="D4" s="7"/>
      <c r="E4" s="7"/>
      <c r="F4" s="7"/>
      <c r="G4" s="87"/>
      <c r="L4" s="9" t="s">
        <v>3</v>
      </c>
      <c r="M4" s="9" t="s">
        <v>3</v>
      </c>
      <c r="N4" s="9" t="s">
        <v>4</v>
      </c>
      <c r="O4" s="9" t="s">
        <v>4</v>
      </c>
      <c r="P4" s="9" t="s">
        <v>5</v>
      </c>
      <c r="R4" s="150" t="s">
        <v>6</v>
      </c>
      <c r="S4" s="150" t="s">
        <v>7</v>
      </c>
      <c r="T4" s="150" t="s">
        <v>8</v>
      </c>
      <c r="V4" s="150" t="s">
        <v>9</v>
      </c>
    </row>
    <row r="5" spans="2:106" ht="28" x14ac:dyDescent="0.3">
      <c r="B5" s="88" t="s">
        <v>10</v>
      </c>
      <c r="C5" s="86"/>
      <c r="D5" s="7"/>
      <c r="E5" s="7"/>
      <c r="F5" s="7"/>
      <c r="G5" s="87"/>
      <c r="L5" s="15" t="s">
        <v>11</v>
      </c>
      <c r="M5" s="15" t="s">
        <v>12</v>
      </c>
      <c r="N5" s="15" t="s">
        <v>13</v>
      </c>
      <c r="O5" s="15" t="s">
        <v>14</v>
      </c>
      <c r="P5" s="18"/>
      <c r="Q5" s="16"/>
      <c r="R5" s="15" t="s">
        <v>14</v>
      </c>
      <c r="S5" s="125" t="s">
        <v>15</v>
      </c>
      <c r="V5" s="126">
        <v>4</v>
      </c>
    </row>
    <row r="6" spans="2:106" x14ac:dyDescent="0.3">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60" t="s">
        <v>19</v>
      </c>
      <c r="S6" s="125" t="s">
        <v>20</v>
      </c>
      <c r="V6" s="126">
        <v>5</v>
      </c>
    </row>
    <row r="7" spans="2:106" x14ac:dyDescent="0.3">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60" t="s">
        <v>23</v>
      </c>
      <c r="S7" s="221"/>
      <c r="V7" s="126">
        <v>6</v>
      </c>
    </row>
    <row r="8" spans="2:106" ht="19.5" customHeight="1" x14ac:dyDescent="0.3">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x14ac:dyDescent="0.35">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5" x14ac:dyDescent="0.35">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x14ac:dyDescent="0.3">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x14ac:dyDescent="0.3">
      <c r="B12" s="14"/>
      <c r="D12" s="165" t="s">
        <v>37</v>
      </c>
      <c r="E12" s="165"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25" customHeight="1" x14ac:dyDescent="0.3">
      <c r="B13" s="166" t="s">
        <v>41</v>
      </c>
      <c r="C13" s="166" t="s">
        <v>42</v>
      </c>
      <c r="D13" s="25" t="s">
        <v>43</v>
      </c>
      <c r="E13" s="25" t="s">
        <v>44</v>
      </c>
      <c r="F13" s="166"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7"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x14ac:dyDescent="0.3">
      <c r="B15" s="167"/>
      <c r="C15" s="19"/>
      <c r="D15" s="83"/>
      <c r="E15" s="83"/>
      <c r="F15" s="19"/>
      <c r="L15" s="20"/>
      <c r="M15" s="20"/>
      <c r="N15" s="20"/>
      <c r="O15" s="20"/>
      <c r="P15" s="20"/>
      <c r="V15" s="126" t="s">
        <v>51</v>
      </c>
    </row>
    <row r="16" spans="2:106" x14ac:dyDescent="0.3">
      <c r="B16" s="168" t="s">
        <v>52</v>
      </c>
      <c r="C16" s="169">
        <f>IF(C15&gt;0,C14,C15)</f>
        <v>0</v>
      </c>
      <c r="D16" s="169">
        <f>IF(D15&gt;0,D14,D15)</f>
        <v>0</v>
      </c>
      <c r="E16" s="169">
        <f>IF(E15&gt;0,E14,E15)</f>
        <v>0</v>
      </c>
      <c r="F16" s="169">
        <f>SUM(F15)</f>
        <v>0</v>
      </c>
      <c r="L16" s="21"/>
      <c r="M16" s="21"/>
      <c r="P16" s="220">
        <f>COUNTIF(P6:P14, TRUE)</f>
        <v>9</v>
      </c>
    </row>
    <row r="17" spans="1:194" ht="17.5" x14ac:dyDescent="0.35">
      <c r="G17" s="10">
        <f>F25/(F25+F26+F27+H17)</f>
        <v>0.84438856298853859</v>
      </c>
      <c r="H17" s="759">
        <v>5546900</v>
      </c>
      <c r="Q17" s="22"/>
      <c r="R17" s="22"/>
    </row>
    <row r="18" spans="1:194" ht="45.65" customHeight="1" x14ac:dyDescent="0.3">
      <c r="B18" s="82"/>
      <c r="C18" s="130"/>
      <c r="D18" s="25" t="s">
        <v>37</v>
      </c>
      <c r="E18" s="25" t="s">
        <v>37</v>
      </c>
      <c r="F18" s="82"/>
      <c r="I18" s="82"/>
      <c r="J18" s="82"/>
      <c r="K18" s="23"/>
      <c r="N18" s="23"/>
    </row>
    <row r="19" spans="1:194" ht="23.15" customHeight="1" x14ac:dyDescent="0.3">
      <c r="D19" s="170">
        <v>2</v>
      </c>
      <c r="E19" s="170">
        <v>3</v>
      </c>
      <c r="F19" s="170">
        <v>4</v>
      </c>
      <c r="G19" s="170">
        <v>5</v>
      </c>
      <c r="H19" s="170">
        <v>6</v>
      </c>
      <c r="K19" s="23"/>
    </row>
    <row r="20" spans="1:194" s="1" customFormat="1" ht="48" customHeight="1" x14ac:dyDescent="0.3">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1"/>
      <c r="CZ20" s="482" t="s">
        <v>59</v>
      </c>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c r="EY20" s="482"/>
      <c r="EZ20" s="482"/>
      <c r="FA20" s="482"/>
      <c r="FB20" s="482"/>
      <c r="FC20" s="482"/>
      <c r="FD20" s="482"/>
      <c r="FE20" s="482"/>
      <c r="FF20" s="482"/>
      <c r="FG20" s="482"/>
      <c r="FH20" s="482"/>
      <c r="FI20" s="482"/>
      <c r="FJ20" s="482"/>
      <c r="FK20" s="482"/>
      <c r="FL20" s="482"/>
      <c r="FM20" s="482"/>
      <c r="FN20" s="482"/>
      <c r="FO20" s="482"/>
      <c r="FP20" s="482"/>
      <c r="FQ20" s="482"/>
      <c r="FR20" s="482"/>
      <c r="FS20" s="482"/>
      <c r="FT20" s="482"/>
      <c r="FU20" s="482"/>
      <c r="FV20" s="482"/>
      <c r="FW20" s="482"/>
      <c r="FX20" s="482"/>
      <c r="FY20" s="482"/>
      <c r="FZ20" s="482"/>
      <c r="GA20" s="482"/>
      <c r="GB20" s="482"/>
      <c r="GC20" s="482"/>
      <c r="GD20" s="482"/>
      <c r="GE20" s="482"/>
      <c r="GF20" s="482"/>
      <c r="GG20" s="482"/>
      <c r="GH20" s="482"/>
      <c r="GI20" s="482"/>
      <c r="GJ20" s="482"/>
      <c r="GK20" s="482"/>
      <c r="GL20" s="483"/>
    </row>
    <row r="21" spans="1:194" s="8" customFormat="1" ht="28" x14ac:dyDescent="0.3">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3">
      <c r="A22" s="29"/>
      <c r="B22" s="68"/>
      <c r="C22" s="484"/>
      <c r="D22" s="485"/>
      <c r="E22" s="485"/>
      <c r="F22" s="486"/>
      <c r="G22" s="486"/>
      <c r="H22" s="485"/>
      <c r="I22" s="485"/>
      <c r="J22" s="485"/>
      <c r="K22" s="486"/>
      <c r="L22" s="485"/>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O22" s="486"/>
      <c r="AP22" s="486"/>
      <c r="AQ22" s="486"/>
      <c r="AR22" s="486"/>
      <c r="AS22" s="486"/>
      <c r="AT22" s="486"/>
      <c r="AU22" s="486"/>
      <c r="AV22" s="486"/>
      <c r="AW22" s="486"/>
      <c r="AX22" s="486"/>
      <c r="AY22" s="486"/>
      <c r="AZ22" s="486"/>
      <c r="BA22" s="486"/>
      <c r="BB22" s="486"/>
      <c r="BC22" s="486"/>
      <c r="BD22" s="486"/>
      <c r="BE22" s="486"/>
      <c r="BF22" s="486"/>
      <c r="BG22" s="486"/>
      <c r="BH22" s="486"/>
      <c r="BI22" s="486"/>
      <c r="BJ22" s="486"/>
      <c r="BK22" s="486"/>
      <c r="BL22" s="486"/>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6"/>
      <c r="CY22" s="485"/>
      <c r="CZ22" s="486"/>
      <c r="DA22" s="486"/>
      <c r="DB22" s="486"/>
      <c r="DC22" s="486"/>
      <c r="DD22" s="486"/>
      <c r="DE22" s="486"/>
      <c r="DF22" s="486"/>
      <c r="DG22" s="486"/>
      <c r="DH22" s="486"/>
      <c r="DI22" s="486"/>
      <c r="DJ22" s="486"/>
      <c r="DK22" s="486"/>
      <c r="DL22" s="486"/>
      <c r="DM22" s="486"/>
      <c r="DN22" s="486"/>
      <c r="DO22" s="486"/>
      <c r="DP22" s="486"/>
      <c r="DQ22" s="486"/>
      <c r="DR22" s="486"/>
      <c r="DS22" s="486"/>
      <c r="DT22" s="486"/>
      <c r="DU22" s="486"/>
      <c r="DV22" s="486"/>
      <c r="DW22" s="486"/>
      <c r="DX22" s="486"/>
      <c r="DY22" s="486"/>
      <c r="DZ22" s="486"/>
      <c r="EA22" s="486"/>
      <c r="EB22" s="486"/>
      <c r="EC22" s="486"/>
      <c r="ED22" s="486"/>
      <c r="EE22" s="486"/>
      <c r="EF22" s="486"/>
      <c r="EG22" s="486"/>
      <c r="EH22" s="486"/>
      <c r="EI22" s="486"/>
      <c r="EJ22" s="486"/>
      <c r="EK22" s="486"/>
      <c r="EL22" s="486"/>
      <c r="EM22" s="486"/>
      <c r="EN22" s="486"/>
      <c r="EO22" s="486"/>
      <c r="EP22" s="486"/>
      <c r="EQ22" s="486"/>
      <c r="ER22" s="486"/>
      <c r="ES22" s="486"/>
      <c r="ET22" s="486"/>
      <c r="EU22" s="486"/>
      <c r="EV22" s="486"/>
      <c r="EW22" s="486"/>
      <c r="EX22" s="486"/>
      <c r="EY22" s="486"/>
      <c r="EZ22" s="486"/>
      <c r="FA22" s="486"/>
      <c r="FB22" s="486"/>
      <c r="FC22" s="486"/>
      <c r="FD22" s="486"/>
      <c r="FE22" s="486"/>
      <c r="FF22" s="486"/>
      <c r="FG22" s="486"/>
      <c r="FH22" s="486"/>
      <c r="FI22" s="486"/>
      <c r="FJ22" s="486"/>
      <c r="FK22" s="486"/>
      <c r="FL22" s="486"/>
      <c r="FM22" s="486"/>
      <c r="FN22" s="486"/>
      <c r="FO22" s="486"/>
      <c r="FP22" s="486"/>
      <c r="FQ22" s="486"/>
      <c r="FR22" s="486"/>
      <c r="FS22" s="486"/>
      <c r="FT22" s="486"/>
      <c r="FU22" s="486"/>
      <c r="FV22" s="486"/>
      <c r="FW22" s="486"/>
      <c r="FX22" s="486"/>
      <c r="FY22" s="486"/>
      <c r="FZ22" s="486"/>
      <c r="GA22" s="486"/>
      <c r="GB22" s="486"/>
      <c r="GC22" s="486"/>
      <c r="GD22" s="486"/>
      <c r="GE22" s="486"/>
      <c r="GF22" s="486"/>
      <c r="GG22" s="486"/>
      <c r="GH22" s="486"/>
      <c r="GI22" s="486"/>
      <c r="GJ22" s="486"/>
      <c r="GK22" s="486"/>
      <c r="GL22" s="485"/>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70" t="s">
        <v>62</v>
      </c>
      <c r="C25" s="487" t="s">
        <v>63</v>
      </c>
      <c r="D25" s="488">
        <f t="shared" ref="D25:E27" si="3">I25</f>
        <v>22137472</v>
      </c>
      <c r="E25" s="488">
        <f t="shared" si="3"/>
        <v>23554205</v>
      </c>
      <c r="F25" s="489">
        <f>G25+H25</f>
        <v>57690323</v>
      </c>
      <c r="G25" s="489">
        <f>SUM(M25:CY25)</f>
        <v>28283074</v>
      </c>
      <c r="H25" s="490">
        <f>SUM(CZ25:GL25)</f>
        <v>29407249</v>
      </c>
      <c r="I25" s="490">
        <f>SUM(AE25:CY25)</f>
        <v>22137472</v>
      </c>
      <c r="J25" s="490">
        <f>SUM(DR25:GL25)</f>
        <v>23554205</v>
      </c>
      <c r="K25" s="491">
        <f>SUM(M25:AD25)</f>
        <v>6145602</v>
      </c>
      <c r="L25" s="488">
        <f>SUM(CZ25:DQ25)</f>
        <v>5853044</v>
      </c>
      <c r="M25" s="489">
        <v>293933</v>
      </c>
      <c r="N25" s="489">
        <v>312995</v>
      </c>
      <c r="O25" s="489">
        <v>311501</v>
      </c>
      <c r="P25" s="489">
        <v>322067</v>
      </c>
      <c r="Q25" s="489">
        <v>328129</v>
      </c>
      <c r="R25" s="489">
        <v>331735</v>
      </c>
      <c r="S25" s="489">
        <v>339328</v>
      </c>
      <c r="T25" s="489">
        <v>348942</v>
      </c>
      <c r="U25" s="489">
        <v>345591</v>
      </c>
      <c r="V25" s="489">
        <v>347329</v>
      </c>
      <c r="W25" s="489">
        <v>356650</v>
      </c>
      <c r="X25" s="489">
        <v>365469</v>
      </c>
      <c r="Y25" s="489">
        <v>366063</v>
      </c>
      <c r="Z25" s="489">
        <v>360895</v>
      </c>
      <c r="AA25" s="489">
        <v>358117</v>
      </c>
      <c r="AB25" s="489">
        <v>361691</v>
      </c>
      <c r="AC25" s="489">
        <v>349931</v>
      </c>
      <c r="AD25" s="489">
        <v>345236</v>
      </c>
      <c r="AE25" s="489">
        <v>346661</v>
      </c>
      <c r="AF25" s="489">
        <v>349313</v>
      </c>
      <c r="AG25" s="489">
        <v>347749</v>
      </c>
      <c r="AH25" s="489">
        <v>345536</v>
      </c>
      <c r="AI25" s="489">
        <v>345643</v>
      </c>
      <c r="AJ25" s="489">
        <v>355934</v>
      </c>
      <c r="AK25" s="489">
        <v>368759</v>
      </c>
      <c r="AL25" s="489">
        <v>370911</v>
      </c>
      <c r="AM25" s="489">
        <v>376733</v>
      </c>
      <c r="AN25" s="489">
        <v>370426</v>
      </c>
      <c r="AO25" s="489">
        <v>373327</v>
      </c>
      <c r="AP25" s="489">
        <v>380776</v>
      </c>
      <c r="AQ25" s="489">
        <v>380078</v>
      </c>
      <c r="AR25" s="489">
        <v>390686</v>
      </c>
      <c r="AS25" s="489">
        <v>395074</v>
      </c>
      <c r="AT25" s="489">
        <v>392740</v>
      </c>
      <c r="AU25" s="489">
        <v>389629</v>
      </c>
      <c r="AV25" s="489">
        <v>392507</v>
      </c>
      <c r="AW25" s="489">
        <v>383002</v>
      </c>
      <c r="AX25" s="489">
        <v>382093</v>
      </c>
      <c r="AY25" s="489">
        <v>380825</v>
      </c>
      <c r="AZ25" s="489">
        <v>368755</v>
      </c>
      <c r="BA25" s="489">
        <v>368886</v>
      </c>
      <c r="BB25" s="489">
        <v>368552</v>
      </c>
      <c r="BC25" s="489">
        <v>371001</v>
      </c>
      <c r="BD25" s="489">
        <v>373542</v>
      </c>
      <c r="BE25" s="489">
        <v>358913</v>
      </c>
      <c r="BF25" s="489">
        <v>335009</v>
      </c>
      <c r="BG25" s="489">
        <v>329186</v>
      </c>
      <c r="BH25" s="489">
        <v>336077</v>
      </c>
      <c r="BI25" s="489">
        <v>342724</v>
      </c>
      <c r="BJ25" s="489">
        <v>346555</v>
      </c>
      <c r="BK25" s="489">
        <v>359694</v>
      </c>
      <c r="BL25" s="489">
        <v>372431</v>
      </c>
      <c r="BM25" s="489">
        <v>383893</v>
      </c>
      <c r="BN25" s="489">
        <v>374199</v>
      </c>
      <c r="BO25" s="489">
        <v>382036</v>
      </c>
      <c r="BP25" s="489">
        <v>380548</v>
      </c>
      <c r="BQ25" s="489">
        <v>383158</v>
      </c>
      <c r="BR25" s="489">
        <v>379113</v>
      </c>
      <c r="BS25" s="489">
        <v>379303</v>
      </c>
      <c r="BT25" s="489">
        <v>373318</v>
      </c>
      <c r="BU25" s="489">
        <v>363989</v>
      </c>
      <c r="BV25" s="489">
        <v>354500</v>
      </c>
      <c r="BW25" s="489">
        <v>341604</v>
      </c>
      <c r="BX25" s="489">
        <v>326378</v>
      </c>
      <c r="BY25" s="489">
        <v>315915</v>
      </c>
      <c r="BZ25" s="489">
        <v>305908</v>
      </c>
      <c r="CA25" s="489">
        <v>290478</v>
      </c>
      <c r="CB25" s="489">
        <v>278154</v>
      </c>
      <c r="CC25" s="489">
        <v>264200</v>
      </c>
      <c r="CD25" s="489">
        <v>261871</v>
      </c>
      <c r="CE25" s="489">
        <v>255543</v>
      </c>
      <c r="CF25" s="489">
        <v>244170</v>
      </c>
      <c r="CG25" s="489">
        <v>243498</v>
      </c>
      <c r="CH25" s="489">
        <v>242922</v>
      </c>
      <c r="CI25" s="489">
        <v>246267</v>
      </c>
      <c r="CJ25" s="489">
        <v>255937</v>
      </c>
      <c r="CK25" s="489">
        <v>273876</v>
      </c>
      <c r="CL25" s="489">
        <v>203760</v>
      </c>
      <c r="CM25" s="489">
        <v>192397</v>
      </c>
      <c r="CN25" s="489">
        <v>186010</v>
      </c>
      <c r="CO25" s="489">
        <v>165062</v>
      </c>
      <c r="CP25" s="489">
        <v>140882</v>
      </c>
      <c r="CQ25" s="489">
        <v>119224</v>
      </c>
      <c r="CR25" s="489">
        <v>117844</v>
      </c>
      <c r="CS25" s="489">
        <v>110353</v>
      </c>
      <c r="CT25" s="489">
        <v>99978</v>
      </c>
      <c r="CU25" s="489">
        <v>87281</v>
      </c>
      <c r="CV25" s="489">
        <v>74936</v>
      </c>
      <c r="CW25" s="489">
        <v>63762</v>
      </c>
      <c r="CX25" s="489">
        <v>52022</v>
      </c>
      <c r="CY25" s="489">
        <v>173456</v>
      </c>
      <c r="CZ25" s="489">
        <v>279167</v>
      </c>
      <c r="DA25" s="489">
        <v>298988</v>
      </c>
      <c r="DB25" s="489">
        <v>297423</v>
      </c>
      <c r="DC25" s="489">
        <v>307905</v>
      </c>
      <c r="DD25" s="489">
        <v>312529</v>
      </c>
      <c r="DE25" s="489">
        <v>316813</v>
      </c>
      <c r="DF25" s="489">
        <v>324426</v>
      </c>
      <c r="DG25" s="489">
        <v>332617</v>
      </c>
      <c r="DH25" s="489">
        <v>330045</v>
      </c>
      <c r="DI25" s="489">
        <v>331941</v>
      </c>
      <c r="DJ25" s="489">
        <v>339519</v>
      </c>
      <c r="DK25" s="489">
        <v>348893</v>
      </c>
      <c r="DL25" s="489">
        <v>348165</v>
      </c>
      <c r="DM25" s="489">
        <v>343885</v>
      </c>
      <c r="DN25" s="489">
        <v>341284</v>
      </c>
      <c r="DO25" s="489">
        <v>344315</v>
      </c>
      <c r="DP25" s="489">
        <v>330622</v>
      </c>
      <c r="DQ25" s="489">
        <v>324507</v>
      </c>
      <c r="DR25" s="489">
        <v>324547</v>
      </c>
      <c r="DS25" s="489">
        <v>328240</v>
      </c>
      <c r="DT25" s="489">
        <v>325534</v>
      </c>
      <c r="DU25" s="489">
        <v>329081</v>
      </c>
      <c r="DV25" s="489">
        <v>331235</v>
      </c>
      <c r="DW25" s="489">
        <v>345013</v>
      </c>
      <c r="DX25" s="489">
        <v>361888</v>
      </c>
      <c r="DY25" s="489">
        <v>369890</v>
      </c>
      <c r="DZ25" s="489">
        <v>379188</v>
      </c>
      <c r="EA25" s="489">
        <v>375004</v>
      </c>
      <c r="EB25" s="489">
        <v>384557</v>
      </c>
      <c r="EC25" s="489">
        <v>397037</v>
      </c>
      <c r="ED25" s="489">
        <v>399178</v>
      </c>
      <c r="EE25" s="489">
        <v>412384</v>
      </c>
      <c r="EF25" s="489">
        <v>417512</v>
      </c>
      <c r="EG25" s="489">
        <v>419044</v>
      </c>
      <c r="EH25" s="489">
        <v>417098</v>
      </c>
      <c r="EI25" s="489">
        <v>422891</v>
      </c>
      <c r="EJ25" s="489">
        <v>413850</v>
      </c>
      <c r="EK25" s="489">
        <v>408208</v>
      </c>
      <c r="EL25" s="489">
        <v>405771</v>
      </c>
      <c r="EM25" s="489">
        <v>392998</v>
      </c>
      <c r="EN25" s="489">
        <v>392640</v>
      </c>
      <c r="EO25" s="489">
        <v>389013</v>
      </c>
      <c r="EP25" s="489">
        <v>392804</v>
      </c>
      <c r="EQ25" s="489">
        <v>392829</v>
      </c>
      <c r="ER25" s="489">
        <v>375222</v>
      </c>
      <c r="ES25" s="489">
        <v>347593</v>
      </c>
      <c r="ET25" s="489">
        <v>340244</v>
      </c>
      <c r="EU25" s="489">
        <v>346591</v>
      </c>
      <c r="EV25" s="489">
        <v>353283</v>
      </c>
      <c r="EW25" s="489">
        <v>357012</v>
      </c>
      <c r="EX25" s="489">
        <v>369968</v>
      </c>
      <c r="EY25" s="489">
        <v>383711</v>
      </c>
      <c r="EZ25" s="489">
        <v>398952</v>
      </c>
      <c r="FA25" s="489">
        <v>388155</v>
      </c>
      <c r="FB25" s="489">
        <v>395977</v>
      </c>
      <c r="FC25" s="489">
        <v>394307</v>
      </c>
      <c r="FD25" s="489">
        <v>395319</v>
      </c>
      <c r="FE25" s="489">
        <v>395085</v>
      </c>
      <c r="FF25" s="489">
        <v>394913</v>
      </c>
      <c r="FG25" s="489">
        <v>388786</v>
      </c>
      <c r="FH25" s="489">
        <v>378799</v>
      </c>
      <c r="FI25" s="489">
        <v>369231</v>
      </c>
      <c r="FJ25" s="489">
        <v>353273</v>
      </c>
      <c r="FK25" s="489">
        <v>338179</v>
      </c>
      <c r="FL25" s="489">
        <v>328875</v>
      </c>
      <c r="FM25" s="489">
        <v>318729</v>
      </c>
      <c r="FN25" s="489">
        <v>305975</v>
      </c>
      <c r="FO25" s="489">
        <v>293096</v>
      </c>
      <c r="FP25" s="489">
        <v>282116</v>
      </c>
      <c r="FQ25" s="489">
        <v>282344</v>
      </c>
      <c r="FR25" s="489">
        <v>275725</v>
      </c>
      <c r="FS25" s="489">
        <v>267981</v>
      </c>
      <c r="FT25" s="489">
        <v>267569</v>
      </c>
      <c r="FU25" s="489">
        <v>271143</v>
      </c>
      <c r="FV25" s="489">
        <v>275176</v>
      </c>
      <c r="FW25" s="489">
        <v>289150</v>
      </c>
      <c r="FX25" s="489">
        <v>309463</v>
      </c>
      <c r="FY25" s="489">
        <v>234189</v>
      </c>
      <c r="FZ25" s="489">
        <v>223653</v>
      </c>
      <c r="GA25" s="489">
        <v>218690</v>
      </c>
      <c r="GB25" s="489">
        <v>198932</v>
      </c>
      <c r="GC25" s="489">
        <v>173919</v>
      </c>
      <c r="GD25" s="489">
        <v>151373</v>
      </c>
      <c r="GE25" s="489">
        <v>152822</v>
      </c>
      <c r="GF25" s="489">
        <v>146074</v>
      </c>
      <c r="GG25" s="489">
        <v>135895</v>
      </c>
      <c r="GH25" s="489">
        <v>122383</v>
      </c>
      <c r="GI25" s="489">
        <v>109600</v>
      </c>
      <c r="GJ25" s="489">
        <v>96854</v>
      </c>
      <c r="GK25" s="489">
        <v>82610</v>
      </c>
      <c r="GL25" s="489">
        <v>347835</v>
      </c>
    </row>
    <row r="26" spans="1:194" s="8" customFormat="1" x14ac:dyDescent="0.3">
      <c r="A26" s="31" t="s">
        <v>21</v>
      </c>
      <c r="B26" s="271"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272"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27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48</v>
      </c>
      <c r="B29" s="274" t="s">
        <v>68</v>
      </c>
      <c r="C29" s="68" t="str">
        <f t="shared" ref="C29:C43" si="4">CONCATENATE(A29," - ",B29)</f>
        <v>England – PCNs - 3 CENTRES PCN</v>
      </c>
      <c r="D29" s="492">
        <f>I29</f>
        <v>14772</v>
      </c>
      <c r="E29" s="492">
        <f>J29</f>
        <v>15689</v>
      </c>
      <c r="F29" s="493">
        <f>G29+H29</f>
        <v>39727</v>
      </c>
      <c r="G29" s="493">
        <f>SUM(M29:CY29)</f>
        <v>19549</v>
      </c>
      <c r="H29" s="494">
        <f>SUM(CZ29:GL29)</f>
        <v>20178</v>
      </c>
      <c r="I29" s="494">
        <f>SUM(AE29:CY29)</f>
        <v>14772</v>
      </c>
      <c r="J29" s="494">
        <f>SUM(DR29:GL29)</f>
        <v>15689</v>
      </c>
      <c r="K29" s="495">
        <f>SUM(M29:AD29)</f>
        <v>4777</v>
      </c>
      <c r="L29" s="492">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48</v>
      </c>
      <c r="B30" s="274"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48</v>
      </c>
      <c r="B31" s="274"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48</v>
      </c>
      <c r="B32" s="274"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48</v>
      </c>
      <c r="B33" s="274"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48</v>
      </c>
      <c r="B34" s="274"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48</v>
      </c>
      <c r="B35" s="274"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48</v>
      </c>
      <c r="B36" s="274"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48</v>
      </c>
      <c r="B37" s="274"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48</v>
      </c>
      <c r="B38" s="274"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48</v>
      </c>
      <c r="B39" s="274"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48</v>
      </c>
      <c r="B40" s="274"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48</v>
      </c>
      <c r="B41" s="274"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48</v>
      </c>
      <c r="B42" s="274"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48</v>
      </c>
      <c r="B43" s="274"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48</v>
      </c>
      <c r="B44" s="274"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48</v>
      </c>
      <c r="B45" s="274"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48</v>
      </c>
      <c r="B46" s="274"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48</v>
      </c>
      <c r="B47" s="274"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48</v>
      </c>
      <c r="B48" s="274"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48</v>
      </c>
      <c r="B49" s="274"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48</v>
      </c>
      <c r="B50" s="274"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48</v>
      </c>
      <c r="B51" s="274"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48</v>
      </c>
      <c r="B52" s="274"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48</v>
      </c>
      <c r="B53" s="274"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48</v>
      </c>
      <c r="B54" s="274"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48</v>
      </c>
      <c r="B55" s="274"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48</v>
      </c>
      <c r="B56" s="274"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48</v>
      </c>
      <c r="B57" s="274"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48</v>
      </c>
      <c r="B58" s="274"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48</v>
      </c>
      <c r="B59" s="274"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48</v>
      </c>
      <c r="B60" s="274"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48</v>
      </c>
      <c r="B61" s="274"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48</v>
      </c>
      <c r="B62" s="274"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48</v>
      </c>
      <c r="B63" s="274"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48</v>
      </c>
      <c r="B64" s="274"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48</v>
      </c>
      <c r="B65" s="274"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48</v>
      </c>
      <c r="B66" s="274"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48</v>
      </c>
      <c r="B67" s="274"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48</v>
      </c>
      <c r="B68" s="274"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48</v>
      </c>
      <c r="B69" s="274"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48</v>
      </c>
      <c r="B70" s="274"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48</v>
      </c>
      <c r="B71" s="274"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48</v>
      </c>
      <c r="B72" s="274"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48</v>
      </c>
      <c r="B73" s="274"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48</v>
      </c>
      <c r="B74" s="274"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48</v>
      </c>
      <c r="B75" s="274"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48</v>
      </c>
      <c r="B76" s="274"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48</v>
      </c>
      <c r="B77" s="274"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48</v>
      </c>
      <c r="B78" s="274"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48</v>
      </c>
      <c r="B79" s="274"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48</v>
      </c>
      <c r="B80" s="274"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48</v>
      </c>
      <c r="B81" s="274"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48</v>
      </c>
      <c r="B82" s="274"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48</v>
      </c>
      <c r="B83" s="274"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48</v>
      </c>
      <c r="B84" s="274"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48</v>
      </c>
      <c r="B85" s="274"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48</v>
      </c>
      <c r="B86" s="274"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48</v>
      </c>
      <c r="B87" s="274"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48</v>
      </c>
      <c r="B88" s="274"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48</v>
      </c>
      <c r="B89" s="274"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48</v>
      </c>
      <c r="B90" s="274"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48</v>
      </c>
      <c r="B91" s="274"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48</v>
      </c>
      <c r="B92" s="274"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48</v>
      </c>
      <c r="B93" s="274"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48</v>
      </c>
      <c r="B94" s="274"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48</v>
      </c>
      <c r="B95" s="274"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48</v>
      </c>
      <c r="B96" s="274"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48</v>
      </c>
      <c r="B97" s="274"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48</v>
      </c>
      <c r="B98" s="274"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48</v>
      </c>
      <c r="B99" s="274"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48</v>
      </c>
      <c r="B100" s="274"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48</v>
      </c>
      <c r="B101" s="274"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48</v>
      </c>
      <c r="B102" s="274"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48</v>
      </c>
      <c r="B103" s="274"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48</v>
      </c>
      <c r="B104" s="274"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48</v>
      </c>
      <c r="B105" s="274"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48</v>
      </c>
      <c r="B106" s="274"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48</v>
      </c>
      <c r="B107" s="274"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48</v>
      </c>
      <c r="B108" s="274"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48</v>
      </c>
      <c r="B109" s="274"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48</v>
      </c>
      <c r="B110" s="274"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48</v>
      </c>
      <c r="B111" s="274"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48</v>
      </c>
      <c r="B112" s="274"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48</v>
      </c>
      <c r="B113" s="274"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48</v>
      </c>
      <c r="B114" s="274"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48</v>
      </c>
      <c r="B115" s="274"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48</v>
      </c>
      <c r="B116" s="274"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48</v>
      </c>
      <c r="B117" s="274"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48</v>
      </c>
      <c r="B118" s="274"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48</v>
      </c>
      <c r="B119" s="274"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48</v>
      </c>
      <c r="B120" s="274"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48</v>
      </c>
      <c r="B121" s="274"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48</v>
      </c>
      <c r="B122" s="274"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48</v>
      </c>
      <c r="B123" s="274"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48</v>
      </c>
      <c r="B124" s="274"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48</v>
      </c>
      <c r="B125" s="274"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48</v>
      </c>
      <c r="B126" s="274"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48</v>
      </c>
      <c r="B127" s="274"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48</v>
      </c>
      <c r="B128" s="274"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48</v>
      </c>
      <c r="B129" s="274"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48</v>
      </c>
      <c r="B130" s="274"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48</v>
      </c>
      <c r="B131" s="274"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48</v>
      </c>
      <c r="B132" s="274"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48</v>
      </c>
      <c r="B133" s="274"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48</v>
      </c>
      <c r="B134" s="274"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48</v>
      </c>
      <c r="B135" s="274"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48</v>
      </c>
      <c r="B136" s="274"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48</v>
      </c>
      <c r="B137" s="274"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48</v>
      </c>
      <c r="B138" s="274"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48</v>
      </c>
      <c r="B139" s="274"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48</v>
      </c>
      <c r="B140" s="274"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48</v>
      </c>
      <c r="B141" s="274"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48</v>
      </c>
      <c r="B142" s="274"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48</v>
      </c>
      <c r="B143" s="274"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48</v>
      </c>
      <c r="B144" s="274"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48</v>
      </c>
      <c r="B145" s="274"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48</v>
      </c>
      <c r="B146" s="274"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48</v>
      </c>
      <c r="B147" s="274"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48</v>
      </c>
      <c r="B148" s="274"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48</v>
      </c>
      <c r="B149" s="274"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48</v>
      </c>
      <c r="B150" s="274"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48</v>
      </c>
      <c r="B151" s="274"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48</v>
      </c>
      <c r="B152" s="274"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48</v>
      </c>
      <c r="B153" s="274"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48</v>
      </c>
      <c r="B154" s="274"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48</v>
      </c>
      <c r="B155" s="274"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48</v>
      </c>
      <c r="B156" s="274"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48</v>
      </c>
      <c r="B157" s="274"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48</v>
      </c>
      <c r="B158" s="274"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48</v>
      </c>
      <c r="B159" s="274"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48</v>
      </c>
      <c r="B160" s="274"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48</v>
      </c>
      <c r="B161" s="274"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48</v>
      </c>
      <c r="B162" s="274"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48</v>
      </c>
      <c r="B163" s="274"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48</v>
      </c>
      <c r="B164" s="274"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48</v>
      </c>
      <c r="B165" s="274"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48</v>
      </c>
      <c r="B166" s="274"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48</v>
      </c>
      <c r="B167" s="274"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48</v>
      </c>
      <c r="B168" s="274"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48</v>
      </c>
      <c r="B169" s="274"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48</v>
      </c>
      <c r="B170" s="274"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48</v>
      </c>
      <c r="B171" s="274"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48</v>
      </c>
      <c r="B172" s="274"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48</v>
      </c>
      <c r="B173" s="274"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48</v>
      </c>
      <c r="B174" s="274"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48</v>
      </c>
      <c r="B175" s="274"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48</v>
      </c>
      <c r="B176" s="274"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48</v>
      </c>
      <c r="B177" s="274"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48</v>
      </c>
      <c r="B178" s="274"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48</v>
      </c>
      <c r="B179" s="274"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48</v>
      </c>
      <c r="B180" s="274"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48</v>
      </c>
      <c r="B181" s="274"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48</v>
      </c>
      <c r="B182" s="274"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48</v>
      </c>
      <c r="B183" s="274"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48</v>
      </c>
      <c r="B184" s="274"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48</v>
      </c>
      <c r="B185" s="274"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48</v>
      </c>
      <c r="B186" s="274"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48</v>
      </c>
      <c r="B187" s="274"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48</v>
      </c>
      <c r="B188" s="274"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48</v>
      </c>
      <c r="B189" s="274"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48</v>
      </c>
      <c r="B190" s="274"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48</v>
      </c>
      <c r="B191" s="274"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48</v>
      </c>
      <c r="B192" s="274"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48</v>
      </c>
      <c r="B193" s="274"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48</v>
      </c>
      <c r="B194" s="274"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48</v>
      </c>
      <c r="B195" s="274"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48</v>
      </c>
      <c r="B196" s="274"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48</v>
      </c>
      <c r="B197" s="274"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48</v>
      </c>
      <c r="B198" s="274"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48</v>
      </c>
      <c r="B199" s="274"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48</v>
      </c>
      <c r="B200" s="274"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48</v>
      </c>
      <c r="B201" s="274"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48</v>
      </c>
      <c r="B202" s="274"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48</v>
      </c>
      <c r="B203" s="274"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48</v>
      </c>
      <c r="B204" s="274"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48</v>
      </c>
      <c r="B205" s="274"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48</v>
      </c>
      <c r="B206" s="274"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48</v>
      </c>
      <c r="B207" s="274"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48</v>
      </c>
      <c r="B208" s="274"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48</v>
      </c>
      <c r="B209" s="274"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48</v>
      </c>
      <c r="B210" s="274"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48</v>
      </c>
      <c r="B211" s="274"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48</v>
      </c>
      <c r="B212" s="274"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48</v>
      </c>
      <c r="B213" s="274"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48</v>
      </c>
      <c r="B214" s="274"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48</v>
      </c>
      <c r="B215" s="274"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48</v>
      </c>
      <c r="B216" s="274"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48</v>
      </c>
      <c r="B217" s="274"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48</v>
      </c>
      <c r="B218" s="274"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48</v>
      </c>
      <c r="B219" s="274"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48</v>
      </c>
      <c r="B220" s="274"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48</v>
      </c>
      <c r="B221" s="274"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48</v>
      </c>
      <c r="B222" s="274"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48</v>
      </c>
      <c r="B223" s="274"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48</v>
      </c>
      <c r="B224" s="274"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48</v>
      </c>
      <c r="B225" s="274"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48</v>
      </c>
      <c r="B226" s="274"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48</v>
      </c>
      <c r="B227" s="274"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48</v>
      </c>
      <c r="B228" s="274"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48</v>
      </c>
      <c r="B229" s="274"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48</v>
      </c>
      <c r="B230" s="274"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48</v>
      </c>
      <c r="B231" s="274"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48</v>
      </c>
      <c r="B232" s="274"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48</v>
      </c>
      <c r="B233" s="274"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48</v>
      </c>
      <c r="B234" s="274"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48</v>
      </c>
      <c r="B235" s="274"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48</v>
      </c>
      <c r="B236" s="274"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48</v>
      </c>
      <c r="B237" s="274"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48</v>
      </c>
      <c r="B238" s="274"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48</v>
      </c>
      <c r="B239" s="274"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48</v>
      </c>
      <c r="B240" s="274"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48</v>
      </c>
      <c r="B241" s="274"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48</v>
      </c>
      <c r="B242" s="274"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48</v>
      </c>
      <c r="B243" s="274"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48</v>
      </c>
      <c r="B244" s="274"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48</v>
      </c>
      <c r="B245" s="274"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48</v>
      </c>
      <c r="B246" s="274"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48</v>
      </c>
      <c r="B247" s="274"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48</v>
      </c>
      <c r="B248" s="274"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48</v>
      </c>
      <c r="B249" s="274"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48</v>
      </c>
      <c r="B250" s="274"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48</v>
      </c>
      <c r="B251" s="274"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48</v>
      </c>
      <c r="B252" s="274"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48</v>
      </c>
      <c r="B253" s="274"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48</v>
      </c>
      <c r="B254" s="274"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48</v>
      </c>
      <c r="B255" s="274"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48</v>
      </c>
      <c r="B256" s="274"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48</v>
      </c>
      <c r="B257" s="274"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48</v>
      </c>
      <c r="B258" s="274"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48</v>
      </c>
      <c r="B259" s="274"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48</v>
      </c>
      <c r="B260" s="274"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48</v>
      </c>
      <c r="B261" s="274"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48</v>
      </c>
      <c r="B262" s="274"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48</v>
      </c>
      <c r="B263" s="274"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48</v>
      </c>
      <c r="B264" s="274"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48</v>
      </c>
      <c r="B265" s="274"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48</v>
      </c>
      <c r="B266" s="274"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48</v>
      </c>
      <c r="B267" s="274"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48</v>
      </c>
      <c r="B268" s="274"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48</v>
      </c>
      <c r="B269" s="274"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48</v>
      </c>
      <c r="B270" s="274"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48</v>
      </c>
      <c r="B271" s="274"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48</v>
      </c>
      <c r="B272" s="274"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48</v>
      </c>
      <c r="B273" s="274"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48</v>
      </c>
      <c r="B274" s="274"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48</v>
      </c>
      <c r="B275" s="274"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48</v>
      </c>
      <c r="B276" s="274"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48</v>
      </c>
      <c r="B277" s="274"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48</v>
      </c>
      <c r="B278" s="274"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48</v>
      </c>
      <c r="B279" s="274"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48</v>
      </c>
      <c r="B280" s="274"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48</v>
      </c>
      <c r="B281" s="274"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48</v>
      </c>
      <c r="B282" s="274"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48</v>
      </c>
      <c r="B283" s="274"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48</v>
      </c>
      <c r="B284" s="274"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48</v>
      </c>
      <c r="B285" s="274"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48</v>
      </c>
      <c r="B286" s="274"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48</v>
      </c>
      <c r="B287" s="274"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48</v>
      </c>
      <c r="B288" s="274"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48</v>
      </c>
      <c r="B289" s="274"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48</v>
      </c>
      <c r="B290" s="274"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48</v>
      </c>
      <c r="B291" s="274"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48</v>
      </c>
      <c r="B292" s="274"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48</v>
      </c>
      <c r="B293" s="274"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48</v>
      </c>
      <c r="B294" s="274"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48</v>
      </c>
      <c r="B295" s="274"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48</v>
      </c>
      <c r="B296" s="274"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48</v>
      </c>
      <c r="B297" s="274"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48</v>
      </c>
      <c r="B298" s="274"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48</v>
      </c>
      <c r="B299" s="274"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48</v>
      </c>
      <c r="B300" s="274"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48</v>
      </c>
      <c r="B301" s="274"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48</v>
      </c>
      <c r="B302" s="274"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48</v>
      </c>
      <c r="B303" s="274"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48</v>
      </c>
      <c r="B304" s="274"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48</v>
      </c>
      <c r="B305" s="274"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48</v>
      </c>
      <c r="B306" s="274"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48</v>
      </c>
      <c r="B307" s="274"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48</v>
      </c>
      <c r="B308" s="274"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48</v>
      </c>
      <c r="B309" s="274"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48</v>
      </c>
      <c r="B310" s="274"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48</v>
      </c>
      <c r="B311" s="274"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48</v>
      </c>
      <c r="B312" s="274"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48</v>
      </c>
      <c r="B313" s="274"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48</v>
      </c>
      <c r="B314" s="274"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48</v>
      </c>
      <c r="B315" s="274"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48</v>
      </c>
      <c r="B316" s="274"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48</v>
      </c>
      <c r="B317" s="274"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48</v>
      </c>
      <c r="B318" s="274"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48</v>
      </c>
      <c r="B319" s="274"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48</v>
      </c>
      <c r="B320" s="274"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48</v>
      </c>
      <c r="B321" s="274"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48</v>
      </c>
      <c r="B322" s="274"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48</v>
      </c>
      <c r="B323" s="274"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48</v>
      </c>
      <c r="B324" s="274"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48</v>
      </c>
      <c r="B325" s="274"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48</v>
      </c>
      <c r="B326" s="274"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48</v>
      </c>
      <c r="B327" s="274"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48</v>
      </c>
      <c r="B328" s="274"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48</v>
      </c>
      <c r="B329" s="274"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48</v>
      </c>
      <c r="B330" s="274"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48</v>
      </c>
      <c r="B331" s="274"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48</v>
      </c>
      <c r="B332" s="274"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48</v>
      </c>
      <c r="B333" s="274"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48</v>
      </c>
      <c r="B334" s="274"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48</v>
      </c>
      <c r="B335" s="274"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48</v>
      </c>
      <c r="B336" s="274"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48</v>
      </c>
      <c r="B337" s="274"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48</v>
      </c>
      <c r="B338" s="274"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48</v>
      </c>
      <c r="B339" s="274"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48</v>
      </c>
      <c r="B340" s="274"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48</v>
      </c>
      <c r="B341" s="274"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48</v>
      </c>
      <c r="B342" s="274"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48</v>
      </c>
      <c r="B343" s="274"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48</v>
      </c>
      <c r="B344" s="274"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48</v>
      </c>
      <c r="B345" s="274"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48</v>
      </c>
      <c r="B346" s="274"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48</v>
      </c>
      <c r="B347" s="274"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48</v>
      </c>
      <c r="B348" s="274"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48</v>
      </c>
      <c r="B349" s="274"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48</v>
      </c>
      <c r="B350" s="274"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48</v>
      </c>
      <c r="B351" s="274"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48</v>
      </c>
      <c r="B352" s="274"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48</v>
      </c>
      <c r="B353" s="274"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48</v>
      </c>
      <c r="B354" s="274"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48</v>
      </c>
      <c r="B355" s="274"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48</v>
      </c>
      <c r="B356" s="274"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48</v>
      </c>
      <c r="B357" s="274"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48</v>
      </c>
      <c r="B358" s="274"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48</v>
      </c>
      <c r="B359" s="274"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48</v>
      </c>
      <c r="B360" s="274"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48</v>
      </c>
      <c r="B361" s="274"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48</v>
      </c>
      <c r="B362" s="274"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48</v>
      </c>
      <c r="B363" s="274"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48</v>
      </c>
      <c r="B364" s="274"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48</v>
      </c>
      <c r="B365" s="274"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48</v>
      </c>
      <c r="B366" s="274"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48</v>
      </c>
      <c r="B367" s="274"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48</v>
      </c>
      <c r="B368" s="274"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48</v>
      </c>
      <c r="B369" s="274"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48</v>
      </c>
      <c r="B370" s="274"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48</v>
      </c>
      <c r="B371" s="274"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48</v>
      </c>
      <c r="B372" s="274"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48</v>
      </c>
      <c r="B373" s="274"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48</v>
      </c>
      <c r="B374" s="274"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48</v>
      </c>
      <c r="B375" s="274"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48</v>
      </c>
      <c r="B376" s="274"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48</v>
      </c>
      <c r="B377" s="274"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48</v>
      </c>
      <c r="B378" s="274"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48</v>
      </c>
      <c r="B379" s="274"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48</v>
      </c>
      <c r="B380" s="274"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48</v>
      </c>
      <c r="B381" s="274"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48</v>
      </c>
      <c r="B382" s="274"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48</v>
      </c>
      <c r="B383" s="274"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48</v>
      </c>
      <c r="B384" s="274"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48</v>
      </c>
      <c r="B385" s="274"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48</v>
      </c>
      <c r="B386" s="274"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48</v>
      </c>
      <c r="B387" s="274"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48</v>
      </c>
      <c r="B388" s="274"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48</v>
      </c>
      <c r="B389" s="274"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48</v>
      </c>
      <c r="B390" s="274"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48</v>
      </c>
      <c r="B391" s="274"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48</v>
      </c>
      <c r="B392" s="274"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48</v>
      </c>
      <c r="B393" s="274"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48</v>
      </c>
      <c r="B394" s="274"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48</v>
      </c>
      <c r="B395" s="274"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48</v>
      </c>
      <c r="B396" s="274"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48</v>
      </c>
      <c r="B397" s="274"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48</v>
      </c>
      <c r="B398" s="274"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48</v>
      </c>
      <c r="B399" s="274"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48</v>
      </c>
      <c r="B400" s="274"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48</v>
      </c>
      <c r="B401" s="274"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48</v>
      </c>
      <c r="B402" s="274"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48</v>
      </c>
      <c r="B403" s="274"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48</v>
      </c>
      <c r="B404" s="274"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48</v>
      </c>
      <c r="B405" s="274"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48</v>
      </c>
      <c r="B406" s="274"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48</v>
      </c>
      <c r="B407" s="274"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48</v>
      </c>
      <c r="B408" s="274"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48</v>
      </c>
      <c r="B409" s="274"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48</v>
      </c>
      <c r="B410" s="274"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48</v>
      </c>
      <c r="B411" s="274"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48</v>
      </c>
      <c r="B412" s="274"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48</v>
      </c>
      <c r="B413" s="274"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48</v>
      </c>
      <c r="B414" s="274"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48</v>
      </c>
      <c r="B415" s="274"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48</v>
      </c>
      <c r="B416" s="274"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48</v>
      </c>
      <c r="B417" s="274"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48</v>
      </c>
      <c r="B418" s="274"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48</v>
      </c>
      <c r="B419" s="274"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48</v>
      </c>
      <c r="B420" s="274"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48</v>
      </c>
      <c r="B421" s="274"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48</v>
      </c>
      <c r="B422" s="274"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48</v>
      </c>
      <c r="B423" s="274"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48</v>
      </c>
      <c r="B424" s="274"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48</v>
      </c>
      <c r="B425" s="274"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48</v>
      </c>
      <c r="B426" s="274"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48</v>
      </c>
      <c r="B427" s="274"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48</v>
      </c>
      <c r="B428" s="274"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48</v>
      </c>
      <c r="B429" s="274"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48</v>
      </c>
      <c r="B430" s="274"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48</v>
      </c>
      <c r="B431" s="274"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48</v>
      </c>
      <c r="B432" s="274"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48</v>
      </c>
      <c r="B433" s="274"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48</v>
      </c>
      <c r="B434" s="274"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48</v>
      </c>
      <c r="B435" s="274"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48</v>
      </c>
      <c r="B436" s="274"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48</v>
      </c>
      <c r="B437" s="274"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48</v>
      </c>
      <c r="B438" s="274"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48</v>
      </c>
      <c r="B439" s="274"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48</v>
      </c>
      <c r="B440" s="274"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48</v>
      </c>
      <c r="B441" s="274"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48</v>
      </c>
      <c r="B442" s="274"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48</v>
      </c>
      <c r="B443" s="274"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48</v>
      </c>
      <c r="B444" s="274"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48</v>
      </c>
      <c r="B445" s="274"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48</v>
      </c>
      <c r="B446" s="274"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48</v>
      </c>
      <c r="B447" s="274"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48</v>
      </c>
      <c r="B448" s="274"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48</v>
      </c>
      <c r="B449" s="274"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48</v>
      </c>
      <c r="B450" s="274"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48</v>
      </c>
      <c r="B451" s="274"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48</v>
      </c>
      <c r="B452" s="274"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48</v>
      </c>
      <c r="B453" s="274"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48</v>
      </c>
      <c r="B454" s="274"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48</v>
      </c>
      <c r="B455" s="274"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48</v>
      </c>
      <c r="B456" s="274"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48</v>
      </c>
      <c r="B457" s="274"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48</v>
      </c>
      <c r="B458" s="274"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48</v>
      </c>
      <c r="B459" s="274"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48</v>
      </c>
      <c r="B460" s="274"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48</v>
      </c>
      <c r="B461" s="274"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48</v>
      </c>
      <c r="B462" s="274"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48</v>
      </c>
      <c r="B463" s="274"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48</v>
      </c>
      <c r="B464" s="274"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48</v>
      </c>
      <c r="B465" s="274"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48</v>
      </c>
      <c r="B466" s="274"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48</v>
      </c>
      <c r="B467" s="274"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48</v>
      </c>
      <c r="B468" s="274"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48</v>
      </c>
      <c r="B469" s="274"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48</v>
      </c>
      <c r="B470" s="274"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48</v>
      </c>
      <c r="B471" s="274"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48</v>
      </c>
      <c r="B472" s="274"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48</v>
      </c>
      <c r="B473" s="274"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48</v>
      </c>
      <c r="B474" s="274"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48</v>
      </c>
      <c r="B475" s="274"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48</v>
      </c>
      <c r="B476" s="274"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48</v>
      </c>
      <c r="B477" s="274"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48</v>
      </c>
      <c r="B478" s="274"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48</v>
      </c>
      <c r="B479" s="274"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48</v>
      </c>
      <c r="B480" s="274"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48</v>
      </c>
      <c r="B481" s="274"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48</v>
      </c>
      <c r="B482" s="274"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48</v>
      </c>
      <c r="B483" s="274"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48</v>
      </c>
      <c r="B484" s="274"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48</v>
      </c>
      <c r="B485" s="274"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48</v>
      </c>
      <c r="B486" s="274"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48</v>
      </c>
      <c r="B487" s="274"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48</v>
      </c>
      <c r="B488" s="274"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48</v>
      </c>
      <c r="B489" s="274"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48</v>
      </c>
      <c r="B490" s="274"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48</v>
      </c>
      <c r="B491" s="274"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48</v>
      </c>
      <c r="B492" s="274"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48</v>
      </c>
      <c r="B493" s="274"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48</v>
      </c>
      <c r="B494" s="274"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48</v>
      </c>
      <c r="B495" s="274"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48</v>
      </c>
      <c r="B496" s="274"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48</v>
      </c>
      <c r="B497" s="274"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48</v>
      </c>
      <c r="B498" s="274"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48</v>
      </c>
      <c r="B499" s="274"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48</v>
      </c>
      <c r="B500" s="274"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48</v>
      </c>
      <c r="B501" s="274"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48</v>
      </c>
      <c r="B502" s="274"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48</v>
      </c>
      <c r="B503" s="274"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48</v>
      </c>
      <c r="B504" s="274"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48</v>
      </c>
      <c r="B505" s="274"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48</v>
      </c>
      <c r="B506" s="274"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48</v>
      </c>
      <c r="B507" s="274"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48</v>
      </c>
      <c r="B508" s="274"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48</v>
      </c>
      <c r="B509" s="274"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48</v>
      </c>
      <c r="B510" s="274"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48</v>
      </c>
      <c r="B511" s="274"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48</v>
      </c>
      <c r="B512" s="274"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48</v>
      </c>
      <c r="B513" s="274"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48</v>
      </c>
      <c r="B514" s="274"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48</v>
      </c>
      <c r="B515" s="274"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48</v>
      </c>
      <c r="B516" s="274"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48</v>
      </c>
      <c r="B517" s="274"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48</v>
      </c>
      <c r="B518" s="274"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48</v>
      </c>
      <c r="B519" s="274"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48</v>
      </c>
      <c r="B520" s="274"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48</v>
      </c>
      <c r="B521" s="274"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48</v>
      </c>
      <c r="B522" s="274"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48</v>
      </c>
      <c r="B523" s="274"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48</v>
      </c>
      <c r="B524" s="274"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48</v>
      </c>
      <c r="B525" s="274"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48</v>
      </c>
      <c r="B526" s="274"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48</v>
      </c>
      <c r="B527" s="274"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48</v>
      </c>
      <c r="B528" s="274"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48</v>
      </c>
      <c r="B529" s="274"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48</v>
      </c>
      <c r="B530" s="274"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48</v>
      </c>
      <c r="B531" s="274"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48</v>
      </c>
      <c r="B532" s="274"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48</v>
      </c>
      <c r="B533" s="274"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48</v>
      </c>
      <c r="B534" s="274"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48</v>
      </c>
      <c r="B535" s="274"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48</v>
      </c>
      <c r="B536" s="274"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48</v>
      </c>
      <c r="B537" s="274"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48</v>
      </c>
      <c r="B538" s="274"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48</v>
      </c>
      <c r="B539" s="274"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48</v>
      </c>
      <c r="B540" s="274"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48</v>
      </c>
      <c r="B541" s="274"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48</v>
      </c>
      <c r="B542" s="274"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48</v>
      </c>
      <c r="B543" s="274"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48</v>
      </c>
      <c r="B544" s="274"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48</v>
      </c>
      <c r="B545" s="274"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48</v>
      </c>
      <c r="B546" s="274"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48</v>
      </c>
      <c r="B547" s="274"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48</v>
      </c>
      <c r="B548" s="274"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48</v>
      </c>
      <c r="B549" s="274"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48</v>
      </c>
      <c r="B550" s="274"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48</v>
      </c>
      <c r="B551" s="274"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48</v>
      </c>
      <c r="B552" s="274"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48</v>
      </c>
      <c r="B553" s="274"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48</v>
      </c>
      <c r="B554" s="274"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48</v>
      </c>
      <c r="B555" s="274"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48</v>
      </c>
      <c r="B556" s="274"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48</v>
      </c>
      <c r="B557" s="274"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48</v>
      </c>
      <c r="B558" s="274"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48</v>
      </c>
      <c r="B559" s="274"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48</v>
      </c>
      <c r="B560" s="274"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48</v>
      </c>
      <c r="B561" s="274"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48</v>
      </c>
      <c r="B562" s="274"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48</v>
      </c>
      <c r="B563" s="274"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48</v>
      </c>
      <c r="B564" s="274"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48</v>
      </c>
      <c r="B565" s="274"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48</v>
      </c>
      <c r="B566" s="274"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48</v>
      </c>
      <c r="B567" s="274"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48</v>
      </c>
      <c r="B568" s="274"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48</v>
      </c>
      <c r="B569" s="274"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48</v>
      </c>
      <c r="B570" s="274"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48</v>
      </c>
      <c r="B571" s="274"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48</v>
      </c>
      <c r="B572" s="274"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48</v>
      </c>
      <c r="B573" s="274"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48</v>
      </c>
      <c r="B574" s="274"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48</v>
      </c>
      <c r="B575" s="274"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48</v>
      </c>
      <c r="B576" s="274"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48</v>
      </c>
      <c r="B577" s="274"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48</v>
      </c>
      <c r="B578" s="274"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48</v>
      </c>
      <c r="B579" s="274"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48</v>
      </c>
      <c r="B580" s="274"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48</v>
      </c>
      <c r="B581" s="274"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48</v>
      </c>
      <c r="B582" s="274"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48</v>
      </c>
      <c r="B583" s="274"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48</v>
      </c>
      <c r="B584" s="274"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48</v>
      </c>
      <c r="B585" s="274"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48</v>
      </c>
      <c r="B586" s="274"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48</v>
      </c>
      <c r="B587" s="274"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48</v>
      </c>
      <c r="B588" s="274"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48</v>
      </c>
      <c r="B589" s="274"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48</v>
      </c>
      <c r="B590" s="274"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48</v>
      </c>
      <c r="B591" s="274"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48</v>
      </c>
      <c r="B592" s="274"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48</v>
      </c>
      <c r="B593" s="274"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48</v>
      </c>
      <c r="B594" s="274"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48</v>
      </c>
      <c r="B595" s="274"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48</v>
      </c>
      <c r="B596" s="274"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48</v>
      </c>
      <c r="B597" s="274"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48</v>
      </c>
      <c r="B598" s="274"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48</v>
      </c>
      <c r="B599" s="274"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48</v>
      </c>
      <c r="B600" s="274"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48</v>
      </c>
      <c r="B601" s="274"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48</v>
      </c>
      <c r="B602" s="274"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48</v>
      </c>
      <c r="B603" s="274"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48</v>
      </c>
      <c r="B604" s="274"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48</v>
      </c>
      <c r="B605" s="274"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48</v>
      </c>
      <c r="B606" s="274"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48</v>
      </c>
      <c r="B607" s="274"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48</v>
      </c>
      <c r="B608" s="274"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48</v>
      </c>
      <c r="B609" s="274"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48</v>
      </c>
      <c r="B610" s="274"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48</v>
      </c>
      <c r="B611" s="274"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48</v>
      </c>
      <c r="B612" s="274"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48</v>
      </c>
      <c r="B613" s="274"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48</v>
      </c>
      <c r="B614" s="274"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48</v>
      </c>
      <c r="B615" s="274"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48</v>
      </c>
      <c r="B616" s="274"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48</v>
      </c>
      <c r="B617" s="274"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48</v>
      </c>
      <c r="B618" s="274"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48</v>
      </c>
      <c r="B619" s="274"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48</v>
      </c>
      <c r="B620" s="274"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48</v>
      </c>
      <c r="B621" s="274"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48</v>
      </c>
      <c r="B622" s="274"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48</v>
      </c>
      <c r="B623" s="274"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48</v>
      </c>
      <c r="B624" s="274"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48</v>
      </c>
      <c r="B625" s="274"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48</v>
      </c>
      <c r="B626" s="274"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48</v>
      </c>
      <c r="B627" s="274"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48</v>
      </c>
      <c r="B628" s="274"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48</v>
      </c>
      <c r="B629" s="274"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48</v>
      </c>
      <c r="B630" s="274"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48</v>
      </c>
      <c r="B631" s="274"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48</v>
      </c>
      <c r="B632" s="274"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48</v>
      </c>
      <c r="B633" s="274"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48</v>
      </c>
      <c r="B634" s="274"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48</v>
      </c>
      <c r="B635" s="274"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48</v>
      </c>
      <c r="B636" s="274"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48</v>
      </c>
      <c r="B637" s="274"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48</v>
      </c>
      <c r="B638" s="274"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48</v>
      </c>
      <c r="B639" s="274"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48</v>
      </c>
      <c r="B640" s="274"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48</v>
      </c>
      <c r="B641" s="274"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48</v>
      </c>
      <c r="B642" s="274"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48</v>
      </c>
      <c r="B643" s="274"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48</v>
      </c>
      <c r="B644" s="274"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48</v>
      </c>
      <c r="B645" s="274"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48</v>
      </c>
      <c r="B646" s="274"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48</v>
      </c>
      <c r="B647" s="274"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48</v>
      </c>
      <c r="B648" s="274"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48</v>
      </c>
      <c r="B649" s="274"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48</v>
      </c>
      <c r="B650" s="274"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48</v>
      </c>
      <c r="B651" s="274"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48</v>
      </c>
      <c r="B652" s="274"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48</v>
      </c>
      <c r="B653" s="274"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48</v>
      </c>
      <c r="B654" s="274"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48</v>
      </c>
      <c r="B655" s="274"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48</v>
      </c>
      <c r="B656" s="274"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48</v>
      </c>
      <c r="B657" s="274"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48</v>
      </c>
      <c r="B658" s="274"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48</v>
      </c>
      <c r="B659" s="274"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48</v>
      </c>
      <c r="B660" s="274"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48</v>
      </c>
      <c r="B661" s="274"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48</v>
      </c>
      <c r="B662" s="274"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48</v>
      </c>
      <c r="B663" s="274"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48</v>
      </c>
      <c r="B664" s="274"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48</v>
      </c>
      <c r="B665" s="274"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48</v>
      </c>
      <c r="B666" s="274"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48</v>
      </c>
      <c r="B667" s="274"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48</v>
      </c>
      <c r="B668" s="274"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48</v>
      </c>
      <c r="B669" s="274"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48</v>
      </c>
      <c r="B670" s="274"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48</v>
      </c>
      <c r="B671" s="274"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48</v>
      </c>
      <c r="B672" s="274"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48</v>
      </c>
      <c r="B673" s="274"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48</v>
      </c>
      <c r="B674" s="274"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48</v>
      </c>
      <c r="B675" s="274"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48</v>
      </c>
      <c r="B676" s="274"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48</v>
      </c>
      <c r="B677" s="274"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48</v>
      </c>
      <c r="B678" s="274"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48</v>
      </c>
      <c r="B679" s="274"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48</v>
      </c>
      <c r="B680" s="274"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48</v>
      </c>
      <c r="B681" s="274"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48</v>
      </c>
      <c r="B682" s="274"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48</v>
      </c>
      <c r="B683" s="274"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48</v>
      </c>
      <c r="B684" s="274"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48</v>
      </c>
      <c r="B685" s="274"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48</v>
      </c>
      <c r="B686" s="274"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48</v>
      </c>
      <c r="B687" s="274"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48</v>
      </c>
      <c r="B688" s="274"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48</v>
      </c>
      <c r="B689" s="274"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48</v>
      </c>
      <c r="B690" s="274"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48</v>
      </c>
      <c r="B691" s="274"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48</v>
      </c>
      <c r="B692" s="274"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48</v>
      </c>
      <c r="B693" s="274"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48</v>
      </c>
      <c r="B694" s="274"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48</v>
      </c>
      <c r="B695" s="274"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48</v>
      </c>
      <c r="B696" s="274"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48</v>
      </c>
      <c r="B697" s="274"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48</v>
      </c>
      <c r="B698" s="274"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48</v>
      </c>
      <c r="B699" s="274"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48</v>
      </c>
      <c r="B700" s="274"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48</v>
      </c>
      <c r="B701" s="274"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48</v>
      </c>
      <c r="B702" s="274"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48</v>
      </c>
      <c r="B703" s="274"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48</v>
      </c>
      <c r="B704" s="274"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48</v>
      </c>
      <c r="B705" s="274"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48</v>
      </c>
      <c r="B706" s="274"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48</v>
      </c>
      <c r="B707" s="274"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48</v>
      </c>
      <c r="B708" s="274"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48</v>
      </c>
      <c r="B709" s="274"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48</v>
      </c>
      <c r="B710" s="274"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48</v>
      </c>
      <c r="B711" s="274"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48</v>
      </c>
      <c r="B712" s="274"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48</v>
      </c>
      <c r="B713" s="274"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48</v>
      </c>
      <c r="B714" s="274"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48</v>
      </c>
      <c r="B715" s="274"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48</v>
      </c>
      <c r="B716" s="274"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48</v>
      </c>
      <c r="B717" s="274"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48</v>
      </c>
      <c r="B718" s="274"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48</v>
      </c>
      <c r="B719" s="274"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48</v>
      </c>
      <c r="B720" s="274"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48</v>
      </c>
      <c r="B721" s="274"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48</v>
      </c>
      <c r="B722" s="274"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48</v>
      </c>
      <c r="B723" s="274"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48</v>
      </c>
      <c r="B724" s="274"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48</v>
      </c>
      <c r="B725" s="274"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48</v>
      </c>
      <c r="B726" s="274"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48</v>
      </c>
      <c r="B727" s="274"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48</v>
      </c>
      <c r="B728" s="274"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48</v>
      </c>
      <c r="B729" s="274"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48</v>
      </c>
      <c r="B730" s="274"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48</v>
      </c>
      <c r="B731" s="274"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48</v>
      </c>
      <c r="B732" s="274"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48</v>
      </c>
      <c r="B733" s="274"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48</v>
      </c>
      <c r="B734" s="274"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48</v>
      </c>
      <c r="B735" s="274"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48</v>
      </c>
      <c r="B736" s="274"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48</v>
      </c>
      <c r="B737" s="274"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48</v>
      </c>
      <c r="B738" s="274"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48</v>
      </c>
      <c r="B739" s="274"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48</v>
      </c>
      <c r="B740" s="274"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48</v>
      </c>
      <c r="B741" s="274"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48</v>
      </c>
      <c r="B742" s="274"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48</v>
      </c>
      <c r="B743" s="274"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48</v>
      </c>
      <c r="B744" s="274"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48</v>
      </c>
      <c r="B745" s="274"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48</v>
      </c>
      <c r="B746" s="274"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48</v>
      </c>
      <c r="B747" s="274"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48</v>
      </c>
      <c r="B748" s="274"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48</v>
      </c>
      <c r="B749" s="274"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48</v>
      </c>
      <c r="B750" s="274"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48</v>
      </c>
      <c r="B751" s="274"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48</v>
      </c>
      <c r="B752" s="274"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48</v>
      </c>
      <c r="B753" s="274"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48</v>
      </c>
      <c r="B754" s="274"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48</v>
      </c>
      <c r="B755" s="274"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48</v>
      </c>
      <c r="B756" s="274"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48</v>
      </c>
      <c r="B757" s="274"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48</v>
      </c>
      <c r="B758" s="274"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48</v>
      </c>
      <c r="B759" s="274"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48</v>
      </c>
      <c r="B760" s="274"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48</v>
      </c>
      <c r="B761" s="274"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48</v>
      </c>
      <c r="B762" s="274"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48</v>
      </c>
      <c r="B763" s="274"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48</v>
      </c>
      <c r="B764" s="274"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48</v>
      </c>
      <c r="B765" s="274"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48</v>
      </c>
      <c r="B766" s="274"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48</v>
      </c>
      <c r="B767" s="274"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48</v>
      </c>
      <c r="B768" s="274"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48</v>
      </c>
      <c r="B769" s="274"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48</v>
      </c>
      <c r="B770" s="274"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48</v>
      </c>
      <c r="B771" s="274"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48</v>
      </c>
      <c r="B772" s="274"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48</v>
      </c>
      <c r="B773" s="274"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48</v>
      </c>
      <c r="B774" s="274"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48</v>
      </c>
      <c r="B775" s="274"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48</v>
      </c>
      <c r="B776" s="274"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48</v>
      </c>
      <c r="B777" s="274"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48</v>
      </c>
      <c r="B778" s="274"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48</v>
      </c>
      <c r="B779" s="274"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48</v>
      </c>
      <c r="B780" s="274"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48</v>
      </c>
      <c r="B781" s="274"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48</v>
      </c>
      <c r="B782" s="274"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48</v>
      </c>
      <c r="B783" s="274"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48</v>
      </c>
      <c r="B784" s="274"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48</v>
      </c>
      <c r="B785" s="274"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48</v>
      </c>
      <c r="B786" s="274"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48</v>
      </c>
      <c r="B787" s="274"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48</v>
      </c>
      <c r="B788" s="274"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48</v>
      </c>
      <c r="B789" s="274"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48</v>
      </c>
      <c r="B790" s="274"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48</v>
      </c>
      <c r="B791" s="274"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48</v>
      </c>
      <c r="B792" s="274"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48</v>
      </c>
      <c r="B793" s="274"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48</v>
      </c>
      <c r="B794" s="274"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48</v>
      </c>
      <c r="B795" s="274"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48</v>
      </c>
      <c r="B796" s="274"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48</v>
      </c>
      <c r="B797" s="274"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48</v>
      </c>
      <c r="B798" s="274"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48</v>
      </c>
      <c r="B799" s="274"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48</v>
      </c>
      <c r="B800" s="274"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48</v>
      </c>
      <c r="B801" s="274"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48</v>
      </c>
      <c r="B802" s="274"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48</v>
      </c>
      <c r="B803" s="274"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48</v>
      </c>
      <c r="B804" s="274"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48</v>
      </c>
      <c r="B805" s="274"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48</v>
      </c>
      <c r="B806" s="274"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48</v>
      </c>
      <c r="B807" s="274"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48</v>
      </c>
      <c r="B808" s="274"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48</v>
      </c>
      <c r="B809" s="274"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48</v>
      </c>
      <c r="B810" s="274"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48</v>
      </c>
      <c r="B811" s="274"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48</v>
      </c>
      <c r="B812" s="274"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48</v>
      </c>
      <c r="B813" s="274"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48</v>
      </c>
      <c r="B814" s="274"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48</v>
      </c>
      <c r="B815" s="274"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48</v>
      </c>
      <c r="B816" s="274"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48</v>
      </c>
      <c r="B817" s="274"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48</v>
      </c>
      <c r="B818" s="274"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48</v>
      </c>
      <c r="B819" s="274"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48</v>
      </c>
      <c r="B820" s="274"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48</v>
      </c>
      <c r="B821" s="274"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48</v>
      </c>
      <c r="B822" s="274"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48</v>
      </c>
      <c r="B823" s="274"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48</v>
      </c>
      <c r="B824" s="274"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48</v>
      </c>
      <c r="B825" s="274"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48</v>
      </c>
      <c r="B826" s="274"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48</v>
      </c>
      <c r="B827" s="274"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48</v>
      </c>
      <c r="B828" s="274"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48</v>
      </c>
      <c r="B829" s="274"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48</v>
      </c>
      <c r="B830" s="274"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48</v>
      </c>
      <c r="B831" s="274"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48</v>
      </c>
      <c r="B832" s="274"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48</v>
      </c>
      <c r="B833" s="274"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48</v>
      </c>
      <c r="B834" s="274"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48</v>
      </c>
      <c r="B835" s="274"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48</v>
      </c>
      <c r="B836" s="274"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48</v>
      </c>
      <c r="B837" s="274"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48</v>
      </c>
      <c r="B838" s="274"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48</v>
      </c>
      <c r="B839" s="274"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48</v>
      </c>
      <c r="B840" s="274"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48</v>
      </c>
      <c r="B841" s="274"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48</v>
      </c>
      <c r="B842" s="274"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48</v>
      </c>
      <c r="B843" s="274"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48</v>
      </c>
      <c r="B844" s="274"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48</v>
      </c>
      <c r="B845" s="274"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48</v>
      </c>
      <c r="B846" s="274"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48</v>
      </c>
      <c r="B847" s="274"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48</v>
      </c>
      <c r="B848" s="274"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48</v>
      </c>
      <c r="B849" s="274"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48</v>
      </c>
      <c r="B850" s="274"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48</v>
      </c>
      <c r="B851" s="274"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48</v>
      </c>
      <c r="B852" s="274"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48</v>
      </c>
      <c r="B853" s="274"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48</v>
      </c>
      <c r="B854" s="274"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48</v>
      </c>
      <c r="B855" s="274"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48</v>
      </c>
      <c r="B856" s="274"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48</v>
      </c>
      <c r="B857" s="274"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48</v>
      </c>
      <c r="B858" s="274"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48</v>
      </c>
      <c r="B859" s="274"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48</v>
      </c>
      <c r="B860" s="274"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48</v>
      </c>
      <c r="B861" s="274"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48</v>
      </c>
      <c r="B862" s="274"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48</v>
      </c>
      <c r="B863" s="274"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48</v>
      </c>
      <c r="B864" s="274"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48</v>
      </c>
      <c r="B865" s="274"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48</v>
      </c>
      <c r="B866" s="274"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48</v>
      </c>
      <c r="B867" s="274"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48</v>
      </c>
      <c r="B868" s="274"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48</v>
      </c>
      <c r="B869" s="274"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48</v>
      </c>
      <c r="B870" s="274"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48</v>
      </c>
      <c r="B871" s="274"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48</v>
      </c>
      <c r="B872" s="274"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48</v>
      </c>
      <c r="B873" s="274"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48</v>
      </c>
      <c r="B874" s="274"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48</v>
      </c>
      <c r="B875" s="274"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48</v>
      </c>
      <c r="B876" s="274"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48</v>
      </c>
      <c r="B877" s="274"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48</v>
      </c>
      <c r="B878" s="274"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48</v>
      </c>
      <c r="B879" s="274"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48</v>
      </c>
      <c r="B880" s="274"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48</v>
      </c>
      <c r="B881" s="274"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48</v>
      </c>
      <c r="B882" s="274"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48</v>
      </c>
      <c r="B883" s="274"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48</v>
      </c>
      <c r="B884" s="274"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48</v>
      </c>
      <c r="B885" s="274"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48</v>
      </c>
      <c r="B886" s="274"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48</v>
      </c>
      <c r="B887" s="274"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48</v>
      </c>
      <c r="B888" s="274"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48</v>
      </c>
      <c r="B889" s="274"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48</v>
      </c>
      <c r="B890" s="274"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48</v>
      </c>
      <c r="B891" s="274"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48</v>
      </c>
      <c r="B892" s="274"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48</v>
      </c>
      <c r="B893" s="274"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48</v>
      </c>
      <c r="B894" s="274"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48</v>
      </c>
      <c r="B895" s="274"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48</v>
      </c>
      <c r="B896" s="274"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48</v>
      </c>
      <c r="B897" s="274"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48</v>
      </c>
      <c r="B898" s="274"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48</v>
      </c>
      <c r="B899" s="274"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48</v>
      </c>
      <c r="B900" s="274"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48</v>
      </c>
      <c r="B901" s="274"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48</v>
      </c>
      <c r="B902" s="274"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48</v>
      </c>
      <c r="B903" s="274"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48</v>
      </c>
      <c r="B904" s="274"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48</v>
      </c>
      <c r="B905" s="274"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48</v>
      </c>
      <c r="B906" s="274"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48</v>
      </c>
      <c r="B907" s="274"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48</v>
      </c>
      <c r="B908" s="274"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48</v>
      </c>
      <c r="B909" s="274"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48</v>
      </c>
      <c r="B910" s="274"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48</v>
      </c>
      <c r="B911" s="274"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48</v>
      </c>
      <c r="B912" s="274"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48</v>
      </c>
      <c r="B913" s="274"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48</v>
      </c>
      <c r="B914" s="274"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48</v>
      </c>
      <c r="B915" s="274"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48</v>
      </c>
      <c r="B916" s="274"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48</v>
      </c>
      <c r="B917" s="274"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48</v>
      </c>
      <c r="B918" s="274"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48</v>
      </c>
      <c r="B919" s="274"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48</v>
      </c>
      <c r="B920" s="274"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48</v>
      </c>
      <c r="B921" s="274"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48</v>
      </c>
      <c r="B922" s="274"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48</v>
      </c>
      <c r="B923" s="274"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48</v>
      </c>
      <c r="B924" s="274"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48</v>
      </c>
      <c r="B925" s="274"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48</v>
      </c>
      <c r="B926" s="274"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48</v>
      </c>
      <c r="B927" s="274"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48</v>
      </c>
      <c r="B928" s="274"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48</v>
      </c>
      <c r="B929" s="274"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48</v>
      </c>
      <c r="B930" s="274"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48</v>
      </c>
      <c r="B931" s="274"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48</v>
      </c>
      <c r="B932" s="274"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48</v>
      </c>
      <c r="B933" s="274"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48</v>
      </c>
      <c r="B934" s="274"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48</v>
      </c>
      <c r="B935" s="274"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48</v>
      </c>
      <c r="B936" s="274"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48</v>
      </c>
      <c r="B937" s="274"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48</v>
      </c>
      <c r="B938" s="274"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48</v>
      </c>
      <c r="B939" s="274"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48</v>
      </c>
      <c r="B940" s="274"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48</v>
      </c>
      <c r="B941" s="274"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48</v>
      </c>
      <c r="B942" s="274"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48</v>
      </c>
      <c r="B943" s="274"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48</v>
      </c>
      <c r="B944" s="274"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48</v>
      </c>
      <c r="B945" s="274"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48</v>
      </c>
      <c r="B946" s="274"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48</v>
      </c>
      <c r="B947" s="274"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48</v>
      </c>
      <c r="B948" s="274"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48</v>
      </c>
      <c r="B949" s="274"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48</v>
      </c>
      <c r="B950" s="274"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48</v>
      </c>
      <c r="B951" s="274"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48</v>
      </c>
      <c r="B952" s="274"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48</v>
      </c>
      <c r="B953" s="274"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48</v>
      </c>
      <c r="B954" s="274"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48</v>
      </c>
      <c r="B955" s="274"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48</v>
      </c>
      <c r="B956" s="274"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48</v>
      </c>
      <c r="B957" s="274"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48</v>
      </c>
      <c r="B958" s="274"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48</v>
      </c>
      <c r="B959" s="274"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48</v>
      </c>
      <c r="B960" s="274"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48</v>
      </c>
      <c r="B961" s="274"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48</v>
      </c>
      <c r="B962" s="274"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48</v>
      </c>
      <c r="B963" s="274"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48</v>
      </c>
      <c r="B964" s="274"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48</v>
      </c>
      <c r="B965" s="274"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48</v>
      </c>
      <c r="B966" s="274"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48</v>
      </c>
      <c r="B967" s="274"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48</v>
      </c>
      <c r="B968" s="274"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48</v>
      </c>
      <c r="B969" s="274"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48</v>
      </c>
      <c r="B970" s="274"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48</v>
      </c>
      <c r="B971" s="274"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48</v>
      </c>
      <c r="B972" s="274"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48</v>
      </c>
      <c r="B973" s="274"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48</v>
      </c>
      <c r="B974" s="274"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48</v>
      </c>
      <c r="B975" s="274"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48</v>
      </c>
      <c r="B976" s="274"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48</v>
      </c>
      <c r="B977" s="274"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48</v>
      </c>
      <c r="B978" s="274"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48</v>
      </c>
      <c r="B979" s="274"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48</v>
      </c>
      <c r="B980" s="274"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48</v>
      </c>
      <c r="B981" s="274"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48</v>
      </c>
      <c r="B982" s="274"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48</v>
      </c>
      <c r="B983" s="274"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48</v>
      </c>
      <c r="B984" s="274"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48</v>
      </c>
      <c r="B985" s="274"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48</v>
      </c>
      <c r="B986" s="274"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48</v>
      </c>
      <c r="B987" s="274"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48</v>
      </c>
      <c r="B988" s="274"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48</v>
      </c>
      <c r="B989" s="274"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48</v>
      </c>
      <c r="B990" s="274"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48</v>
      </c>
      <c r="B991" s="274"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48</v>
      </c>
      <c r="B992" s="274"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48</v>
      </c>
      <c r="B993" s="274"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48</v>
      </c>
      <c r="B994" s="274"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48</v>
      </c>
      <c r="B995" s="274"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48</v>
      </c>
      <c r="B996" s="274"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48</v>
      </c>
      <c r="B997" s="274"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48</v>
      </c>
      <c r="B998" s="274"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48</v>
      </c>
      <c r="B999" s="274"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48</v>
      </c>
      <c r="B1000" s="274"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48</v>
      </c>
      <c r="B1001" s="274"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48</v>
      </c>
      <c r="B1002" s="274"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48</v>
      </c>
      <c r="B1003" s="274"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48</v>
      </c>
      <c r="B1004" s="274"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48</v>
      </c>
      <c r="B1005" s="274"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48</v>
      </c>
      <c r="B1006" s="274"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48</v>
      </c>
      <c r="B1007" s="274"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48</v>
      </c>
      <c r="B1008" s="274"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48</v>
      </c>
      <c r="B1009" s="274"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48</v>
      </c>
      <c r="B1010" s="274"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48</v>
      </c>
      <c r="B1011" s="274"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48</v>
      </c>
      <c r="B1012" s="274"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48</v>
      </c>
      <c r="B1013" s="274"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48</v>
      </c>
      <c r="B1014" s="274"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48</v>
      </c>
      <c r="B1015" s="274"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48</v>
      </c>
      <c r="B1016" s="274"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48</v>
      </c>
      <c r="B1017" s="274"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48</v>
      </c>
      <c r="B1018" s="274"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48</v>
      </c>
      <c r="B1019" s="274"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48</v>
      </c>
      <c r="B1020" s="274"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48</v>
      </c>
      <c r="B1021" s="274"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48</v>
      </c>
      <c r="B1022" s="274"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48</v>
      </c>
      <c r="B1023" s="274"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48</v>
      </c>
      <c r="B1024" s="274"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48</v>
      </c>
      <c r="B1025" s="274"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48</v>
      </c>
      <c r="B1026" s="274"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48</v>
      </c>
      <c r="B1027" s="274"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48</v>
      </c>
      <c r="B1028" s="274"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48</v>
      </c>
      <c r="B1029" s="274"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48</v>
      </c>
      <c r="B1030" s="274"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48</v>
      </c>
      <c r="B1031" s="274"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48</v>
      </c>
      <c r="B1032" s="274"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48</v>
      </c>
      <c r="B1033" s="274"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48</v>
      </c>
      <c r="B1034" s="274"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48</v>
      </c>
      <c r="B1035" s="274"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48</v>
      </c>
      <c r="B1036" s="274"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48</v>
      </c>
      <c r="B1037" s="274"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48</v>
      </c>
      <c r="B1038" s="274"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48</v>
      </c>
      <c r="B1039" s="274"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48</v>
      </c>
      <c r="B1040" s="274"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48</v>
      </c>
      <c r="B1041" s="274"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48</v>
      </c>
      <c r="B1042" s="274"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48</v>
      </c>
      <c r="B1043" s="274"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48</v>
      </c>
      <c r="B1044" s="274"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48</v>
      </c>
      <c r="B1045" s="274"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48</v>
      </c>
      <c r="B1046" s="274"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48</v>
      </c>
      <c r="B1047" s="274"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48</v>
      </c>
      <c r="B1048" s="274"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48</v>
      </c>
      <c r="B1049" s="274"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48</v>
      </c>
      <c r="B1050" s="274"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48</v>
      </c>
      <c r="B1051" s="274"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48</v>
      </c>
      <c r="B1052" s="274"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48</v>
      </c>
      <c r="B1053" s="274"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48</v>
      </c>
      <c r="B1054" s="274"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48</v>
      </c>
      <c r="B1055" s="274"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48</v>
      </c>
      <c r="B1056" s="274"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48</v>
      </c>
      <c r="B1057" s="274"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48</v>
      </c>
      <c r="B1058" s="274"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48</v>
      </c>
      <c r="B1059" s="274"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48</v>
      </c>
      <c r="B1060" s="274"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48</v>
      </c>
      <c r="B1061" s="274"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48</v>
      </c>
      <c r="B1062" s="274"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48</v>
      </c>
      <c r="B1063" s="274"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48</v>
      </c>
      <c r="B1064" s="274"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48</v>
      </c>
      <c r="B1065" s="274"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48</v>
      </c>
      <c r="B1066" s="274"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48</v>
      </c>
      <c r="B1067" s="274"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48</v>
      </c>
      <c r="B1068" s="274"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48</v>
      </c>
      <c r="B1069" s="274"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48</v>
      </c>
      <c r="B1070" s="274"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48</v>
      </c>
      <c r="B1071" s="274"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48</v>
      </c>
      <c r="B1072" s="274"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48</v>
      </c>
      <c r="B1073" s="274"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48</v>
      </c>
      <c r="B1074" s="274"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48</v>
      </c>
      <c r="B1075" s="274"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48</v>
      </c>
      <c r="B1076" s="274"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48</v>
      </c>
      <c r="B1077" s="274"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48</v>
      </c>
      <c r="B1078" s="274"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48</v>
      </c>
      <c r="B1079" s="274"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48</v>
      </c>
      <c r="B1080" s="274"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48</v>
      </c>
      <c r="B1081" s="274"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48</v>
      </c>
      <c r="B1082" s="274"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48</v>
      </c>
      <c r="B1083" s="274"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48</v>
      </c>
      <c r="B1084" s="274"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48</v>
      </c>
      <c r="B1085" s="274"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48</v>
      </c>
      <c r="B1086" s="274"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48</v>
      </c>
      <c r="B1087" s="274"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48</v>
      </c>
      <c r="B1088" s="274"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48</v>
      </c>
      <c r="B1089" s="274"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48</v>
      </c>
      <c r="B1090" s="274"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48</v>
      </c>
      <c r="B1091" s="274"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48</v>
      </c>
      <c r="B1092" s="274"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48</v>
      </c>
      <c r="B1093" s="274"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48</v>
      </c>
      <c r="B1094" s="274"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48</v>
      </c>
      <c r="B1095" s="274"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48</v>
      </c>
      <c r="B1096" s="274"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48</v>
      </c>
      <c r="B1097" s="274"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48</v>
      </c>
      <c r="B1098" s="274"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48</v>
      </c>
      <c r="B1099" s="274"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48</v>
      </c>
      <c r="B1100" s="274"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48</v>
      </c>
      <c r="B1101" s="274"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48</v>
      </c>
      <c r="B1102" s="274"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48</v>
      </c>
      <c r="B1103" s="274"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48</v>
      </c>
      <c r="B1104" s="274"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48</v>
      </c>
      <c r="B1105" s="274"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48</v>
      </c>
      <c r="B1106" s="274"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48</v>
      </c>
      <c r="B1107" s="274"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48</v>
      </c>
      <c r="B1108" s="274"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48</v>
      </c>
      <c r="B1109" s="274"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48</v>
      </c>
      <c r="B1110" s="274"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48</v>
      </c>
      <c r="B1111" s="274"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48</v>
      </c>
      <c r="B1112" s="274"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48</v>
      </c>
      <c r="B1113" s="274"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48</v>
      </c>
      <c r="B1114" s="274"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48</v>
      </c>
      <c r="B1115" s="274"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48</v>
      </c>
      <c r="B1116" s="274"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48</v>
      </c>
      <c r="B1117" s="274"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48</v>
      </c>
      <c r="B1118" s="274"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48</v>
      </c>
      <c r="B1119" s="274"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48</v>
      </c>
      <c r="B1120" s="274"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48</v>
      </c>
      <c r="B1121" s="274"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48</v>
      </c>
      <c r="B1122" s="274"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48</v>
      </c>
      <c r="B1123" s="274"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48</v>
      </c>
      <c r="B1124" s="274"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48</v>
      </c>
      <c r="B1125" s="274"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48</v>
      </c>
      <c r="B1126" s="274"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48</v>
      </c>
      <c r="B1127" s="274"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48</v>
      </c>
      <c r="B1128" s="274"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48</v>
      </c>
      <c r="B1129" s="274"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48</v>
      </c>
      <c r="B1130" s="274"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48</v>
      </c>
      <c r="B1131" s="274"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48</v>
      </c>
      <c r="B1132" s="274"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48</v>
      </c>
      <c r="B1133" s="274"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48</v>
      </c>
      <c r="B1134" s="274"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48</v>
      </c>
      <c r="B1135" s="274"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48</v>
      </c>
      <c r="B1136" s="274"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48</v>
      </c>
      <c r="B1137" s="274"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48</v>
      </c>
      <c r="B1138" s="274"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48</v>
      </c>
      <c r="B1139" s="274"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48</v>
      </c>
      <c r="B1140" s="274"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48</v>
      </c>
      <c r="B1141" s="274"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48</v>
      </c>
      <c r="B1142" s="274"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48</v>
      </c>
      <c r="B1143" s="274"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48</v>
      </c>
      <c r="B1144" s="274"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48</v>
      </c>
      <c r="B1145" s="274"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48</v>
      </c>
      <c r="B1146" s="274"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48</v>
      </c>
      <c r="B1147" s="274"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48</v>
      </c>
      <c r="B1148" s="274"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48</v>
      </c>
      <c r="B1149" s="274"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48</v>
      </c>
      <c r="B1150" s="274"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48</v>
      </c>
      <c r="B1151" s="274"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48</v>
      </c>
      <c r="B1152" s="274"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48</v>
      </c>
      <c r="B1153" s="274"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48</v>
      </c>
      <c r="B1154" s="274"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48</v>
      </c>
      <c r="B1155" s="274"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48</v>
      </c>
      <c r="B1156" s="274"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48</v>
      </c>
      <c r="B1157" s="274"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48</v>
      </c>
      <c r="B1158" s="274"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48</v>
      </c>
      <c r="B1159" s="274"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48</v>
      </c>
      <c r="B1160" s="274"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48</v>
      </c>
      <c r="B1161" s="274"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48</v>
      </c>
      <c r="B1162" s="274"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48</v>
      </c>
      <c r="B1163" s="274"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48</v>
      </c>
      <c r="B1164" s="274"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48</v>
      </c>
      <c r="B1165" s="274"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48</v>
      </c>
      <c r="B1166" s="274"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48</v>
      </c>
      <c r="B1167" s="274"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48</v>
      </c>
      <c r="B1168" s="274"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48</v>
      </c>
      <c r="B1169" s="274"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48</v>
      </c>
      <c r="B1170" s="274"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48</v>
      </c>
      <c r="B1171" s="274"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48</v>
      </c>
      <c r="B1172" s="274"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48</v>
      </c>
      <c r="B1173" s="274"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48</v>
      </c>
      <c r="B1174" s="274"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48</v>
      </c>
      <c r="B1175" s="274"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48</v>
      </c>
      <c r="B1176" s="274"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48</v>
      </c>
      <c r="B1177" s="274"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48</v>
      </c>
      <c r="B1178" s="274"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48</v>
      </c>
      <c r="B1179" s="274"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48</v>
      </c>
      <c r="B1180" s="274"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48</v>
      </c>
      <c r="B1181" s="274"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48</v>
      </c>
      <c r="B1182" s="274"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48</v>
      </c>
      <c r="B1183" s="274"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48</v>
      </c>
      <c r="B1184" s="274"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48</v>
      </c>
      <c r="B1185" s="274"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48</v>
      </c>
      <c r="B1186" s="274"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48</v>
      </c>
      <c r="B1187" s="274"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48</v>
      </c>
      <c r="B1188" s="274"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48</v>
      </c>
      <c r="B1189" s="274"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48</v>
      </c>
      <c r="B1190" s="274"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48</v>
      </c>
      <c r="B1191" s="274"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48</v>
      </c>
      <c r="B1192" s="274"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48</v>
      </c>
      <c r="B1193" s="274"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48</v>
      </c>
      <c r="B1194" s="274"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48</v>
      </c>
      <c r="B1195" s="274"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48</v>
      </c>
      <c r="B1196" s="274"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48</v>
      </c>
      <c r="B1197" s="274"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48</v>
      </c>
      <c r="B1198" s="274"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48</v>
      </c>
      <c r="B1199" s="274"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48</v>
      </c>
      <c r="B1200" s="274"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48</v>
      </c>
      <c r="B1201" s="274"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48</v>
      </c>
      <c r="B1202" s="274"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48</v>
      </c>
      <c r="B1203" s="274"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48</v>
      </c>
      <c r="B1204" s="274"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48</v>
      </c>
      <c r="B1205" s="274"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48</v>
      </c>
      <c r="B1206" s="274"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48</v>
      </c>
      <c r="B1207" s="274"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48</v>
      </c>
      <c r="B1208" s="274"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48</v>
      </c>
      <c r="B1209" s="274"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48</v>
      </c>
      <c r="B1210" s="274"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48</v>
      </c>
      <c r="B1211" s="274"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48</v>
      </c>
      <c r="B1212" s="274"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48</v>
      </c>
      <c r="B1213" s="274"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48</v>
      </c>
      <c r="B1214" s="274"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48</v>
      </c>
      <c r="B1215" s="274"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48</v>
      </c>
      <c r="B1216" s="274"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48</v>
      </c>
      <c r="B1217" s="274"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48</v>
      </c>
      <c r="B1218" s="274"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48</v>
      </c>
      <c r="B1219" s="274"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48</v>
      </c>
      <c r="B1220" s="274"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48</v>
      </c>
      <c r="B1221" s="274"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48</v>
      </c>
      <c r="B1222" s="274"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48</v>
      </c>
      <c r="B1223" s="274"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48</v>
      </c>
      <c r="B1224" s="274"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48</v>
      </c>
      <c r="B1225" s="274"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48</v>
      </c>
      <c r="B1226" s="274"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48</v>
      </c>
      <c r="B1227" s="274"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48</v>
      </c>
      <c r="B1228" s="274"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48</v>
      </c>
      <c r="B1229" s="274"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48</v>
      </c>
      <c r="B1230" s="274"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48</v>
      </c>
      <c r="B1231" s="274"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48</v>
      </c>
      <c r="B1232" s="274"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48</v>
      </c>
      <c r="B1233" s="274"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48</v>
      </c>
      <c r="B1234" s="274"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48</v>
      </c>
      <c r="B1235" s="274"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48</v>
      </c>
      <c r="B1236" s="274"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48</v>
      </c>
      <c r="B1237" s="274"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48</v>
      </c>
      <c r="B1238" s="274"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48</v>
      </c>
      <c r="B1239" s="274"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48</v>
      </c>
      <c r="B1240" s="274"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48</v>
      </c>
      <c r="B1241" s="274"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48</v>
      </c>
      <c r="B1242" s="274"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48</v>
      </c>
      <c r="B1243" s="274"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48</v>
      </c>
      <c r="B1244" s="274"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48</v>
      </c>
      <c r="B1245" s="274"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48</v>
      </c>
      <c r="B1246" s="274"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48</v>
      </c>
      <c r="B1247" s="274"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48</v>
      </c>
      <c r="B1248" s="274"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48</v>
      </c>
      <c r="B1249" s="274"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48</v>
      </c>
      <c r="B1250" s="274"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48</v>
      </c>
      <c r="B1251" s="274"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48</v>
      </c>
      <c r="B1252" s="274"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48</v>
      </c>
      <c r="B1253" s="274"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48</v>
      </c>
      <c r="B1254" s="274"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48</v>
      </c>
      <c r="B1255" s="274"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48</v>
      </c>
      <c r="B1256" s="274"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48</v>
      </c>
      <c r="B1257" s="274"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48</v>
      </c>
      <c r="B1258" s="274"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48</v>
      </c>
      <c r="B1259" s="274"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48</v>
      </c>
      <c r="B1260" s="274"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48</v>
      </c>
      <c r="B1261" s="274"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48</v>
      </c>
      <c r="B1262" s="274"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48</v>
      </c>
      <c r="B1263" s="274"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48</v>
      </c>
      <c r="B1264" s="274"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48</v>
      </c>
      <c r="B1265" s="274"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48</v>
      </c>
      <c r="B1266" s="274"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48</v>
      </c>
      <c r="B1267" s="274"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48</v>
      </c>
      <c r="B1268" s="274"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48</v>
      </c>
      <c r="B1269" s="274"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48</v>
      </c>
      <c r="B1270" s="274"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48</v>
      </c>
      <c r="B1271" s="274"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48</v>
      </c>
      <c r="B1272" s="274"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48</v>
      </c>
      <c r="B1273" s="274"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48</v>
      </c>
      <c r="B1274" s="274"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48</v>
      </c>
      <c r="B1275" s="274"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48</v>
      </c>
      <c r="B1276" s="274"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48</v>
      </c>
      <c r="B1277" s="274"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48</v>
      </c>
      <c r="B1278" s="274"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48</v>
      </c>
      <c r="B1279" s="274"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48</v>
      </c>
      <c r="B1280" s="274"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48</v>
      </c>
      <c r="B1281" s="274"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48</v>
      </c>
      <c r="B1282" s="274"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48</v>
      </c>
      <c r="B1283" s="274"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48</v>
      </c>
      <c r="B1284" s="274"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48</v>
      </c>
      <c r="B1285" s="274"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48</v>
      </c>
      <c r="B1286" s="274"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48</v>
      </c>
      <c r="B1287" s="274"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48</v>
      </c>
      <c r="B1288" s="274"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48</v>
      </c>
      <c r="B1289" s="274"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48</v>
      </c>
      <c r="B1290" s="274"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48</v>
      </c>
      <c r="B1291" s="274"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48</v>
      </c>
      <c r="B1292" s="274"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48</v>
      </c>
      <c r="B1293" s="274"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48</v>
      </c>
      <c r="B1294" s="274"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48</v>
      </c>
      <c r="B1295" s="274"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48</v>
      </c>
      <c r="B1296" s="274"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48</v>
      </c>
      <c r="B1297" s="274"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48</v>
      </c>
      <c r="B1298" s="274"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48</v>
      </c>
      <c r="B1299" s="274"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48</v>
      </c>
      <c r="B1300" s="274"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48</v>
      </c>
      <c r="B1301" s="274"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48</v>
      </c>
      <c r="B1302" s="274"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48</v>
      </c>
      <c r="B1303" s="274"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48</v>
      </c>
      <c r="B1304" s="274"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48</v>
      </c>
      <c r="B1305" s="274"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48</v>
      </c>
      <c r="B1306" s="274"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48</v>
      </c>
      <c r="B1307" s="274"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48</v>
      </c>
      <c r="B1308" s="274"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48</v>
      </c>
      <c r="B1309" s="274"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48</v>
      </c>
      <c r="B1310" s="274"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48</v>
      </c>
      <c r="B1311" s="274"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48</v>
      </c>
      <c r="B1312" s="274"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48</v>
      </c>
      <c r="B1313" s="274"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275"/>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276"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277"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277"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277"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277"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277"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278"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279"/>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276" t="s">
        <v>1359</v>
      </c>
      <c r="C1323" s="68" t="str">
        <f>CONCATENATE(A1323," - ",B1323)</f>
        <v>NI – Health and Social Care Trusts - Belfast Health and Social Care Trust</v>
      </c>
      <c r="D1323" s="492">
        <f t="shared" ref="D1323:E1327" si="234">I1323</f>
        <v>139590</v>
      </c>
      <c r="E1323" s="492">
        <f t="shared" si="234"/>
        <v>150331</v>
      </c>
      <c r="F1323" s="493">
        <f>G1323+H1323</f>
        <v>365871</v>
      </c>
      <c r="G1323" s="493">
        <f>SUM(M1323:CY1323)</f>
        <v>178525</v>
      </c>
      <c r="H1323" s="494">
        <f>SUM(CZ1323:GL1323)</f>
        <v>187346</v>
      </c>
      <c r="I1323" s="494">
        <f>SUM(AE1323:CY1323)</f>
        <v>139590</v>
      </c>
      <c r="J1323" s="494">
        <f>SUM(DR1323:GL1323)</f>
        <v>150331</v>
      </c>
      <c r="K1323" s="495">
        <f>SUM(M1323:AD1323)</f>
        <v>38935</v>
      </c>
      <c r="L1323" s="492">
        <f>SUM(CZ1323:DQ1323)</f>
        <v>37015</v>
      </c>
      <c r="M1323" s="495">
        <v>1910</v>
      </c>
      <c r="N1323" s="495">
        <v>2017</v>
      </c>
      <c r="O1323" s="495">
        <v>2002</v>
      </c>
      <c r="P1323" s="495">
        <v>2005</v>
      </c>
      <c r="Q1323" s="495">
        <v>2183</v>
      </c>
      <c r="R1323" s="495">
        <v>2080</v>
      </c>
      <c r="S1323" s="495">
        <v>2207</v>
      </c>
      <c r="T1323" s="495">
        <v>2246</v>
      </c>
      <c r="U1323" s="495">
        <v>2236</v>
      </c>
      <c r="V1323" s="495">
        <v>2309</v>
      </c>
      <c r="W1323" s="495">
        <v>2249</v>
      </c>
      <c r="X1323" s="495">
        <v>2330</v>
      </c>
      <c r="Y1323" s="495">
        <v>2296</v>
      </c>
      <c r="Z1323" s="495">
        <v>2211</v>
      </c>
      <c r="AA1323" s="495">
        <v>2228</v>
      </c>
      <c r="AB1323" s="495">
        <v>2249</v>
      </c>
      <c r="AC1323" s="495">
        <v>2115</v>
      </c>
      <c r="AD1323" s="495">
        <v>2062</v>
      </c>
      <c r="AE1323" s="495">
        <v>2289</v>
      </c>
      <c r="AF1323" s="495">
        <v>2993</v>
      </c>
      <c r="AG1323" s="495">
        <v>3026</v>
      </c>
      <c r="AH1323" s="495">
        <v>2617</v>
      </c>
      <c r="AI1323" s="495">
        <v>2730</v>
      </c>
      <c r="AJ1323" s="495">
        <v>2611</v>
      </c>
      <c r="AK1323" s="495">
        <v>2692</v>
      </c>
      <c r="AL1323" s="495">
        <v>2792</v>
      </c>
      <c r="AM1323" s="495">
        <v>2823</v>
      </c>
      <c r="AN1323" s="495">
        <v>2749</v>
      </c>
      <c r="AO1323" s="495">
        <v>2764</v>
      </c>
      <c r="AP1323" s="495">
        <v>2745</v>
      </c>
      <c r="AQ1323" s="495">
        <v>2713</v>
      </c>
      <c r="AR1323" s="495">
        <v>2728</v>
      </c>
      <c r="AS1323" s="495">
        <v>2756</v>
      </c>
      <c r="AT1323" s="495">
        <v>2713</v>
      </c>
      <c r="AU1323" s="495">
        <v>2616</v>
      </c>
      <c r="AV1323" s="495">
        <v>2610</v>
      </c>
      <c r="AW1323" s="495">
        <v>2545</v>
      </c>
      <c r="AX1323" s="495">
        <v>2558</v>
      </c>
      <c r="AY1323" s="495">
        <v>2519</v>
      </c>
      <c r="AZ1323" s="495">
        <v>2414</v>
      </c>
      <c r="BA1323" s="495">
        <v>2334</v>
      </c>
      <c r="BB1323" s="495">
        <v>2362</v>
      </c>
      <c r="BC1323" s="495">
        <v>2307</v>
      </c>
      <c r="BD1323" s="495">
        <v>2369</v>
      </c>
      <c r="BE1323" s="495">
        <v>2178</v>
      </c>
      <c r="BF1323" s="495">
        <v>2103</v>
      </c>
      <c r="BG1323" s="495">
        <v>1943</v>
      </c>
      <c r="BH1323" s="495">
        <v>1958</v>
      </c>
      <c r="BI1323" s="495">
        <v>1910</v>
      </c>
      <c r="BJ1323" s="495">
        <v>1998</v>
      </c>
      <c r="BK1323" s="495">
        <v>2100</v>
      </c>
      <c r="BL1323" s="495">
        <v>2116</v>
      </c>
      <c r="BM1323" s="495">
        <v>2074</v>
      </c>
      <c r="BN1323" s="495">
        <v>2267</v>
      </c>
      <c r="BO1323" s="495">
        <v>2279</v>
      </c>
      <c r="BP1323" s="495">
        <v>2334</v>
      </c>
      <c r="BQ1323" s="495">
        <v>2279</v>
      </c>
      <c r="BR1323" s="495">
        <v>2358</v>
      </c>
      <c r="BS1323" s="495">
        <v>2277</v>
      </c>
      <c r="BT1323" s="495">
        <v>2272</v>
      </c>
      <c r="BU1323" s="495">
        <v>2362</v>
      </c>
      <c r="BV1323" s="495">
        <v>2199</v>
      </c>
      <c r="BW1323" s="495">
        <v>2115</v>
      </c>
      <c r="BX1323" s="495">
        <v>2081</v>
      </c>
      <c r="BY1323" s="495">
        <v>1886</v>
      </c>
      <c r="BZ1323" s="495">
        <v>1877</v>
      </c>
      <c r="CA1323" s="495">
        <v>1703</v>
      </c>
      <c r="CB1323" s="495">
        <v>1677</v>
      </c>
      <c r="CC1323" s="495">
        <v>1554</v>
      </c>
      <c r="CD1323" s="495">
        <v>1565</v>
      </c>
      <c r="CE1323" s="495">
        <v>1335</v>
      </c>
      <c r="CF1323" s="495">
        <v>1255</v>
      </c>
      <c r="CG1323" s="495">
        <v>1316</v>
      </c>
      <c r="CH1323" s="495">
        <v>1194</v>
      </c>
      <c r="CI1323" s="495">
        <v>1141</v>
      </c>
      <c r="CJ1323" s="495">
        <v>1159</v>
      </c>
      <c r="CK1323" s="495">
        <v>1116</v>
      </c>
      <c r="CL1323" s="495">
        <v>990</v>
      </c>
      <c r="CM1323" s="495">
        <v>982</v>
      </c>
      <c r="CN1323" s="495">
        <v>979</v>
      </c>
      <c r="CO1323" s="495">
        <v>894</v>
      </c>
      <c r="CP1323" s="495">
        <v>764</v>
      </c>
      <c r="CQ1323" s="495">
        <v>635</v>
      </c>
      <c r="CR1323" s="495">
        <v>595</v>
      </c>
      <c r="CS1323" s="495">
        <v>580</v>
      </c>
      <c r="CT1323" s="495">
        <v>546</v>
      </c>
      <c r="CU1323" s="495">
        <v>469</v>
      </c>
      <c r="CV1323" s="495">
        <v>396</v>
      </c>
      <c r="CW1323" s="495">
        <v>323</v>
      </c>
      <c r="CX1323" s="495">
        <v>265</v>
      </c>
      <c r="CY1323" s="492">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277"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277"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277"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278"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279"/>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280" t="s">
        <v>1364</v>
      </c>
      <c r="C1329" s="68" t="str">
        <f>CONCATENATE(A1329," - ",B1329)</f>
        <v>NHSE regions - East of England</v>
      </c>
      <c r="D1329" s="492">
        <f t="shared" ref="D1329:E1335" si="236">I1329</f>
        <v>2472845</v>
      </c>
      <c r="E1329" s="492">
        <f t="shared" si="236"/>
        <v>2628742</v>
      </c>
      <c r="F1329" s="493">
        <f t="shared" ref="F1329:F1335" si="237">G1329+H1329</f>
        <v>6468665</v>
      </c>
      <c r="G1329" s="493">
        <f t="shared" ref="G1329:G1335" si="238">SUM(M1329:CY1329)</f>
        <v>3173297</v>
      </c>
      <c r="H1329" s="494">
        <f t="shared" ref="H1329:H1335" si="239">SUM(CZ1329:GL1329)</f>
        <v>3295368</v>
      </c>
      <c r="I1329" s="494">
        <f t="shared" ref="I1329:I1335" si="240">SUM(AE1329:CY1329)</f>
        <v>2472845</v>
      </c>
      <c r="J1329" s="494">
        <f t="shared" ref="J1329:J1335" si="241">SUM(DR1329:GL1329)</f>
        <v>2628742</v>
      </c>
      <c r="K1329" s="495">
        <f t="shared" ref="K1329:K1335" si="242">SUM(M1329:AD1329)</f>
        <v>700452</v>
      </c>
      <c r="L1329" s="492">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280"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280"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280"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280"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280"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7" t="s">
        <v>25</v>
      </c>
      <c r="B1335" s="280"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281"/>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91"/>
      <c r="O1336" s="491"/>
      <c r="P1336" s="491"/>
      <c r="Q1336" s="491"/>
      <c r="R1336" s="491"/>
      <c r="S1336" s="491"/>
      <c r="T1336" s="491"/>
      <c r="U1336" s="491"/>
      <c r="V1336" s="491"/>
      <c r="W1336" s="491"/>
      <c r="X1336" s="491"/>
      <c r="Y1336" s="491"/>
      <c r="Z1336" s="491"/>
      <c r="AA1336" s="491"/>
      <c r="AB1336" s="491"/>
      <c r="AC1336" s="491"/>
      <c r="AD1336" s="491"/>
      <c r="AE1336" s="491"/>
      <c r="AF1336" s="491"/>
      <c r="AG1336" s="491"/>
      <c r="AH1336" s="491"/>
      <c r="AI1336" s="491"/>
      <c r="AJ1336" s="491"/>
      <c r="AK1336" s="491"/>
      <c r="AL1336" s="491"/>
      <c r="AM1336" s="491"/>
      <c r="AN1336" s="491"/>
      <c r="AO1336" s="491"/>
      <c r="AP1336" s="491"/>
      <c r="AQ1336" s="491"/>
      <c r="AR1336" s="491"/>
      <c r="AS1336" s="491"/>
      <c r="AT1336" s="491"/>
      <c r="AU1336" s="491"/>
      <c r="AV1336" s="491"/>
      <c r="AW1336" s="491"/>
      <c r="AX1336" s="491"/>
      <c r="AY1336" s="491"/>
      <c r="AZ1336" s="491"/>
      <c r="BA1336" s="491"/>
      <c r="BB1336" s="491"/>
      <c r="BC1336" s="491"/>
      <c r="BD1336" s="491"/>
      <c r="BE1336" s="491"/>
      <c r="BF1336" s="491"/>
      <c r="BG1336" s="491"/>
      <c r="BH1336" s="491"/>
      <c r="BI1336" s="491"/>
      <c r="BJ1336" s="491"/>
      <c r="BK1336" s="491"/>
      <c r="BL1336" s="491"/>
      <c r="BM1336" s="491"/>
      <c r="BN1336" s="491"/>
      <c r="BO1336" s="491"/>
      <c r="BP1336" s="491"/>
      <c r="BQ1336" s="491"/>
      <c r="BR1336" s="491"/>
      <c r="BS1336" s="491"/>
      <c r="BT1336" s="491"/>
      <c r="BU1336" s="491"/>
      <c r="BV1336" s="491"/>
      <c r="BW1336" s="491"/>
      <c r="BX1336" s="491"/>
      <c r="BY1336" s="491"/>
      <c r="BZ1336" s="491"/>
      <c r="CA1336" s="491"/>
      <c r="CB1336" s="491"/>
      <c r="CC1336" s="491"/>
      <c r="CD1336" s="491"/>
      <c r="CE1336" s="491"/>
      <c r="CF1336" s="491"/>
      <c r="CG1336" s="491"/>
      <c r="CH1336" s="491"/>
      <c r="CI1336" s="491"/>
      <c r="CJ1336" s="491"/>
      <c r="CK1336" s="491"/>
      <c r="CL1336" s="491"/>
      <c r="CM1336" s="491"/>
      <c r="CN1336" s="491"/>
      <c r="CO1336" s="491"/>
      <c r="CP1336" s="491"/>
      <c r="CQ1336" s="491"/>
      <c r="CR1336" s="491"/>
      <c r="CS1336" s="491"/>
      <c r="CT1336" s="491"/>
      <c r="CU1336" s="491"/>
      <c r="CV1336" s="491"/>
      <c r="CW1336" s="491"/>
      <c r="CX1336" s="491"/>
      <c r="CY1336" s="488"/>
      <c r="CZ1336" s="109"/>
      <c r="DA1336" s="491"/>
      <c r="DB1336" s="491"/>
      <c r="DC1336" s="491"/>
      <c r="DD1336" s="491"/>
      <c r="DE1336" s="491"/>
      <c r="DF1336" s="491"/>
      <c r="DG1336" s="491"/>
      <c r="DH1336" s="491"/>
      <c r="DI1336" s="491"/>
      <c r="DJ1336" s="491"/>
      <c r="DK1336" s="491"/>
      <c r="DL1336" s="491"/>
      <c r="DM1336" s="491"/>
      <c r="DN1336" s="491"/>
      <c r="DO1336" s="491"/>
      <c r="DP1336" s="491"/>
      <c r="DQ1336" s="491"/>
      <c r="DR1336" s="491"/>
      <c r="DS1336" s="491"/>
      <c r="DT1336" s="491"/>
      <c r="DU1336" s="491"/>
      <c r="DV1336" s="491"/>
      <c r="DW1336" s="491"/>
      <c r="DX1336" s="491"/>
      <c r="DY1336" s="491"/>
      <c r="DZ1336" s="491"/>
      <c r="EA1336" s="491"/>
      <c r="EB1336" s="491"/>
      <c r="EC1336" s="491"/>
      <c r="ED1336" s="491"/>
      <c r="EE1336" s="491"/>
      <c r="EF1336" s="491"/>
      <c r="EG1336" s="491"/>
      <c r="EH1336" s="491"/>
      <c r="EI1336" s="491"/>
      <c r="EJ1336" s="491"/>
      <c r="EK1336" s="491"/>
      <c r="EL1336" s="491"/>
      <c r="EM1336" s="491"/>
      <c r="EN1336" s="491"/>
      <c r="EO1336" s="491"/>
      <c r="EP1336" s="491"/>
      <c r="EQ1336" s="491"/>
      <c r="ER1336" s="491"/>
      <c r="ES1336" s="491"/>
      <c r="ET1336" s="491"/>
      <c r="EU1336" s="491"/>
      <c r="EV1336" s="491"/>
      <c r="EW1336" s="491"/>
      <c r="EX1336" s="491"/>
      <c r="EY1336" s="491"/>
      <c r="EZ1336" s="491"/>
      <c r="FA1336" s="491"/>
      <c r="FB1336" s="491"/>
      <c r="FC1336" s="491"/>
      <c r="FD1336" s="491"/>
      <c r="FE1336" s="491"/>
      <c r="FF1336" s="491"/>
      <c r="FG1336" s="491"/>
      <c r="FH1336" s="491"/>
      <c r="FI1336" s="491"/>
      <c r="FJ1336" s="491"/>
      <c r="FK1336" s="491"/>
      <c r="FL1336" s="491"/>
      <c r="FM1336" s="491"/>
      <c r="FN1336" s="491"/>
      <c r="FO1336" s="491"/>
      <c r="FP1336" s="491"/>
      <c r="FQ1336" s="491"/>
      <c r="FR1336" s="491"/>
      <c r="FS1336" s="491"/>
      <c r="FT1336" s="491"/>
      <c r="FU1336" s="491"/>
      <c r="FV1336" s="491"/>
      <c r="FW1336" s="491"/>
      <c r="FX1336" s="491"/>
      <c r="FY1336" s="491"/>
      <c r="FZ1336" s="491"/>
      <c r="GA1336" s="491"/>
      <c r="GB1336" s="491"/>
      <c r="GC1336" s="491"/>
      <c r="GD1336" s="491"/>
      <c r="GE1336" s="491"/>
      <c r="GF1336" s="491"/>
      <c r="GG1336" s="491"/>
      <c r="GH1336" s="491"/>
      <c r="GI1336" s="491"/>
      <c r="GJ1336" s="491"/>
      <c r="GK1336" s="491"/>
      <c r="GL1336" s="488"/>
    </row>
    <row r="1337" spans="1:194" s="1" customFormat="1" x14ac:dyDescent="0.3">
      <c r="A1337" s="98" t="s">
        <v>17</v>
      </c>
      <c r="B1337" s="282" t="s">
        <v>1371</v>
      </c>
      <c r="C1337" s="496"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3">
        <f t="shared" ref="G1337:G1342" si="248">SUM(M1337:CY1337)</f>
        <v>476033</v>
      </c>
      <c r="H1337" s="494">
        <f t="shared" ref="H1337:H1342" si="249">SUM(CZ1337:GL1337)</f>
        <v>487591</v>
      </c>
      <c r="I1337" s="493">
        <f t="shared" ref="I1337:I1342" si="250">SUM(AE1337:CY1337)</f>
        <v>376293</v>
      </c>
      <c r="J1337" s="94">
        <f t="shared" ref="J1337:J1342" si="251">SUM(DR1337:GL1337)</f>
        <v>392407</v>
      </c>
      <c r="K1337" s="96">
        <f t="shared" ref="K1337:K1342" si="252">SUM(M1337:AD1337)</f>
        <v>99740</v>
      </c>
      <c r="L1337" s="492">
        <f t="shared" ref="L1337:L1342" si="253">SUM(CZ1337:DQ1337)</f>
        <v>95184</v>
      </c>
      <c r="M1337" s="96">
        <v>4477</v>
      </c>
      <c r="N1337" s="495">
        <v>4861</v>
      </c>
      <c r="O1337" s="495">
        <v>4857</v>
      </c>
      <c r="P1337" s="495">
        <v>5120</v>
      </c>
      <c r="Q1337" s="495">
        <v>5340</v>
      </c>
      <c r="R1337" s="495">
        <v>5267</v>
      </c>
      <c r="S1337" s="495">
        <v>5565</v>
      </c>
      <c r="T1337" s="495">
        <v>5775</v>
      </c>
      <c r="U1337" s="495">
        <v>5677</v>
      </c>
      <c r="V1337" s="495">
        <v>5730</v>
      </c>
      <c r="W1337" s="495">
        <v>6094</v>
      </c>
      <c r="X1337" s="495">
        <v>6096</v>
      </c>
      <c r="Y1337" s="495">
        <v>6110</v>
      </c>
      <c r="Z1337" s="495">
        <v>5915</v>
      </c>
      <c r="AA1337" s="495">
        <v>5725</v>
      </c>
      <c r="AB1337" s="495">
        <v>5890</v>
      </c>
      <c r="AC1337" s="495">
        <v>5713</v>
      </c>
      <c r="AD1337" s="495">
        <v>5528</v>
      </c>
      <c r="AE1337" s="495">
        <v>6099</v>
      </c>
      <c r="AF1337" s="495">
        <v>6876</v>
      </c>
      <c r="AG1337" s="495">
        <v>6388</v>
      </c>
      <c r="AH1337" s="495">
        <v>5685</v>
      </c>
      <c r="AI1337" s="495">
        <v>5937</v>
      </c>
      <c r="AJ1337" s="495">
        <v>5922</v>
      </c>
      <c r="AK1337" s="495">
        <v>5776</v>
      </c>
      <c r="AL1337" s="495">
        <v>5647</v>
      </c>
      <c r="AM1337" s="495">
        <v>5858</v>
      </c>
      <c r="AN1337" s="495">
        <v>5531</v>
      </c>
      <c r="AO1337" s="495">
        <v>5733</v>
      </c>
      <c r="AP1337" s="495">
        <v>5627</v>
      </c>
      <c r="AQ1337" s="495">
        <v>5850</v>
      </c>
      <c r="AR1337" s="495">
        <v>5943</v>
      </c>
      <c r="AS1337" s="495">
        <v>6114</v>
      </c>
      <c r="AT1337" s="495">
        <v>6094</v>
      </c>
      <c r="AU1337" s="495">
        <v>6151</v>
      </c>
      <c r="AV1337" s="495">
        <v>6309</v>
      </c>
      <c r="AW1337" s="495">
        <v>6114</v>
      </c>
      <c r="AX1337" s="495">
        <v>6027</v>
      </c>
      <c r="AY1337" s="495">
        <v>6282</v>
      </c>
      <c r="AZ1337" s="495">
        <v>5922</v>
      </c>
      <c r="BA1337" s="495">
        <v>5871</v>
      </c>
      <c r="BB1337" s="495">
        <v>5951</v>
      </c>
      <c r="BC1337" s="495">
        <v>6020</v>
      </c>
      <c r="BD1337" s="495">
        <v>6187</v>
      </c>
      <c r="BE1337" s="495">
        <v>5775</v>
      </c>
      <c r="BF1337" s="495">
        <v>5379</v>
      </c>
      <c r="BG1337" s="495">
        <v>5331</v>
      </c>
      <c r="BH1337" s="495">
        <v>5709</v>
      </c>
      <c r="BI1337" s="495">
        <v>5799</v>
      </c>
      <c r="BJ1337" s="495">
        <v>6184</v>
      </c>
      <c r="BK1337" s="495">
        <v>6388</v>
      </c>
      <c r="BL1337" s="495">
        <v>6475</v>
      </c>
      <c r="BM1337" s="495">
        <v>6677</v>
      </c>
      <c r="BN1337" s="495">
        <v>6361</v>
      </c>
      <c r="BO1337" s="495">
        <v>6577</v>
      </c>
      <c r="BP1337" s="495">
        <v>6657</v>
      </c>
      <c r="BQ1337" s="495">
        <v>6748</v>
      </c>
      <c r="BR1337" s="495">
        <v>6835</v>
      </c>
      <c r="BS1337" s="495">
        <v>6717</v>
      </c>
      <c r="BT1337" s="495">
        <v>6662</v>
      </c>
      <c r="BU1337" s="495">
        <v>6554</v>
      </c>
      <c r="BV1337" s="495">
        <v>6364</v>
      </c>
      <c r="BW1337" s="495">
        <v>6190</v>
      </c>
      <c r="BX1337" s="495">
        <v>5814</v>
      </c>
      <c r="BY1337" s="495">
        <v>5478</v>
      </c>
      <c r="BZ1337" s="495">
        <v>5333</v>
      </c>
      <c r="CA1337" s="495">
        <v>5004</v>
      </c>
      <c r="CB1337" s="495">
        <v>4899</v>
      </c>
      <c r="CC1337" s="495">
        <v>4757</v>
      </c>
      <c r="CD1337" s="495">
        <v>4569</v>
      </c>
      <c r="CE1337" s="495">
        <v>4595</v>
      </c>
      <c r="CF1337" s="495">
        <v>4335</v>
      </c>
      <c r="CG1337" s="495">
        <v>4322</v>
      </c>
      <c r="CH1337" s="495">
        <v>4349</v>
      </c>
      <c r="CI1337" s="495">
        <v>4541</v>
      </c>
      <c r="CJ1337" s="495">
        <v>4699</v>
      </c>
      <c r="CK1337" s="495">
        <v>5003</v>
      </c>
      <c r="CL1337" s="495">
        <v>3836</v>
      </c>
      <c r="CM1337" s="495">
        <v>3450</v>
      </c>
      <c r="CN1337" s="495">
        <v>3356</v>
      </c>
      <c r="CO1337" s="495">
        <v>3094</v>
      </c>
      <c r="CP1337" s="495">
        <v>2626</v>
      </c>
      <c r="CQ1337" s="495">
        <v>2189</v>
      </c>
      <c r="CR1337" s="495">
        <v>2168</v>
      </c>
      <c r="CS1337" s="495">
        <v>2017</v>
      </c>
      <c r="CT1337" s="495">
        <v>1851</v>
      </c>
      <c r="CU1337" s="495">
        <v>1674</v>
      </c>
      <c r="CV1337" s="495">
        <v>1396</v>
      </c>
      <c r="CW1337" s="495">
        <v>1198</v>
      </c>
      <c r="CX1337" s="495">
        <v>1036</v>
      </c>
      <c r="CY1337" s="492">
        <v>3408</v>
      </c>
      <c r="CZ1337" s="96">
        <v>4214</v>
      </c>
      <c r="DA1337" s="495">
        <v>4718</v>
      </c>
      <c r="DB1337" s="495">
        <v>4671</v>
      </c>
      <c r="DC1337" s="495">
        <v>4862</v>
      </c>
      <c r="DD1337" s="495">
        <v>5065</v>
      </c>
      <c r="DE1337" s="495">
        <v>5169</v>
      </c>
      <c r="DF1337" s="495">
        <v>5321</v>
      </c>
      <c r="DG1337" s="495">
        <v>5425</v>
      </c>
      <c r="DH1337" s="495">
        <v>5397</v>
      </c>
      <c r="DI1337" s="495">
        <v>5522</v>
      </c>
      <c r="DJ1337" s="495">
        <v>5473</v>
      </c>
      <c r="DK1337" s="495">
        <v>5801</v>
      </c>
      <c r="DL1337" s="495">
        <v>5680</v>
      </c>
      <c r="DM1337" s="495">
        <v>5657</v>
      </c>
      <c r="DN1337" s="495">
        <v>5637</v>
      </c>
      <c r="DO1337" s="495">
        <v>5871</v>
      </c>
      <c r="DP1337" s="495">
        <v>5372</v>
      </c>
      <c r="DQ1337" s="495">
        <v>5329</v>
      </c>
      <c r="DR1337" s="495">
        <v>5521</v>
      </c>
      <c r="DS1337" s="495">
        <v>5756</v>
      </c>
      <c r="DT1337" s="495">
        <v>5196</v>
      </c>
      <c r="DU1337" s="495">
        <v>4940</v>
      </c>
      <c r="DV1337" s="495">
        <v>5387</v>
      </c>
      <c r="DW1337" s="495">
        <v>5054</v>
      </c>
      <c r="DX1337" s="495">
        <v>5175</v>
      </c>
      <c r="DY1337" s="495">
        <v>5324</v>
      </c>
      <c r="DZ1337" s="495">
        <v>5222</v>
      </c>
      <c r="EA1337" s="495">
        <v>5316</v>
      </c>
      <c r="EB1337" s="495">
        <v>5654</v>
      </c>
      <c r="EC1337" s="495">
        <v>5910</v>
      </c>
      <c r="ED1337" s="495">
        <v>5863</v>
      </c>
      <c r="EE1337" s="495">
        <v>6294</v>
      </c>
      <c r="EF1337" s="495">
        <v>6329</v>
      </c>
      <c r="EG1337" s="495">
        <v>6430</v>
      </c>
      <c r="EH1337" s="495">
        <v>6305</v>
      </c>
      <c r="EI1337" s="495">
        <v>6754</v>
      </c>
      <c r="EJ1337" s="495">
        <v>6280</v>
      </c>
      <c r="EK1337" s="495">
        <v>6342</v>
      </c>
      <c r="EL1337" s="495">
        <v>6424</v>
      </c>
      <c r="EM1337" s="495">
        <v>5995</v>
      </c>
      <c r="EN1337" s="495">
        <v>6316</v>
      </c>
      <c r="EO1337" s="495">
        <v>6191</v>
      </c>
      <c r="EP1337" s="495">
        <v>6133</v>
      </c>
      <c r="EQ1337" s="495">
        <v>6099</v>
      </c>
      <c r="ER1337" s="495">
        <v>6038</v>
      </c>
      <c r="ES1337" s="495">
        <v>5723</v>
      </c>
      <c r="ET1337" s="495">
        <v>5676</v>
      </c>
      <c r="EU1337" s="495">
        <v>5725</v>
      </c>
      <c r="EV1337" s="495">
        <v>6188</v>
      </c>
      <c r="EW1337" s="495">
        <v>6328</v>
      </c>
      <c r="EX1337" s="495">
        <v>6666</v>
      </c>
      <c r="EY1337" s="495">
        <v>6467</v>
      </c>
      <c r="EZ1337" s="495">
        <v>6831</v>
      </c>
      <c r="FA1337" s="495">
        <v>6705</v>
      </c>
      <c r="FB1337" s="495">
        <v>6802</v>
      </c>
      <c r="FC1337" s="495">
        <v>7051</v>
      </c>
      <c r="FD1337" s="495">
        <v>7034</v>
      </c>
      <c r="FE1337" s="495">
        <v>6862</v>
      </c>
      <c r="FF1337" s="495">
        <v>7004</v>
      </c>
      <c r="FG1337" s="495">
        <v>6690</v>
      </c>
      <c r="FH1337" s="495">
        <v>6647</v>
      </c>
      <c r="FI1337" s="495">
        <v>6662</v>
      </c>
      <c r="FJ1337" s="495">
        <v>6120</v>
      </c>
      <c r="FK1337" s="495">
        <v>5959</v>
      </c>
      <c r="FL1337" s="495">
        <v>5778</v>
      </c>
      <c r="FM1337" s="495">
        <v>5562</v>
      </c>
      <c r="FN1337" s="495">
        <v>5369</v>
      </c>
      <c r="FO1337" s="495">
        <v>5178</v>
      </c>
      <c r="FP1337" s="495">
        <v>5029</v>
      </c>
      <c r="FQ1337" s="495">
        <v>5175</v>
      </c>
      <c r="FR1337" s="495">
        <v>4921</v>
      </c>
      <c r="FS1337" s="495">
        <v>4769</v>
      </c>
      <c r="FT1337" s="495">
        <v>4774</v>
      </c>
      <c r="FU1337" s="495">
        <v>4911</v>
      </c>
      <c r="FV1337" s="495">
        <v>5048</v>
      </c>
      <c r="FW1337" s="495">
        <v>5069</v>
      </c>
      <c r="FX1337" s="495">
        <v>5634</v>
      </c>
      <c r="FY1337" s="495">
        <v>4367</v>
      </c>
      <c r="FZ1337" s="495">
        <v>4146</v>
      </c>
      <c r="GA1337" s="495">
        <v>3937</v>
      </c>
      <c r="GB1337" s="495">
        <v>3626</v>
      </c>
      <c r="GC1337" s="495">
        <v>3111</v>
      </c>
      <c r="GD1337" s="495">
        <v>2748</v>
      </c>
      <c r="GE1337" s="495">
        <v>2778</v>
      </c>
      <c r="GF1337" s="495">
        <v>2638</v>
      </c>
      <c r="GG1337" s="495">
        <v>2379</v>
      </c>
      <c r="GH1337" s="495">
        <v>2175</v>
      </c>
      <c r="GI1337" s="495">
        <v>2016</v>
      </c>
      <c r="GJ1337" s="495">
        <v>1754</v>
      </c>
      <c r="GK1337" s="495">
        <v>1482</v>
      </c>
      <c r="GL1337" s="492">
        <v>6645</v>
      </c>
    </row>
    <row r="1338" spans="1:194" s="1" customFormat="1" x14ac:dyDescent="0.3">
      <c r="A1338" s="100" t="s">
        <v>17</v>
      </c>
      <c r="B1338" s="283"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283"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283"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100" t="s">
        <v>17</v>
      </c>
      <c r="B1341" s="283"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100" t="s">
        <v>17</v>
      </c>
      <c r="B1342" s="283"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100" t="s">
        <v>17</v>
      </c>
      <c r="B1343" s="283"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100" t="s">
        <v>17</v>
      </c>
      <c r="B1344" s="283"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100" t="s">
        <v>17</v>
      </c>
      <c r="B1345" s="283"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100" t="s">
        <v>17</v>
      </c>
      <c r="B1346" s="283"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100" t="s">
        <v>17</v>
      </c>
      <c r="B1347" s="283"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100" t="s">
        <v>17</v>
      </c>
      <c r="B1348" s="283"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100" t="s">
        <v>17</v>
      </c>
      <c r="B1349" s="283"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100" t="s">
        <v>17</v>
      </c>
      <c r="B1350" s="283"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100" t="s">
        <v>17</v>
      </c>
      <c r="B1351" s="283"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100" t="s">
        <v>17</v>
      </c>
      <c r="B1352" s="283"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100" t="s">
        <v>17</v>
      </c>
      <c r="B1353" s="283"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100" t="s">
        <v>17</v>
      </c>
      <c r="B1354" s="283"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100" t="s">
        <v>17</v>
      </c>
      <c r="B1355" s="283"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100" t="s">
        <v>17</v>
      </c>
      <c r="B1356" s="283"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100" t="s">
        <v>17</v>
      </c>
      <c r="B1357" s="283"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100" t="s">
        <v>17</v>
      </c>
      <c r="B1358" s="283"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100" t="s">
        <v>17</v>
      </c>
      <c r="B1359" s="283"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100" t="s">
        <v>17</v>
      </c>
      <c r="B1360" s="283"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100" t="s">
        <v>17</v>
      </c>
      <c r="B1361" s="283"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100" t="s">
        <v>17</v>
      </c>
      <c r="B1362" s="283"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100" t="s">
        <v>17</v>
      </c>
      <c r="B1363" s="283"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100" t="s">
        <v>17</v>
      </c>
      <c r="B1364" s="283"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100" t="s">
        <v>17</v>
      </c>
      <c r="B1365" s="283"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100" t="s">
        <v>17</v>
      </c>
      <c r="B1366" s="283"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100" t="s">
        <v>17</v>
      </c>
      <c r="B1367" s="283"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100" t="s">
        <v>17</v>
      </c>
      <c r="B1368" s="283"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100" t="s">
        <v>17</v>
      </c>
      <c r="B1369" s="283"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100" t="s">
        <v>17</v>
      </c>
      <c r="B1370" s="283"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100" t="s">
        <v>17</v>
      </c>
      <c r="B1371" s="283"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100" t="s">
        <v>17</v>
      </c>
      <c r="B1372" s="283"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100" t="s">
        <v>17</v>
      </c>
      <c r="B1373" s="283"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100" t="s">
        <v>17</v>
      </c>
      <c r="B1374" s="283"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283"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283"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283"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283"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284"/>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1413</v>
      </c>
      <c r="C1380" s="68" t="str">
        <f>CONCATENATE(A1380," - ",B1380)</f>
        <v>LA England - Adur</v>
      </c>
      <c r="D1380" s="492">
        <f t="shared" ref="D1380:D1444" si="274">I1380</f>
        <v>24508</v>
      </c>
      <c r="E1380" s="492">
        <f t="shared" ref="E1380:E1444" si="275">J1380</f>
        <v>27095</v>
      </c>
      <c r="F1380" s="493">
        <f t="shared" ref="F1380:F1444" si="276">G1380+H1380</f>
        <v>64687</v>
      </c>
      <c r="G1380" s="493">
        <f t="shared" ref="G1380:G1444" si="277">SUM(M1380:CY1380)</f>
        <v>31332</v>
      </c>
      <c r="H1380" s="494">
        <f t="shared" ref="H1380:H1444" si="278">SUM(CZ1380:GL1380)</f>
        <v>33355</v>
      </c>
      <c r="I1380" s="494">
        <f t="shared" ref="I1380:I1444" si="279">SUM(AE1380:CY1380)</f>
        <v>24508</v>
      </c>
      <c r="J1380" s="494">
        <f t="shared" ref="J1380:J1444" si="280">SUM(DR1380:GL1380)</f>
        <v>27095</v>
      </c>
      <c r="K1380" s="49">
        <f t="shared" ref="K1380:K1444" si="281">SUM(M1380:AD1380)</f>
        <v>6824</v>
      </c>
      <c r="L1380" s="492">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9">
        <v>336</v>
      </c>
      <c r="N1677" s="269">
        <v>399</v>
      </c>
      <c r="O1677" s="269">
        <v>349</v>
      </c>
      <c r="P1677" s="269">
        <v>382</v>
      </c>
      <c r="Q1677" s="269">
        <v>397</v>
      </c>
      <c r="R1677" s="269">
        <v>382</v>
      </c>
      <c r="S1677" s="269">
        <v>334</v>
      </c>
      <c r="T1677" s="269">
        <v>370</v>
      </c>
      <c r="U1677" s="269">
        <v>382</v>
      </c>
      <c r="V1677" s="269">
        <v>393</v>
      </c>
      <c r="W1677" s="269">
        <v>402</v>
      </c>
      <c r="X1677" s="269">
        <v>376</v>
      </c>
      <c r="Y1677" s="269">
        <v>426</v>
      </c>
      <c r="Z1677" s="269">
        <v>413</v>
      </c>
      <c r="AA1677" s="269">
        <v>438</v>
      </c>
      <c r="AB1677" s="269">
        <v>396</v>
      </c>
      <c r="AC1677" s="269">
        <v>329</v>
      </c>
      <c r="AD1677" s="269">
        <v>345</v>
      </c>
      <c r="AE1677" s="269">
        <v>361</v>
      </c>
      <c r="AF1677" s="269">
        <v>348</v>
      </c>
      <c r="AG1677" s="269">
        <v>313</v>
      </c>
      <c r="AH1677" s="269">
        <v>306</v>
      </c>
      <c r="AI1677" s="269">
        <v>367</v>
      </c>
      <c r="AJ1677" s="269">
        <v>383</v>
      </c>
      <c r="AK1677" s="269">
        <v>374</v>
      </c>
      <c r="AL1677" s="269">
        <v>407</v>
      </c>
      <c r="AM1677" s="269">
        <v>421</v>
      </c>
      <c r="AN1677" s="269">
        <v>360</v>
      </c>
      <c r="AO1677" s="269">
        <v>366</v>
      </c>
      <c r="AP1677" s="269">
        <v>456</v>
      </c>
      <c r="AQ1677" s="269">
        <v>450</v>
      </c>
      <c r="AR1677" s="269">
        <v>476</v>
      </c>
      <c r="AS1677" s="269">
        <v>463</v>
      </c>
      <c r="AT1677" s="269">
        <v>434</v>
      </c>
      <c r="AU1677" s="269">
        <v>482</v>
      </c>
      <c r="AV1677" s="269">
        <v>412</v>
      </c>
      <c r="AW1677" s="269">
        <v>433</v>
      </c>
      <c r="AX1677" s="269">
        <v>442</v>
      </c>
      <c r="AY1677" s="269">
        <v>438</v>
      </c>
      <c r="AZ1677" s="269">
        <v>396</v>
      </c>
      <c r="BA1677" s="269">
        <v>427</v>
      </c>
      <c r="BB1677" s="269">
        <v>360</v>
      </c>
      <c r="BC1677" s="269">
        <v>384</v>
      </c>
      <c r="BD1677" s="269">
        <v>378</v>
      </c>
      <c r="BE1677" s="269">
        <v>366</v>
      </c>
      <c r="BF1677" s="269">
        <v>352</v>
      </c>
      <c r="BG1677" s="269">
        <v>300</v>
      </c>
      <c r="BH1677" s="269">
        <v>338</v>
      </c>
      <c r="BI1677" s="269">
        <v>409</v>
      </c>
      <c r="BJ1677" s="269">
        <v>382</v>
      </c>
      <c r="BK1677" s="269">
        <v>432</v>
      </c>
      <c r="BL1677" s="269">
        <v>488</v>
      </c>
      <c r="BM1677" s="269">
        <v>474</v>
      </c>
      <c r="BN1677" s="269">
        <v>478</v>
      </c>
      <c r="BO1677" s="269">
        <v>516</v>
      </c>
      <c r="BP1677" s="269">
        <v>504</v>
      </c>
      <c r="BQ1677" s="269">
        <v>497</v>
      </c>
      <c r="BR1677" s="269">
        <v>519</v>
      </c>
      <c r="BS1677" s="269">
        <v>526</v>
      </c>
      <c r="BT1677" s="269">
        <v>509</v>
      </c>
      <c r="BU1677" s="269">
        <v>487</v>
      </c>
      <c r="BV1677" s="269">
        <v>492</v>
      </c>
      <c r="BW1677" s="269">
        <v>426</v>
      </c>
      <c r="BX1677" s="269">
        <v>434</v>
      </c>
      <c r="BY1677" s="269">
        <v>423</v>
      </c>
      <c r="BZ1677" s="269">
        <v>361</v>
      </c>
      <c r="CA1677" s="269">
        <v>439</v>
      </c>
      <c r="CB1677" s="269">
        <v>391</v>
      </c>
      <c r="CC1677" s="269">
        <v>372</v>
      </c>
      <c r="CD1677" s="269">
        <v>348</v>
      </c>
      <c r="CE1677" s="269">
        <v>371</v>
      </c>
      <c r="CF1677" s="269">
        <v>333</v>
      </c>
      <c r="CG1677" s="269">
        <v>348</v>
      </c>
      <c r="CH1677" s="269">
        <v>344</v>
      </c>
      <c r="CI1677" s="269">
        <v>346</v>
      </c>
      <c r="CJ1677" s="269">
        <v>334</v>
      </c>
      <c r="CK1677" s="269">
        <v>378</v>
      </c>
      <c r="CL1677" s="269">
        <v>278</v>
      </c>
      <c r="CM1677" s="269">
        <v>249</v>
      </c>
      <c r="CN1677" s="269">
        <v>228</v>
      </c>
      <c r="CO1677" s="269">
        <v>248</v>
      </c>
      <c r="CP1677" s="269">
        <v>192</v>
      </c>
      <c r="CQ1677" s="269">
        <v>169</v>
      </c>
      <c r="CR1677" s="269">
        <v>139</v>
      </c>
      <c r="CS1677" s="269">
        <v>153</v>
      </c>
      <c r="CT1677" s="269">
        <v>108</v>
      </c>
      <c r="CU1677" s="269">
        <v>90</v>
      </c>
      <c r="CV1677" s="269">
        <v>95</v>
      </c>
      <c r="CW1677" s="269">
        <v>75</v>
      </c>
      <c r="CX1677" s="269">
        <v>40</v>
      </c>
      <c r="CY1677" s="26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9">
        <v>678</v>
      </c>
      <c r="N1678" s="269">
        <v>735</v>
      </c>
      <c r="O1678" s="269">
        <v>694</v>
      </c>
      <c r="P1678" s="269">
        <v>730</v>
      </c>
      <c r="Q1678" s="269">
        <v>759</v>
      </c>
      <c r="R1678" s="269">
        <v>792</v>
      </c>
      <c r="S1678" s="269">
        <v>821</v>
      </c>
      <c r="T1678" s="269">
        <v>821</v>
      </c>
      <c r="U1678" s="269">
        <v>863</v>
      </c>
      <c r="V1678" s="269">
        <v>873</v>
      </c>
      <c r="W1678" s="269">
        <v>876</v>
      </c>
      <c r="X1678" s="269">
        <v>873</v>
      </c>
      <c r="Y1678" s="269">
        <v>977</v>
      </c>
      <c r="Z1678" s="269">
        <v>892</v>
      </c>
      <c r="AA1678" s="269">
        <v>927</v>
      </c>
      <c r="AB1678" s="269">
        <v>890</v>
      </c>
      <c r="AC1678" s="269">
        <v>873</v>
      </c>
      <c r="AD1678" s="269">
        <v>842</v>
      </c>
      <c r="AE1678" s="269">
        <v>884</v>
      </c>
      <c r="AF1678" s="269">
        <v>708</v>
      </c>
      <c r="AG1678" s="269">
        <v>645</v>
      </c>
      <c r="AH1678" s="269">
        <v>652</v>
      </c>
      <c r="AI1678" s="269">
        <v>698</v>
      </c>
      <c r="AJ1678" s="269">
        <v>769</v>
      </c>
      <c r="AK1678" s="269">
        <v>835</v>
      </c>
      <c r="AL1678" s="269">
        <v>874</v>
      </c>
      <c r="AM1678" s="269">
        <v>965</v>
      </c>
      <c r="AN1678" s="269">
        <v>892</v>
      </c>
      <c r="AO1678" s="269">
        <v>834</v>
      </c>
      <c r="AP1678" s="269">
        <v>965</v>
      </c>
      <c r="AQ1678" s="269">
        <v>852</v>
      </c>
      <c r="AR1678" s="269">
        <v>987</v>
      </c>
      <c r="AS1678" s="269">
        <v>930</v>
      </c>
      <c r="AT1678" s="269">
        <v>976</v>
      </c>
      <c r="AU1678" s="269">
        <v>1027</v>
      </c>
      <c r="AV1678" s="269">
        <v>1005</v>
      </c>
      <c r="AW1678" s="269">
        <v>992</v>
      </c>
      <c r="AX1678" s="269">
        <v>957</v>
      </c>
      <c r="AY1678" s="269">
        <v>959</v>
      </c>
      <c r="AZ1678" s="269">
        <v>877</v>
      </c>
      <c r="BA1678" s="269">
        <v>888</v>
      </c>
      <c r="BB1678" s="269">
        <v>884</v>
      </c>
      <c r="BC1678" s="269">
        <v>931</v>
      </c>
      <c r="BD1678" s="269">
        <v>952</v>
      </c>
      <c r="BE1678" s="269">
        <v>878</v>
      </c>
      <c r="BF1678" s="269">
        <v>811</v>
      </c>
      <c r="BG1678" s="269">
        <v>774</v>
      </c>
      <c r="BH1678" s="269">
        <v>826</v>
      </c>
      <c r="BI1678" s="269">
        <v>824</v>
      </c>
      <c r="BJ1678" s="269">
        <v>896</v>
      </c>
      <c r="BK1678" s="269">
        <v>894</v>
      </c>
      <c r="BL1678" s="269">
        <v>1000</v>
      </c>
      <c r="BM1678" s="269">
        <v>1085</v>
      </c>
      <c r="BN1678" s="269">
        <v>960</v>
      </c>
      <c r="BO1678" s="269">
        <v>1020</v>
      </c>
      <c r="BP1678" s="269">
        <v>1073</v>
      </c>
      <c r="BQ1678" s="269">
        <v>1054</v>
      </c>
      <c r="BR1678" s="269">
        <v>1090</v>
      </c>
      <c r="BS1678" s="269">
        <v>1053</v>
      </c>
      <c r="BT1678" s="269">
        <v>1076</v>
      </c>
      <c r="BU1678" s="269">
        <v>996</v>
      </c>
      <c r="BV1678" s="269">
        <v>1035</v>
      </c>
      <c r="BW1678" s="269">
        <v>973</v>
      </c>
      <c r="BX1678" s="269">
        <v>921</v>
      </c>
      <c r="BY1678" s="269">
        <v>918</v>
      </c>
      <c r="BZ1678" s="269">
        <v>897</v>
      </c>
      <c r="CA1678" s="269">
        <v>829</v>
      </c>
      <c r="CB1678" s="269">
        <v>815</v>
      </c>
      <c r="CC1678" s="269">
        <v>750</v>
      </c>
      <c r="CD1678" s="269">
        <v>727</v>
      </c>
      <c r="CE1678" s="269">
        <v>766</v>
      </c>
      <c r="CF1678" s="269">
        <v>718</v>
      </c>
      <c r="CG1678" s="269">
        <v>762</v>
      </c>
      <c r="CH1678" s="269">
        <v>709</v>
      </c>
      <c r="CI1678" s="269">
        <v>749</v>
      </c>
      <c r="CJ1678" s="269">
        <v>735</v>
      </c>
      <c r="CK1678" s="269">
        <v>786</v>
      </c>
      <c r="CL1678" s="269">
        <v>615</v>
      </c>
      <c r="CM1678" s="269">
        <v>590</v>
      </c>
      <c r="CN1678" s="269">
        <v>566</v>
      </c>
      <c r="CO1678" s="269">
        <v>476</v>
      </c>
      <c r="CP1678" s="269">
        <v>419</v>
      </c>
      <c r="CQ1678" s="269">
        <v>422</v>
      </c>
      <c r="CR1678" s="269">
        <v>337</v>
      </c>
      <c r="CS1678" s="269">
        <v>305</v>
      </c>
      <c r="CT1678" s="269">
        <v>281</v>
      </c>
      <c r="CU1678" s="269">
        <v>231</v>
      </c>
      <c r="CV1678" s="269">
        <v>208</v>
      </c>
      <c r="CW1678" s="269">
        <v>200</v>
      </c>
      <c r="CX1678" s="269">
        <v>138</v>
      </c>
      <c r="CY1678" s="26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9">
        <v>868</v>
      </c>
      <c r="N1679" s="269">
        <v>851</v>
      </c>
      <c r="O1679" s="269">
        <v>826</v>
      </c>
      <c r="P1679" s="269">
        <v>910</v>
      </c>
      <c r="Q1679" s="269">
        <v>954</v>
      </c>
      <c r="R1679" s="269">
        <v>1019</v>
      </c>
      <c r="S1679" s="269">
        <v>993</v>
      </c>
      <c r="T1679" s="269">
        <v>1030</v>
      </c>
      <c r="U1679" s="269">
        <v>1081</v>
      </c>
      <c r="V1679" s="269">
        <v>1074</v>
      </c>
      <c r="W1679" s="269">
        <v>1059</v>
      </c>
      <c r="X1679" s="269">
        <v>1089</v>
      </c>
      <c r="Y1679" s="269">
        <v>1091</v>
      </c>
      <c r="Z1679" s="269">
        <v>1150</v>
      </c>
      <c r="AA1679" s="269">
        <v>1135</v>
      </c>
      <c r="AB1679" s="269">
        <v>1140</v>
      </c>
      <c r="AC1679" s="269">
        <v>1045</v>
      </c>
      <c r="AD1679" s="269">
        <v>1023</v>
      </c>
      <c r="AE1679" s="269">
        <v>1015</v>
      </c>
      <c r="AF1679" s="269">
        <v>998</v>
      </c>
      <c r="AG1679" s="269">
        <v>832</v>
      </c>
      <c r="AH1679" s="269">
        <v>814</v>
      </c>
      <c r="AI1679" s="269">
        <v>945</v>
      </c>
      <c r="AJ1679" s="269">
        <v>990</v>
      </c>
      <c r="AK1679" s="269">
        <v>934</v>
      </c>
      <c r="AL1679" s="269">
        <v>911</v>
      </c>
      <c r="AM1679" s="269">
        <v>1132</v>
      </c>
      <c r="AN1679" s="269">
        <v>1016</v>
      </c>
      <c r="AO1679" s="269">
        <v>1027</v>
      </c>
      <c r="AP1679" s="269">
        <v>1031</v>
      </c>
      <c r="AQ1679" s="269">
        <v>1036</v>
      </c>
      <c r="AR1679" s="269">
        <v>1101</v>
      </c>
      <c r="AS1679" s="269">
        <v>1195</v>
      </c>
      <c r="AT1679" s="269">
        <v>1142</v>
      </c>
      <c r="AU1679" s="269">
        <v>1164</v>
      </c>
      <c r="AV1679" s="269">
        <v>1156</v>
      </c>
      <c r="AW1679" s="269">
        <v>1077</v>
      </c>
      <c r="AX1679" s="269">
        <v>1169</v>
      </c>
      <c r="AY1679" s="269">
        <v>1084</v>
      </c>
      <c r="AZ1679" s="269">
        <v>1094</v>
      </c>
      <c r="BA1679" s="269">
        <v>1056</v>
      </c>
      <c r="BB1679" s="269">
        <v>1014</v>
      </c>
      <c r="BC1679" s="269">
        <v>1068</v>
      </c>
      <c r="BD1679" s="269">
        <v>1083</v>
      </c>
      <c r="BE1679" s="269">
        <v>1005</v>
      </c>
      <c r="BF1679" s="269">
        <v>959</v>
      </c>
      <c r="BG1679" s="269">
        <v>992</v>
      </c>
      <c r="BH1679" s="269">
        <v>980</v>
      </c>
      <c r="BI1679" s="269">
        <v>981</v>
      </c>
      <c r="BJ1679" s="269">
        <v>1080</v>
      </c>
      <c r="BK1679" s="269">
        <v>1114</v>
      </c>
      <c r="BL1679" s="269">
        <v>1156</v>
      </c>
      <c r="BM1679" s="269">
        <v>1242</v>
      </c>
      <c r="BN1679" s="269">
        <v>1119</v>
      </c>
      <c r="BO1679" s="269">
        <v>1281</v>
      </c>
      <c r="BP1679" s="269">
        <v>1265</v>
      </c>
      <c r="BQ1679" s="269">
        <v>1199</v>
      </c>
      <c r="BR1679" s="269">
        <v>1256</v>
      </c>
      <c r="BS1679" s="269">
        <v>1267</v>
      </c>
      <c r="BT1679" s="269">
        <v>1254</v>
      </c>
      <c r="BU1679" s="269">
        <v>1261</v>
      </c>
      <c r="BV1679" s="269">
        <v>1173</v>
      </c>
      <c r="BW1679" s="269">
        <v>1128</v>
      </c>
      <c r="BX1679" s="269">
        <v>1099</v>
      </c>
      <c r="BY1679" s="269">
        <v>1047</v>
      </c>
      <c r="BZ1679" s="269">
        <v>1036</v>
      </c>
      <c r="CA1679" s="269">
        <v>1023</v>
      </c>
      <c r="CB1679" s="269">
        <v>907</v>
      </c>
      <c r="CC1679" s="269">
        <v>853</v>
      </c>
      <c r="CD1679" s="269">
        <v>981</v>
      </c>
      <c r="CE1679" s="269">
        <v>926</v>
      </c>
      <c r="CF1679" s="269">
        <v>837</v>
      </c>
      <c r="CG1679" s="269">
        <v>891</v>
      </c>
      <c r="CH1679" s="269">
        <v>914</v>
      </c>
      <c r="CI1679" s="269">
        <v>798</v>
      </c>
      <c r="CJ1679" s="269">
        <v>935</v>
      </c>
      <c r="CK1679" s="269">
        <v>955</v>
      </c>
      <c r="CL1679" s="269">
        <v>710</v>
      </c>
      <c r="CM1679" s="269">
        <v>643</v>
      </c>
      <c r="CN1679" s="269">
        <v>613</v>
      </c>
      <c r="CO1679" s="269">
        <v>541</v>
      </c>
      <c r="CP1679" s="269">
        <v>548</v>
      </c>
      <c r="CQ1679" s="269">
        <v>393</v>
      </c>
      <c r="CR1679" s="269">
        <v>410</v>
      </c>
      <c r="CS1679" s="269">
        <v>361</v>
      </c>
      <c r="CT1679" s="269">
        <v>311</v>
      </c>
      <c r="CU1679" s="269">
        <v>265</v>
      </c>
      <c r="CV1679" s="269">
        <v>230</v>
      </c>
      <c r="CW1679" s="269">
        <v>175</v>
      </c>
      <c r="CX1679" s="269">
        <v>149</v>
      </c>
      <c r="CY1679" s="26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9">
        <v>1856</v>
      </c>
      <c r="N1680" s="269">
        <v>1981</v>
      </c>
      <c r="O1680" s="269">
        <v>1941</v>
      </c>
      <c r="P1680" s="269">
        <v>1924</v>
      </c>
      <c r="Q1680" s="269">
        <v>2013</v>
      </c>
      <c r="R1680" s="269">
        <v>2084</v>
      </c>
      <c r="S1680" s="269">
        <v>2131</v>
      </c>
      <c r="T1680" s="269">
        <v>2257</v>
      </c>
      <c r="U1680" s="269">
        <v>2209</v>
      </c>
      <c r="V1680" s="269">
        <v>2249</v>
      </c>
      <c r="W1680" s="269">
        <v>2197</v>
      </c>
      <c r="X1680" s="269">
        <v>2330</v>
      </c>
      <c r="Y1680" s="269">
        <v>2393</v>
      </c>
      <c r="Z1680" s="269">
        <v>2289</v>
      </c>
      <c r="AA1680" s="269">
        <v>2194</v>
      </c>
      <c r="AB1680" s="269">
        <v>2219</v>
      </c>
      <c r="AC1680" s="269">
        <v>2176</v>
      </c>
      <c r="AD1680" s="269">
        <v>2235</v>
      </c>
      <c r="AE1680" s="269">
        <v>2618</v>
      </c>
      <c r="AF1680" s="269">
        <v>4372</v>
      </c>
      <c r="AG1680" s="269">
        <v>4993</v>
      </c>
      <c r="AH1680" s="269">
        <v>5046</v>
      </c>
      <c r="AI1680" s="269">
        <v>4466</v>
      </c>
      <c r="AJ1680" s="269">
        <v>3868</v>
      </c>
      <c r="AK1680" s="269">
        <v>3679</v>
      </c>
      <c r="AL1680" s="269">
        <v>3544</v>
      </c>
      <c r="AM1680" s="269">
        <v>3562</v>
      </c>
      <c r="AN1680" s="269">
        <v>3432</v>
      </c>
      <c r="AO1680" s="269">
        <v>3283</v>
      </c>
      <c r="AP1680" s="269">
        <v>3098</v>
      </c>
      <c r="AQ1680" s="269">
        <v>3028</v>
      </c>
      <c r="AR1680" s="269">
        <v>2908</v>
      </c>
      <c r="AS1680" s="269">
        <v>2962</v>
      </c>
      <c r="AT1680" s="269">
        <v>2878</v>
      </c>
      <c r="AU1680" s="269">
        <v>2611</v>
      </c>
      <c r="AV1680" s="269">
        <v>2747</v>
      </c>
      <c r="AW1680" s="269">
        <v>2688</v>
      </c>
      <c r="AX1680" s="269">
        <v>2713</v>
      </c>
      <c r="AY1680" s="269">
        <v>2504</v>
      </c>
      <c r="AZ1680" s="269">
        <v>2555</v>
      </c>
      <c r="BA1680" s="269">
        <v>2597</v>
      </c>
      <c r="BB1680" s="269">
        <v>2352</v>
      </c>
      <c r="BC1680" s="269">
        <v>2384</v>
      </c>
      <c r="BD1680" s="269">
        <v>2348</v>
      </c>
      <c r="BE1680" s="269">
        <v>2293</v>
      </c>
      <c r="BF1680" s="269">
        <v>2065</v>
      </c>
      <c r="BG1680" s="269">
        <v>2157</v>
      </c>
      <c r="BH1680" s="269">
        <v>2018</v>
      </c>
      <c r="BI1680" s="269">
        <v>2024</v>
      </c>
      <c r="BJ1680" s="269">
        <v>2075</v>
      </c>
      <c r="BK1680" s="269">
        <v>1911</v>
      </c>
      <c r="BL1680" s="269">
        <v>1963</v>
      </c>
      <c r="BM1680" s="269">
        <v>2087</v>
      </c>
      <c r="BN1680" s="269">
        <v>2050</v>
      </c>
      <c r="BO1680" s="269">
        <v>2082</v>
      </c>
      <c r="BP1680" s="269">
        <v>1988</v>
      </c>
      <c r="BQ1680" s="269">
        <v>2060</v>
      </c>
      <c r="BR1680" s="269">
        <v>1882</v>
      </c>
      <c r="BS1680" s="269">
        <v>1987</v>
      </c>
      <c r="BT1680" s="269">
        <v>1923</v>
      </c>
      <c r="BU1680" s="269">
        <v>1878</v>
      </c>
      <c r="BV1680" s="269">
        <v>1984</v>
      </c>
      <c r="BW1680" s="269">
        <v>1780</v>
      </c>
      <c r="BX1680" s="269">
        <v>1797</v>
      </c>
      <c r="BY1680" s="269">
        <v>1770</v>
      </c>
      <c r="BZ1680" s="269">
        <v>1628</v>
      </c>
      <c r="CA1680" s="269">
        <v>1634</v>
      </c>
      <c r="CB1680" s="269">
        <v>1479</v>
      </c>
      <c r="CC1680" s="269">
        <v>1405</v>
      </c>
      <c r="CD1680" s="269">
        <v>1424</v>
      </c>
      <c r="CE1680" s="269">
        <v>1332</v>
      </c>
      <c r="CF1680" s="269">
        <v>1261</v>
      </c>
      <c r="CG1680" s="269">
        <v>1299</v>
      </c>
      <c r="CH1680" s="269">
        <v>1316</v>
      </c>
      <c r="CI1680" s="269">
        <v>1261</v>
      </c>
      <c r="CJ1680" s="269">
        <v>1222</v>
      </c>
      <c r="CK1680" s="269">
        <v>1315</v>
      </c>
      <c r="CL1680" s="269">
        <v>948</v>
      </c>
      <c r="CM1680" s="269">
        <v>898</v>
      </c>
      <c r="CN1680" s="269">
        <v>876</v>
      </c>
      <c r="CO1680" s="269">
        <v>706</v>
      </c>
      <c r="CP1680" s="269">
        <v>637</v>
      </c>
      <c r="CQ1680" s="269">
        <v>577</v>
      </c>
      <c r="CR1680" s="269">
        <v>553</v>
      </c>
      <c r="CS1680" s="269">
        <v>492</v>
      </c>
      <c r="CT1680" s="269">
        <v>451</v>
      </c>
      <c r="CU1680" s="269">
        <v>405</v>
      </c>
      <c r="CV1680" s="269">
        <v>355</v>
      </c>
      <c r="CW1680" s="269">
        <v>306</v>
      </c>
      <c r="CX1680" s="269">
        <v>234</v>
      </c>
      <c r="CY1680" s="26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9">
        <v>813</v>
      </c>
      <c r="N1681" s="269">
        <v>875</v>
      </c>
      <c r="O1681" s="269">
        <v>870</v>
      </c>
      <c r="P1681" s="269">
        <v>874</v>
      </c>
      <c r="Q1681" s="269">
        <v>965</v>
      </c>
      <c r="R1681" s="269">
        <v>984</v>
      </c>
      <c r="S1681" s="269">
        <v>1020</v>
      </c>
      <c r="T1681" s="269">
        <v>1090</v>
      </c>
      <c r="U1681" s="269">
        <v>1073</v>
      </c>
      <c r="V1681" s="269">
        <v>1049</v>
      </c>
      <c r="W1681" s="269">
        <v>1095</v>
      </c>
      <c r="X1681" s="269">
        <v>1193</v>
      </c>
      <c r="Y1681" s="269">
        <v>1195</v>
      </c>
      <c r="Z1681" s="269">
        <v>1160</v>
      </c>
      <c r="AA1681" s="269">
        <v>1127</v>
      </c>
      <c r="AB1681" s="269">
        <v>1143</v>
      </c>
      <c r="AC1681" s="269">
        <v>1159</v>
      </c>
      <c r="AD1681" s="269">
        <v>1162</v>
      </c>
      <c r="AE1681" s="269">
        <v>1080</v>
      </c>
      <c r="AF1681" s="269">
        <v>871</v>
      </c>
      <c r="AG1681" s="269">
        <v>868</v>
      </c>
      <c r="AH1681" s="269">
        <v>842</v>
      </c>
      <c r="AI1681" s="269">
        <v>881</v>
      </c>
      <c r="AJ1681" s="269">
        <v>890</v>
      </c>
      <c r="AK1681" s="269">
        <v>925</v>
      </c>
      <c r="AL1681" s="269">
        <v>951</v>
      </c>
      <c r="AM1681" s="269">
        <v>1027</v>
      </c>
      <c r="AN1681" s="269">
        <v>1012</v>
      </c>
      <c r="AO1681" s="269">
        <v>940</v>
      </c>
      <c r="AP1681" s="269">
        <v>998</v>
      </c>
      <c r="AQ1681" s="269">
        <v>980</v>
      </c>
      <c r="AR1681" s="269">
        <v>1008</v>
      </c>
      <c r="AS1681" s="269">
        <v>1055</v>
      </c>
      <c r="AT1681" s="269">
        <v>1088</v>
      </c>
      <c r="AU1681" s="269">
        <v>1044</v>
      </c>
      <c r="AV1681" s="269">
        <v>1134</v>
      </c>
      <c r="AW1681" s="269">
        <v>1071</v>
      </c>
      <c r="AX1681" s="269">
        <v>1049</v>
      </c>
      <c r="AY1681" s="269">
        <v>1012</v>
      </c>
      <c r="AZ1681" s="269">
        <v>1042</v>
      </c>
      <c r="BA1681" s="269">
        <v>1020</v>
      </c>
      <c r="BB1681" s="269">
        <v>1028</v>
      </c>
      <c r="BC1681" s="269">
        <v>1069</v>
      </c>
      <c r="BD1681" s="269">
        <v>1059</v>
      </c>
      <c r="BE1681" s="269">
        <v>1009</v>
      </c>
      <c r="BF1681" s="269">
        <v>928</v>
      </c>
      <c r="BG1681" s="269">
        <v>925</v>
      </c>
      <c r="BH1681" s="269">
        <v>1017</v>
      </c>
      <c r="BI1681" s="269">
        <v>1045</v>
      </c>
      <c r="BJ1681" s="269">
        <v>1084</v>
      </c>
      <c r="BK1681" s="269">
        <v>1138</v>
      </c>
      <c r="BL1681" s="269">
        <v>1215</v>
      </c>
      <c r="BM1681" s="269">
        <v>1302</v>
      </c>
      <c r="BN1681" s="269">
        <v>1248</v>
      </c>
      <c r="BO1681" s="269">
        <v>1240</v>
      </c>
      <c r="BP1681" s="269">
        <v>1273</v>
      </c>
      <c r="BQ1681" s="269">
        <v>1377</v>
      </c>
      <c r="BR1681" s="269">
        <v>1389</v>
      </c>
      <c r="BS1681" s="269">
        <v>1431</v>
      </c>
      <c r="BT1681" s="269">
        <v>1476</v>
      </c>
      <c r="BU1681" s="269">
        <v>1334</v>
      </c>
      <c r="BV1681" s="269">
        <v>1428</v>
      </c>
      <c r="BW1681" s="269">
        <v>1363</v>
      </c>
      <c r="BX1681" s="269">
        <v>1341</v>
      </c>
      <c r="BY1681" s="269">
        <v>1270</v>
      </c>
      <c r="BZ1681" s="269">
        <v>1293</v>
      </c>
      <c r="CA1681" s="269">
        <v>1258</v>
      </c>
      <c r="CB1681" s="269">
        <v>1171</v>
      </c>
      <c r="CC1681" s="269">
        <v>1265</v>
      </c>
      <c r="CD1681" s="269">
        <v>1215</v>
      </c>
      <c r="CE1681" s="269">
        <v>1179</v>
      </c>
      <c r="CF1681" s="269">
        <v>1140</v>
      </c>
      <c r="CG1681" s="269">
        <v>1091</v>
      </c>
      <c r="CH1681" s="269">
        <v>1125</v>
      </c>
      <c r="CI1681" s="269">
        <v>1143</v>
      </c>
      <c r="CJ1681" s="269">
        <v>1158</v>
      </c>
      <c r="CK1681" s="269">
        <v>1139</v>
      </c>
      <c r="CL1681" s="269">
        <v>969</v>
      </c>
      <c r="CM1681" s="269">
        <v>884</v>
      </c>
      <c r="CN1681" s="269">
        <v>813</v>
      </c>
      <c r="CO1681" s="269">
        <v>736</v>
      </c>
      <c r="CP1681" s="269">
        <v>695</v>
      </c>
      <c r="CQ1681" s="269">
        <v>569</v>
      </c>
      <c r="CR1681" s="269">
        <v>515</v>
      </c>
      <c r="CS1681" s="269">
        <v>476</v>
      </c>
      <c r="CT1681" s="269">
        <v>405</v>
      </c>
      <c r="CU1681" s="269">
        <v>407</v>
      </c>
      <c r="CV1681" s="269">
        <v>308</v>
      </c>
      <c r="CW1681" s="269">
        <v>277</v>
      </c>
      <c r="CX1681" s="269">
        <v>234</v>
      </c>
      <c r="CY1681" s="26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9">
        <v>259</v>
      </c>
      <c r="N1682" s="269">
        <v>275</v>
      </c>
      <c r="O1682" s="269">
        <v>247</v>
      </c>
      <c r="P1682" s="269">
        <v>281</v>
      </c>
      <c r="Q1682" s="269">
        <v>292</v>
      </c>
      <c r="R1682" s="269">
        <v>288</v>
      </c>
      <c r="S1682" s="269">
        <v>308</v>
      </c>
      <c r="T1682" s="269">
        <v>347</v>
      </c>
      <c r="U1682" s="269">
        <v>314</v>
      </c>
      <c r="V1682" s="269">
        <v>312</v>
      </c>
      <c r="W1682" s="269">
        <v>369</v>
      </c>
      <c r="X1682" s="269">
        <v>366</v>
      </c>
      <c r="Y1682" s="269">
        <v>382</v>
      </c>
      <c r="Z1682" s="269">
        <v>357</v>
      </c>
      <c r="AA1682" s="269">
        <v>331</v>
      </c>
      <c r="AB1682" s="269">
        <v>335</v>
      </c>
      <c r="AC1682" s="269">
        <v>346</v>
      </c>
      <c r="AD1682" s="269">
        <v>372</v>
      </c>
      <c r="AE1682" s="269">
        <v>487</v>
      </c>
      <c r="AF1682" s="269">
        <v>987</v>
      </c>
      <c r="AG1682" s="269">
        <v>1016</v>
      </c>
      <c r="AH1682" s="269">
        <v>855</v>
      </c>
      <c r="AI1682" s="269">
        <v>757</v>
      </c>
      <c r="AJ1682" s="269">
        <v>576</v>
      </c>
      <c r="AK1682" s="269">
        <v>509</v>
      </c>
      <c r="AL1682" s="269">
        <v>407</v>
      </c>
      <c r="AM1682" s="269">
        <v>332</v>
      </c>
      <c r="AN1682" s="269">
        <v>338</v>
      </c>
      <c r="AO1682" s="269">
        <v>349</v>
      </c>
      <c r="AP1682" s="269">
        <v>360</v>
      </c>
      <c r="AQ1682" s="269">
        <v>311</v>
      </c>
      <c r="AR1682" s="269">
        <v>358</v>
      </c>
      <c r="AS1682" s="269">
        <v>364</v>
      </c>
      <c r="AT1682" s="269">
        <v>347</v>
      </c>
      <c r="AU1682" s="269">
        <v>351</v>
      </c>
      <c r="AV1682" s="269">
        <v>367</v>
      </c>
      <c r="AW1682" s="269">
        <v>326</v>
      </c>
      <c r="AX1682" s="269">
        <v>306</v>
      </c>
      <c r="AY1682" s="269">
        <v>324</v>
      </c>
      <c r="AZ1682" s="269">
        <v>304</v>
      </c>
      <c r="BA1682" s="269">
        <v>337</v>
      </c>
      <c r="BB1682" s="269">
        <v>365</v>
      </c>
      <c r="BC1682" s="269">
        <v>344</v>
      </c>
      <c r="BD1682" s="269">
        <v>319</v>
      </c>
      <c r="BE1682" s="269">
        <v>319</v>
      </c>
      <c r="BF1682" s="269">
        <v>275</v>
      </c>
      <c r="BG1682" s="269">
        <v>308</v>
      </c>
      <c r="BH1682" s="269">
        <v>348</v>
      </c>
      <c r="BI1682" s="269">
        <v>359</v>
      </c>
      <c r="BJ1682" s="269">
        <v>358</v>
      </c>
      <c r="BK1682" s="269">
        <v>350</v>
      </c>
      <c r="BL1682" s="269">
        <v>407</v>
      </c>
      <c r="BM1682" s="269">
        <v>444</v>
      </c>
      <c r="BN1682" s="269">
        <v>443</v>
      </c>
      <c r="BO1682" s="269">
        <v>507</v>
      </c>
      <c r="BP1682" s="269">
        <v>487</v>
      </c>
      <c r="BQ1682" s="269">
        <v>523</v>
      </c>
      <c r="BR1682" s="269">
        <v>523</v>
      </c>
      <c r="BS1682" s="269">
        <v>497</v>
      </c>
      <c r="BT1682" s="269">
        <v>551</v>
      </c>
      <c r="BU1682" s="269">
        <v>557</v>
      </c>
      <c r="BV1682" s="269">
        <v>547</v>
      </c>
      <c r="BW1682" s="269">
        <v>531</v>
      </c>
      <c r="BX1682" s="269">
        <v>504</v>
      </c>
      <c r="BY1682" s="269">
        <v>519</v>
      </c>
      <c r="BZ1682" s="269">
        <v>519</v>
      </c>
      <c r="CA1682" s="269">
        <v>491</v>
      </c>
      <c r="CB1682" s="269">
        <v>513</v>
      </c>
      <c r="CC1682" s="269">
        <v>480</v>
      </c>
      <c r="CD1682" s="269">
        <v>477</v>
      </c>
      <c r="CE1682" s="269">
        <v>452</v>
      </c>
      <c r="CF1682" s="269">
        <v>473</v>
      </c>
      <c r="CG1682" s="269">
        <v>434</v>
      </c>
      <c r="CH1682" s="269">
        <v>460</v>
      </c>
      <c r="CI1682" s="269">
        <v>492</v>
      </c>
      <c r="CJ1682" s="269">
        <v>510</v>
      </c>
      <c r="CK1682" s="269">
        <v>479</v>
      </c>
      <c r="CL1682" s="269">
        <v>356</v>
      </c>
      <c r="CM1682" s="269">
        <v>364</v>
      </c>
      <c r="CN1682" s="269">
        <v>341</v>
      </c>
      <c r="CO1682" s="269">
        <v>332</v>
      </c>
      <c r="CP1682" s="269">
        <v>269</v>
      </c>
      <c r="CQ1682" s="269">
        <v>203</v>
      </c>
      <c r="CR1682" s="269">
        <v>233</v>
      </c>
      <c r="CS1682" s="269">
        <v>180</v>
      </c>
      <c r="CT1682" s="269">
        <v>172</v>
      </c>
      <c r="CU1682" s="269">
        <v>148</v>
      </c>
      <c r="CV1682" s="269">
        <v>118</v>
      </c>
      <c r="CW1682" s="269">
        <v>108</v>
      </c>
      <c r="CX1682" s="269">
        <v>91</v>
      </c>
      <c r="CY1682" s="26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9">
        <v>461</v>
      </c>
      <c r="N1683" s="269">
        <v>495</v>
      </c>
      <c r="O1683" s="269">
        <v>470</v>
      </c>
      <c r="P1683" s="269">
        <v>532</v>
      </c>
      <c r="Q1683" s="269">
        <v>535</v>
      </c>
      <c r="R1683" s="269">
        <v>561</v>
      </c>
      <c r="S1683" s="269">
        <v>542</v>
      </c>
      <c r="T1683" s="269">
        <v>575</v>
      </c>
      <c r="U1683" s="269">
        <v>612</v>
      </c>
      <c r="V1683" s="269">
        <v>596</v>
      </c>
      <c r="W1683" s="269">
        <v>620</v>
      </c>
      <c r="X1683" s="269">
        <v>614</v>
      </c>
      <c r="Y1683" s="269">
        <v>704</v>
      </c>
      <c r="Z1683" s="269">
        <v>632</v>
      </c>
      <c r="AA1683" s="269">
        <v>632</v>
      </c>
      <c r="AB1683" s="269">
        <v>607</v>
      </c>
      <c r="AC1683" s="269">
        <v>643</v>
      </c>
      <c r="AD1683" s="269">
        <v>622</v>
      </c>
      <c r="AE1683" s="269">
        <v>611</v>
      </c>
      <c r="AF1683" s="269">
        <v>476</v>
      </c>
      <c r="AG1683" s="269">
        <v>402</v>
      </c>
      <c r="AH1683" s="269">
        <v>411</v>
      </c>
      <c r="AI1683" s="269">
        <v>460</v>
      </c>
      <c r="AJ1683" s="269">
        <v>540</v>
      </c>
      <c r="AK1683" s="269">
        <v>534</v>
      </c>
      <c r="AL1683" s="269">
        <v>614</v>
      </c>
      <c r="AM1683" s="269">
        <v>583</v>
      </c>
      <c r="AN1683" s="269">
        <v>477</v>
      </c>
      <c r="AO1683" s="269">
        <v>568</v>
      </c>
      <c r="AP1683" s="269">
        <v>536</v>
      </c>
      <c r="AQ1683" s="269">
        <v>539</v>
      </c>
      <c r="AR1683" s="269">
        <v>585</v>
      </c>
      <c r="AS1683" s="269">
        <v>621</v>
      </c>
      <c r="AT1683" s="269">
        <v>565</v>
      </c>
      <c r="AU1683" s="269">
        <v>617</v>
      </c>
      <c r="AV1683" s="269">
        <v>578</v>
      </c>
      <c r="AW1683" s="269">
        <v>604</v>
      </c>
      <c r="AX1683" s="269">
        <v>542</v>
      </c>
      <c r="AY1683" s="269">
        <v>582</v>
      </c>
      <c r="AZ1683" s="269">
        <v>560</v>
      </c>
      <c r="BA1683" s="269">
        <v>536</v>
      </c>
      <c r="BB1683" s="269">
        <v>554</v>
      </c>
      <c r="BC1683" s="269">
        <v>611</v>
      </c>
      <c r="BD1683" s="269">
        <v>635</v>
      </c>
      <c r="BE1683" s="269">
        <v>572</v>
      </c>
      <c r="BF1683" s="269">
        <v>480</v>
      </c>
      <c r="BG1683" s="269">
        <v>557</v>
      </c>
      <c r="BH1683" s="269">
        <v>553</v>
      </c>
      <c r="BI1683" s="269">
        <v>568</v>
      </c>
      <c r="BJ1683" s="269">
        <v>609</v>
      </c>
      <c r="BK1683" s="269">
        <v>686</v>
      </c>
      <c r="BL1683" s="269">
        <v>796</v>
      </c>
      <c r="BM1683" s="269">
        <v>785</v>
      </c>
      <c r="BN1683" s="269">
        <v>751</v>
      </c>
      <c r="BO1683" s="269">
        <v>815</v>
      </c>
      <c r="BP1683" s="269">
        <v>781</v>
      </c>
      <c r="BQ1683" s="269">
        <v>835</v>
      </c>
      <c r="BR1683" s="269">
        <v>891</v>
      </c>
      <c r="BS1683" s="269">
        <v>894</v>
      </c>
      <c r="BT1683" s="269">
        <v>874</v>
      </c>
      <c r="BU1683" s="269">
        <v>890</v>
      </c>
      <c r="BV1683" s="269">
        <v>891</v>
      </c>
      <c r="BW1683" s="269">
        <v>898</v>
      </c>
      <c r="BX1683" s="269">
        <v>890</v>
      </c>
      <c r="BY1683" s="269">
        <v>826</v>
      </c>
      <c r="BZ1683" s="269">
        <v>798</v>
      </c>
      <c r="CA1683" s="269">
        <v>792</v>
      </c>
      <c r="CB1683" s="269">
        <v>749</v>
      </c>
      <c r="CC1683" s="269">
        <v>712</v>
      </c>
      <c r="CD1683" s="269">
        <v>775</v>
      </c>
      <c r="CE1683" s="269">
        <v>742</v>
      </c>
      <c r="CF1683" s="269">
        <v>726</v>
      </c>
      <c r="CG1683" s="269">
        <v>759</v>
      </c>
      <c r="CH1683" s="269">
        <v>718</v>
      </c>
      <c r="CI1683" s="269">
        <v>807</v>
      </c>
      <c r="CJ1683" s="269">
        <v>844</v>
      </c>
      <c r="CK1683" s="269">
        <v>825</v>
      </c>
      <c r="CL1683" s="269">
        <v>658</v>
      </c>
      <c r="CM1683" s="269">
        <v>602</v>
      </c>
      <c r="CN1683" s="269">
        <v>563</v>
      </c>
      <c r="CO1683" s="269">
        <v>509</v>
      </c>
      <c r="CP1683" s="269">
        <v>456</v>
      </c>
      <c r="CQ1683" s="269">
        <v>381</v>
      </c>
      <c r="CR1683" s="269">
        <v>343</v>
      </c>
      <c r="CS1683" s="269">
        <v>344</v>
      </c>
      <c r="CT1683" s="269">
        <v>264</v>
      </c>
      <c r="CU1683" s="269">
        <v>245</v>
      </c>
      <c r="CV1683" s="269">
        <v>228</v>
      </c>
      <c r="CW1683" s="269">
        <v>226</v>
      </c>
      <c r="CX1683" s="269">
        <v>166</v>
      </c>
      <c r="CY1683" s="26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9">
        <v>401</v>
      </c>
      <c r="N1684" s="269">
        <v>464</v>
      </c>
      <c r="O1684" s="269">
        <v>512</v>
      </c>
      <c r="P1684" s="269">
        <v>526</v>
      </c>
      <c r="Q1684" s="269">
        <v>494</v>
      </c>
      <c r="R1684" s="269">
        <v>503</v>
      </c>
      <c r="S1684" s="269">
        <v>548</v>
      </c>
      <c r="T1684" s="269">
        <v>535</v>
      </c>
      <c r="U1684" s="269">
        <v>564</v>
      </c>
      <c r="V1684" s="269">
        <v>534</v>
      </c>
      <c r="W1684" s="269">
        <v>578</v>
      </c>
      <c r="X1684" s="269">
        <v>560</v>
      </c>
      <c r="Y1684" s="269">
        <v>600</v>
      </c>
      <c r="Z1684" s="269">
        <v>625</v>
      </c>
      <c r="AA1684" s="269">
        <v>616</v>
      </c>
      <c r="AB1684" s="269">
        <v>624</v>
      </c>
      <c r="AC1684" s="269">
        <v>599</v>
      </c>
      <c r="AD1684" s="269">
        <v>600</v>
      </c>
      <c r="AE1684" s="269">
        <v>622</v>
      </c>
      <c r="AF1684" s="269">
        <v>448</v>
      </c>
      <c r="AG1684" s="269">
        <v>447</v>
      </c>
      <c r="AH1684" s="269">
        <v>401</v>
      </c>
      <c r="AI1684" s="269">
        <v>463</v>
      </c>
      <c r="AJ1684" s="269">
        <v>442</v>
      </c>
      <c r="AK1684" s="269">
        <v>460</v>
      </c>
      <c r="AL1684" s="269">
        <v>490</v>
      </c>
      <c r="AM1684" s="269">
        <v>505</v>
      </c>
      <c r="AN1684" s="269">
        <v>514</v>
      </c>
      <c r="AO1684" s="269">
        <v>484</v>
      </c>
      <c r="AP1684" s="269">
        <v>524</v>
      </c>
      <c r="AQ1684" s="269">
        <v>480</v>
      </c>
      <c r="AR1684" s="269">
        <v>514</v>
      </c>
      <c r="AS1684" s="269">
        <v>537</v>
      </c>
      <c r="AT1684" s="269">
        <v>539</v>
      </c>
      <c r="AU1684" s="269">
        <v>492</v>
      </c>
      <c r="AV1684" s="269">
        <v>534</v>
      </c>
      <c r="AW1684" s="269">
        <v>529</v>
      </c>
      <c r="AX1684" s="269">
        <v>505</v>
      </c>
      <c r="AY1684" s="269">
        <v>491</v>
      </c>
      <c r="AZ1684" s="269">
        <v>520</v>
      </c>
      <c r="BA1684" s="269">
        <v>453</v>
      </c>
      <c r="BB1684" s="269">
        <v>497</v>
      </c>
      <c r="BC1684" s="269">
        <v>492</v>
      </c>
      <c r="BD1684" s="269">
        <v>506</v>
      </c>
      <c r="BE1684" s="269">
        <v>470</v>
      </c>
      <c r="BF1684" s="269">
        <v>424</v>
      </c>
      <c r="BG1684" s="269">
        <v>467</v>
      </c>
      <c r="BH1684" s="269">
        <v>512</v>
      </c>
      <c r="BI1684" s="269">
        <v>538</v>
      </c>
      <c r="BJ1684" s="269">
        <v>533</v>
      </c>
      <c r="BK1684" s="269">
        <v>551</v>
      </c>
      <c r="BL1684" s="269">
        <v>641</v>
      </c>
      <c r="BM1684" s="269">
        <v>668</v>
      </c>
      <c r="BN1684" s="269">
        <v>666</v>
      </c>
      <c r="BO1684" s="269">
        <v>668</v>
      </c>
      <c r="BP1684" s="269">
        <v>655</v>
      </c>
      <c r="BQ1684" s="269">
        <v>730</v>
      </c>
      <c r="BR1684" s="269">
        <v>672</v>
      </c>
      <c r="BS1684" s="269">
        <v>765</v>
      </c>
      <c r="BT1684" s="269">
        <v>757</v>
      </c>
      <c r="BU1684" s="269">
        <v>717</v>
      </c>
      <c r="BV1684" s="269">
        <v>753</v>
      </c>
      <c r="BW1684" s="269">
        <v>656</v>
      </c>
      <c r="BX1684" s="269">
        <v>699</v>
      </c>
      <c r="BY1684" s="269">
        <v>663</v>
      </c>
      <c r="BZ1684" s="269">
        <v>644</v>
      </c>
      <c r="CA1684" s="269">
        <v>637</v>
      </c>
      <c r="CB1684" s="269">
        <v>610</v>
      </c>
      <c r="CC1684" s="269">
        <v>595</v>
      </c>
      <c r="CD1684" s="269">
        <v>599</v>
      </c>
      <c r="CE1684" s="269">
        <v>582</v>
      </c>
      <c r="CF1684" s="269">
        <v>534</v>
      </c>
      <c r="CG1684" s="269">
        <v>543</v>
      </c>
      <c r="CH1684" s="269">
        <v>590</v>
      </c>
      <c r="CI1684" s="269">
        <v>638</v>
      </c>
      <c r="CJ1684" s="269">
        <v>658</v>
      </c>
      <c r="CK1684" s="269">
        <v>651</v>
      </c>
      <c r="CL1684" s="269">
        <v>445</v>
      </c>
      <c r="CM1684" s="269">
        <v>418</v>
      </c>
      <c r="CN1684" s="269">
        <v>441</v>
      </c>
      <c r="CO1684" s="269">
        <v>416</v>
      </c>
      <c r="CP1684" s="269">
        <v>329</v>
      </c>
      <c r="CQ1684" s="269">
        <v>319</v>
      </c>
      <c r="CR1684" s="269">
        <v>263</v>
      </c>
      <c r="CS1684" s="269">
        <v>231</v>
      </c>
      <c r="CT1684" s="269">
        <v>211</v>
      </c>
      <c r="CU1684" s="269">
        <v>197</v>
      </c>
      <c r="CV1684" s="269">
        <v>160</v>
      </c>
      <c r="CW1684" s="269">
        <v>148</v>
      </c>
      <c r="CX1684" s="269">
        <v>105</v>
      </c>
      <c r="CY1684" s="26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9">
        <v>698</v>
      </c>
      <c r="N1685" s="269">
        <v>720</v>
      </c>
      <c r="O1685" s="269">
        <v>806</v>
      </c>
      <c r="P1685" s="269">
        <v>775</v>
      </c>
      <c r="Q1685" s="269">
        <v>793</v>
      </c>
      <c r="R1685" s="269">
        <v>823</v>
      </c>
      <c r="S1685" s="269">
        <v>841</v>
      </c>
      <c r="T1685" s="269">
        <v>864</v>
      </c>
      <c r="U1685" s="269">
        <v>911</v>
      </c>
      <c r="V1685" s="269">
        <v>911</v>
      </c>
      <c r="W1685" s="269">
        <v>903</v>
      </c>
      <c r="X1685" s="269">
        <v>976</v>
      </c>
      <c r="Y1685" s="269">
        <v>949</v>
      </c>
      <c r="Z1685" s="269">
        <v>1013</v>
      </c>
      <c r="AA1685" s="269">
        <v>950</v>
      </c>
      <c r="AB1685" s="269">
        <v>1048</v>
      </c>
      <c r="AC1685" s="269">
        <v>976</v>
      </c>
      <c r="AD1685" s="269">
        <v>901</v>
      </c>
      <c r="AE1685" s="269">
        <v>898</v>
      </c>
      <c r="AF1685" s="269">
        <v>756</v>
      </c>
      <c r="AG1685" s="269">
        <v>647</v>
      </c>
      <c r="AH1685" s="269">
        <v>684</v>
      </c>
      <c r="AI1685" s="269">
        <v>712</v>
      </c>
      <c r="AJ1685" s="269">
        <v>744</v>
      </c>
      <c r="AK1685" s="269">
        <v>876</v>
      </c>
      <c r="AL1685" s="269">
        <v>855</v>
      </c>
      <c r="AM1685" s="269">
        <v>832</v>
      </c>
      <c r="AN1685" s="269">
        <v>824</v>
      </c>
      <c r="AO1685" s="269">
        <v>834</v>
      </c>
      <c r="AP1685" s="269">
        <v>859</v>
      </c>
      <c r="AQ1685" s="269">
        <v>913</v>
      </c>
      <c r="AR1685" s="269">
        <v>1003</v>
      </c>
      <c r="AS1685" s="269">
        <v>902</v>
      </c>
      <c r="AT1685" s="269">
        <v>907</v>
      </c>
      <c r="AU1685" s="269">
        <v>948</v>
      </c>
      <c r="AV1685" s="269">
        <v>984</v>
      </c>
      <c r="AW1685" s="269">
        <v>951</v>
      </c>
      <c r="AX1685" s="269">
        <v>993</v>
      </c>
      <c r="AY1685" s="269">
        <v>910</v>
      </c>
      <c r="AZ1685" s="269">
        <v>865</v>
      </c>
      <c r="BA1685" s="269">
        <v>894</v>
      </c>
      <c r="BB1685" s="269">
        <v>945</v>
      </c>
      <c r="BC1685" s="269">
        <v>931</v>
      </c>
      <c r="BD1685" s="269">
        <v>937</v>
      </c>
      <c r="BE1685" s="269">
        <v>899</v>
      </c>
      <c r="BF1685" s="269">
        <v>863</v>
      </c>
      <c r="BG1685" s="269">
        <v>807</v>
      </c>
      <c r="BH1685" s="269">
        <v>843</v>
      </c>
      <c r="BI1685" s="269">
        <v>929</v>
      </c>
      <c r="BJ1685" s="269">
        <v>962</v>
      </c>
      <c r="BK1685" s="269">
        <v>993</v>
      </c>
      <c r="BL1685" s="269">
        <v>1135</v>
      </c>
      <c r="BM1685" s="269">
        <v>1166</v>
      </c>
      <c r="BN1685" s="269">
        <v>1169</v>
      </c>
      <c r="BO1685" s="269">
        <v>1223</v>
      </c>
      <c r="BP1685" s="269">
        <v>1217</v>
      </c>
      <c r="BQ1685" s="269">
        <v>1120</v>
      </c>
      <c r="BR1685" s="269">
        <v>1125</v>
      </c>
      <c r="BS1685" s="269">
        <v>1152</v>
      </c>
      <c r="BT1685" s="269">
        <v>1196</v>
      </c>
      <c r="BU1685" s="269">
        <v>1088</v>
      </c>
      <c r="BV1685" s="269">
        <v>1143</v>
      </c>
      <c r="BW1685" s="269">
        <v>1056</v>
      </c>
      <c r="BX1685" s="269">
        <v>1016</v>
      </c>
      <c r="BY1685" s="269">
        <v>1023</v>
      </c>
      <c r="BZ1685" s="269">
        <v>899</v>
      </c>
      <c r="CA1685" s="269">
        <v>872</v>
      </c>
      <c r="CB1685" s="269">
        <v>867</v>
      </c>
      <c r="CC1685" s="269">
        <v>780</v>
      </c>
      <c r="CD1685" s="269">
        <v>796</v>
      </c>
      <c r="CE1685" s="269">
        <v>831</v>
      </c>
      <c r="CF1685" s="269">
        <v>750</v>
      </c>
      <c r="CG1685" s="269">
        <v>867</v>
      </c>
      <c r="CH1685" s="269">
        <v>820</v>
      </c>
      <c r="CI1685" s="269">
        <v>855</v>
      </c>
      <c r="CJ1685" s="269">
        <v>885</v>
      </c>
      <c r="CK1685" s="269">
        <v>975</v>
      </c>
      <c r="CL1685" s="269">
        <v>604</v>
      </c>
      <c r="CM1685" s="269">
        <v>620</v>
      </c>
      <c r="CN1685" s="269">
        <v>617</v>
      </c>
      <c r="CO1685" s="269">
        <v>525</v>
      </c>
      <c r="CP1685" s="269">
        <v>445</v>
      </c>
      <c r="CQ1685" s="269">
        <v>397</v>
      </c>
      <c r="CR1685" s="269">
        <v>393</v>
      </c>
      <c r="CS1685" s="269">
        <v>316</v>
      </c>
      <c r="CT1685" s="269">
        <v>324</v>
      </c>
      <c r="CU1685" s="269">
        <v>263</v>
      </c>
      <c r="CV1685" s="269">
        <v>217</v>
      </c>
      <c r="CW1685" s="269">
        <v>188</v>
      </c>
      <c r="CX1685" s="269">
        <v>137</v>
      </c>
      <c r="CY1685" s="26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9">
        <v>505</v>
      </c>
      <c r="N1686" s="269">
        <v>565</v>
      </c>
      <c r="O1686" s="269">
        <v>523</v>
      </c>
      <c r="P1686" s="269">
        <v>553</v>
      </c>
      <c r="Q1686" s="269">
        <v>564</v>
      </c>
      <c r="R1686" s="269">
        <v>601</v>
      </c>
      <c r="S1686" s="269">
        <v>557</v>
      </c>
      <c r="T1686" s="269">
        <v>674</v>
      </c>
      <c r="U1686" s="269">
        <v>595</v>
      </c>
      <c r="V1686" s="269">
        <v>673</v>
      </c>
      <c r="W1686" s="269">
        <v>651</v>
      </c>
      <c r="X1686" s="269">
        <v>667</v>
      </c>
      <c r="Y1686" s="269">
        <v>658</v>
      </c>
      <c r="Z1686" s="269">
        <v>728</v>
      </c>
      <c r="AA1686" s="269">
        <v>669</v>
      </c>
      <c r="AB1686" s="269">
        <v>671</v>
      </c>
      <c r="AC1686" s="269">
        <v>676</v>
      </c>
      <c r="AD1686" s="269">
        <v>643</v>
      </c>
      <c r="AE1686" s="269">
        <v>629</v>
      </c>
      <c r="AF1686" s="269">
        <v>788</v>
      </c>
      <c r="AG1686" s="269">
        <v>949</v>
      </c>
      <c r="AH1686" s="269">
        <v>929</v>
      </c>
      <c r="AI1686" s="269">
        <v>902</v>
      </c>
      <c r="AJ1686" s="269">
        <v>887</v>
      </c>
      <c r="AK1686" s="269">
        <v>831</v>
      </c>
      <c r="AL1686" s="269">
        <v>730</v>
      </c>
      <c r="AM1686" s="269">
        <v>671</v>
      </c>
      <c r="AN1686" s="269">
        <v>661</v>
      </c>
      <c r="AO1686" s="269">
        <v>662</v>
      </c>
      <c r="AP1686" s="269">
        <v>665</v>
      </c>
      <c r="AQ1686" s="269">
        <v>662</v>
      </c>
      <c r="AR1686" s="269">
        <v>698</v>
      </c>
      <c r="AS1686" s="269">
        <v>676</v>
      </c>
      <c r="AT1686" s="269">
        <v>695</v>
      </c>
      <c r="AU1686" s="269">
        <v>693</v>
      </c>
      <c r="AV1686" s="269">
        <v>688</v>
      </c>
      <c r="AW1686" s="269">
        <v>703</v>
      </c>
      <c r="AX1686" s="269">
        <v>619</v>
      </c>
      <c r="AY1686" s="269">
        <v>613</v>
      </c>
      <c r="AZ1686" s="269">
        <v>586</v>
      </c>
      <c r="BA1686" s="269">
        <v>606</v>
      </c>
      <c r="BB1686" s="269">
        <v>606</v>
      </c>
      <c r="BC1686" s="269">
        <v>609</v>
      </c>
      <c r="BD1686" s="269">
        <v>613</v>
      </c>
      <c r="BE1686" s="269">
        <v>572</v>
      </c>
      <c r="BF1686" s="269">
        <v>558</v>
      </c>
      <c r="BG1686" s="269">
        <v>579</v>
      </c>
      <c r="BH1686" s="269">
        <v>617</v>
      </c>
      <c r="BI1686" s="269">
        <v>615</v>
      </c>
      <c r="BJ1686" s="269">
        <v>673</v>
      </c>
      <c r="BK1686" s="269">
        <v>721</v>
      </c>
      <c r="BL1686" s="269">
        <v>782</v>
      </c>
      <c r="BM1686" s="269">
        <v>832</v>
      </c>
      <c r="BN1686" s="269">
        <v>804</v>
      </c>
      <c r="BO1686" s="269">
        <v>784</v>
      </c>
      <c r="BP1686" s="269">
        <v>800</v>
      </c>
      <c r="BQ1686" s="269">
        <v>837</v>
      </c>
      <c r="BR1686" s="269">
        <v>872</v>
      </c>
      <c r="BS1686" s="269">
        <v>868</v>
      </c>
      <c r="BT1686" s="269">
        <v>882</v>
      </c>
      <c r="BU1686" s="269">
        <v>885</v>
      </c>
      <c r="BV1686" s="269">
        <v>876</v>
      </c>
      <c r="BW1686" s="269">
        <v>851</v>
      </c>
      <c r="BX1686" s="269">
        <v>774</v>
      </c>
      <c r="BY1686" s="269">
        <v>760</v>
      </c>
      <c r="BZ1686" s="269">
        <v>811</v>
      </c>
      <c r="CA1686" s="269">
        <v>751</v>
      </c>
      <c r="CB1686" s="269">
        <v>716</v>
      </c>
      <c r="CC1686" s="269">
        <v>721</v>
      </c>
      <c r="CD1686" s="269">
        <v>670</v>
      </c>
      <c r="CE1686" s="269">
        <v>707</v>
      </c>
      <c r="CF1686" s="269">
        <v>639</v>
      </c>
      <c r="CG1686" s="269">
        <v>622</v>
      </c>
      <c r="CH1686" s="269">
        <v>631</v>
      </c>
      <c r="CI1686" s="269">
        <v>708</v>
      </c>
      <c r="CJ1686" s="269">
        <v>740</v>
      </c>
      <c r="CK1686" s="269">
        <v>700</v>
      </c>
      <c r="CL1686" s="269">
        <v>565</v>
      </c>
      <c r="CM1686" s="269">
        <v>496</v>
      </c>
      <c r="CN1686" s="269">
        <v>504</v>
      </c>
      <c r="CO1686" s="269">
        <v>451</v>
      </c>
      <c r="CP1686" s="269">
        <v>360</v>
      </c>
      <c r="CQ1686" s="269">
        <v>283</v>
      </c>
      <c r="CR1686" s="269">
        <v>309</v>
      </c>
      <c r="CS1686" s="269">
        <v>303</v>
      </c>
      <c r="CT1686" s="269">
        <v>230</v>
      </c>
      <c r="CU1686" s="269">
        <v>233</v>
      </c>
      <c r="CV1686" s="269">
        <v>208</v>
      </c>
      <c r="CW1686" s="269">
        <v>169</v>
      </c>
      <c r="CX1686" s="269">
        <v>129</v>
      </c>
      <c r="CY1686" s="26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9">
        <v>264</v>
      </c>
      <c r="N1687" s="269">
        <v>280</v>
      </c>
      <c r="O1687" s="269">
        <v>322</v>
      </c>
      <c r="P1687" s="269">
        <v>308</v>
      </c>
      <c r="Q1687" s="269">
        <v>320</v>
      </c>
      <c r="R1687" s="269">
        <v>344</v>
      </c>
      <c r="S1687" s="269">
        <v>395</v>
      </c>
      <c r="T1687" s="269">
        <v>401</v>
      </c>
      <c r="U1687" s="269">
        <v>365</v>
      </c>
      <c r="V1687" s="269">
        <v>394</v>
      </c>
      <c r="W1687" s="269">
        <v>421</v>
      </c>
      <c r="X1687" s="269">
        <v>400</v>
      </c>
      <c r="Y1687" s="269">
        <v>441</v>
      </c>
      <c r="Z1687" s="269">
        <v>413</v>
      </c>
      <c r="AA1687" s="269">
        <v>437</v>
      </c>
      <c r="AB1687" s="269">
        <v>381</v>
      </c>
      <c r="AC1687" s="269">
        <v>394</v>
      </c>
      <c r="AD1687" s="269">
        <v>397</v>
      </c>
      <c r="AE1687" s="269">
        <v>373</v>
      </c>
      <c r="AF1687" s="269">
        <v>298</v>
      </c>
      <c r="AG1687" s="269">
        <v>289</v>
      </c>
      <c r="AH1687" s="269">
        <v>327</v>
      </c>
      <c r="AI1687" s="269">
        <v>296</v>
      </c>
      <c r="AJ1687" s="269">
        <v>278</v>
      </c>
      <c r="AK1687" s="269">
        <v>364</v>
      </c>
      <c r="AL1687" s="269">
        <v>298</v>
      </c>
      <c r="AM1687" s="269">
        <v>306</v>
      </c>
      <c r="AN1687" s="269">
        <v>324</v>
      </c>
      <c r="AO1687" s="269">
        <v>329</v>
      </c>
      <c r="AP1687" s="269">
        <v>360</v>
      </c>
      <c r="AQ1687" s="269">
        <v>346</v>
      </c>
      <c r="AR1687" s="269">
        <v>341</v>
      </c>
      <c r="AS1687" s="269">
        <v>340</v>
      </c>
      <c r="AT1687" s="269">
        <v>357</v>
      </c>
      <c r="AU1687" s="269">
        <v>356</v>
      </c>
      <c r="AV1687" s="269">
        <v>390</v>
      </c>
      <c r="AW1687" s="269">
        <v>375</v>
      </c>
      <c r="AX1687" s="269">
        <v>326</v>
      </c>
      <c r="AY1687" s="269">
        <v>353</v>
      </c>
      <c r="AZ1687" s="269">
        <v>372</v>
      </c>
      <c r="BA1687" s="269">
        <v>339</v>
      </c>
      <c r="BB1687" s="269">
        <v>325</v>
      </c>
      <c r="BC1687" s="269">
        <v>345</v>
      </c>
      <c r="BD1687" s="269">
        <v>369</v>
      </c>
      <c r="BE1687" s="269">
        <v>381</v>
      </c>
      <c r="BF1687" s="269">
        <v>328</v>
      </c>
      <c r="BG1687" s="269">
        <v>317</v>
      </c>
      <c r="BH1687" s="269">
        <v>325</v>
      </c>
      <c r="BI1687" s="269">
        <v>353</v>
      </c>
      <c r="BJ1687" s="269">
        <v>370</v>
      </c>
      <c r="BK1687" s="269">
        <v>436</v>
      </c>
      <c r="BL1687" s="269">
        <v>456</v>
      </c>
      <c r="BM1687" s="269">
        <v>494</v>
      </c>
      <c r="BN1687" s="269">
        <v>445</v>
      </c>
      <c r="BO1687" s="269">
        <v>474</v>
      </c>
      <c r="BP1687" s="269">
        <v>484</v>
      </c>
      <c r="BQ1687" s="269">
        <v>523</v>
      </c>
      <c r="BR1687" s="269">
        <v>492</v>
      </c>
      <c r="BS1687" s="269">
        <v>546</v>
      </c>
      <c r="BT1687" s="269">
        <v>544</v>
      </c>
      <c r="BU1687" s="269">
        <v>582</v>
      </c>
      <c r="BV1687" s="269">
        <v>524</v>
      </c>
      <c r="BW1687" s="269">
        <v>519</v>
      </c>
      <c r="BX1687" s="269">
        <v>551</v>
      </c>
      <c r="BY1687" s="269">
        <v>529</v>
      </c>
      <c r="BZ1687" s="269">
        <v>489</v>
      </c>
      <c r="CA1687" s="269">
        <v>466</v>
      </c>
      <c r="CB1687" s="269">
        <v>489</v>
      </c>
      <c r="CC1687" s="269">
        <v>477</v>
      </c>
      <c r="CD1687" s="269">
        <v>463</v>
      </c>
      <c r="CE1687" s="269">
        <v>456</v>
      </c>
      <c r="CF1687" s="269">
        <v>448</v>
      </c>
      <c r="CG1687" s="269">
        <v>427</v>
      </c>
      <c r="CH1687" s="269">
        <v>465</v>
      </c>
      <c r="CI1687" s="269">
        <v>476</v>
      </c>
      <c r="CJ1687" s="269">
        <v>488</v>
      </c>
      <c r="CK1687" s="269">
        <v>474</v>
      </c>
      <c r="CL1687" s="269">
        <v>336</v>
      </c>
      <c r="CM1687" s="269">
        <v>344</v>
      </c>
      <c r="CN1687" s="269">
        <v>356</v>
      </c>
      <c r="CO1687" s="269">
        <v>322</v>
      </c>
      <c r="CP1687" s="269">
        <v>249</v>
      </c>
      <c r="CQ1687" s="269">
        <v>225</v>
      </c>
      <c r="CR1687" s="269">
        <v>215</v>
      </c>
      <c r="CS1687" s="269">
        <v>230</v>
      </c>
      <c r="CT1687" s="269">
        <v>174</v>
      </c>
      <c r="CU1687" s="269">
        <v>163</v>
      </c>
      <c r="CV1687" s="269">
        <v>124</v>
      </c>
      <c r="CW1687" s="269">
        <v>97</v>
      </c>
      <c r="CX1687" s="269">
        <v>73</v>
      </c>
      <c r="CY1687" s="26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9">
        <v>324</v>
      </c>
      <c r="N1688" s="269">
        <v>330</v>
      </c>
      <c r="O1688" s="269">
        <v>336</v>
      </c>
      <c r="P1688" s="269">
        <v>335</v>
      </c>
      <c r="Q1688" s="269">
        <v>319</v>
      </c>
      <c r="R1688" s="269">
        <v>374</v>
      </c>
      <c r="S1688" s="269">
        <v>406</v>
      </c>
      <c r="T1688" s="269">
        <v>392</v>
      </c>
      <c r="U1688" s="269">
        <v>364</v>
      </c>
      <c r="V1688" s="269">
        <v>351</v>
      </c>
      <c r="W1688" s="269">
        <v>355</v>
      </c>
      <c r="X1688" s="269">
        <v>379</v>
      </c>
      <c r="Y1688" s="269">
        <v>408</v>
      </c>
      <c r="Z1688" s="269">
        <v>353</v>
      </c>
      <c r="AA1688" s="269">
        <v>367</v>
      </c>
      <c r="AB1688" s="269">
        <v>373</v>
      </c>
      <c r="AC1688" s="269">
        <v>375</v>
      </c>
      <c r="AD1688" s="269">
        <v>343</v>
      </c>
      <c r="AE1688" s="269">
        <v>298</v>
      </c>
      <c r="AF1688" s="269">
        <v>288</v>
      </c>
      <c r="AG1688" s="269">
        <v>325</v>
      </c>
      <c r="AH1688" s="269">
        <v>284</v>
      </c>
      <c r="AI1688" s="269">
        <v>281</v>
      </c>
      <c r="AJ1688" s="269">
        <v>335</v>
      </c>
      <c r="AK1688" s="269">
        <v>323</v>
      </c>
      <c r="AL1688" s="269">
        <v>328</v>
      </c>
      <c r="AM1688" s="269">
        <v>367</v>
      </c>
      <c r="AN1688" s="269">
        <v>351</v>
      </c>
      <c r="AO1688" s="269">
        <v>332</v>
      </c>
      <c r="AP1688" s="269">
        <v>370</v>
      </c>
      <c r="AQ1688" s="269">
        <v>364</v>
      </c>
      <c r="AR1688" s="269">
        <v>359</v>
      </c>
      <c r="AS1688" s="269">
        <v>386</v>
      </c>
      <c r="AT1688" s="269">
        <v>392</v>
      </c>
      <c r="AU1688" s="269">
        <v>365</v>
      </c>
      <c r="AV1688" s="269">
        <v>390</v>
      </c>
      <c r="AW1688" s="269">
        <v>400</v>
      </c>
      <c r="AX1688" s="269">
        <v>415</v>
      </c>
      <c r="AY1688" s="269">
        <v>443</v>
      </c>
      <c r="AZ1688" s="269">
        <v>404</v>
      </c>
      <c r="BA1688" s="269">
        <v>340</v>
      </c>
      <c r="BB1688" s="269">
        <v>352</v>
      </c>
      <c r="BC1688" s="269">
        <v>383</v>
      </c>
      <c r="BD1688" s="269">
        <v>384</v>
      </c>
      <c r="BE1688" s="269">
        <v>339</v>
      </c>
      <c r="BF1688" s="269">
        <v>282</v>
      </c>
      <c r="BG1688" s="269">
        <v>275</v>
      </c>
      <c r="BH1688" s="269">
        <v>319</v>
      </c>
      <c r="BI1688" s="269">
        <v>327</v>
      </c>
      <c r="BJ1688" s="269">
        <v>293</v>
      </c>
      <c r="BK1688" s="269">
        <v>329</v>
      </c>
      <c r="BL1688" s="269">
        <v>355</v>
      </c>
      <c r="BM1688" s="269">
        <v>387</v>
      </c>
      <c r="BN1688" s="269">
        <v>361</v>
      </c>
      <c r="BO1688" s="269">
        <v>411</v>
      </c>
      <c r="BP1688" s="269">
        <v>384</v>
      </c>
      <c r="BQ1688" s="269">
        <v>380</v>
      </c>
      <c r="BR1688" s="269">
        <v>420</v>
      </c>
      <c r="BS1688" s="269">
        <v>416</v>
      </c>
      <c r="BT1688" s="269">
        <v>425</v>
      </c>
      <c r="BU1688" s="269">
        <v>373</v>
      </c>
      <c r="BV1688" s="269">
        <v>394</v>
      </c>
      <c r="BW1688" s="269">
        <v>360</v>
      </c>
      <c r="BX1688" s="269">
        <v>376</v>
      </c>
      <c r="BY1688" s="269">
        <v>402</v>
      </c>
      <c r="BZ1688" s="269">
        <v>387</v>
      </c>
      <c r="CA1688" s="269">
        <v>318</v>
      </c>
      <c r="CB1688" s="269">
        <v>301</v>
      </c>
      <c r="CC1688" s="269">
        <v>292</v>
      </c>
      <c r="CD1688" s="269">
        <v>317</v>
      </c>
      <c r="CE1688" s="269">
        <v>281</v>
      </c>
      <c r="CF1688" s="269">
        <v>286</v>
      </c>
      <c r="CG1688" s="269">
        <v>288</v>
      </c>
      <c r="CH1688" s="269">
        <v>267</v>
      </c>
      <c r="CI1688" s="269">
        <v>309</v>
      </c>
      <c r="CJ1688" s="269">
        <v>297</v>
      </c>
      <c r="CK1688" s="269">
        <v>242</v>
      </c>
      <c r="CL1688" s="269">
        <v>195</v>
      </c>
      <c r="CM1688" s="269">
        <v>213</v>
      </c>
      <c r="CN1688" s="269">
        <v>203</v>
      </c>
      <c r="CO1688" s="269">
        <v>177</v>
      </c>
      <c r="CP1688" s="269">
        <v>164</v>
      </c>
      <c r="CQ1688" s="269">
        <v>109</v>
      </c>
      <c r="CR1688" s="269">
        <v>113</v>
      </c>
      <c r="CS1688" s="269">
        <v>109</v>
      </c>
      <c r="CT1688" s="269">
        <v>113</v>
      </c>
      <c r="CU1688" s="269">
        <v>76</v>
      </c>
      <c r="CV1688" s="269">
        <v>61</v>
      </c>
      <c r="CW1688" s="269">
        <v>67</v>
      </c>
      <c r="CX1688" s="269">
        <v>42</v>
      </c>
      <c r="CY1688" s="26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9">
        <v>354</v>
      </c>
      <c r="N1689" s="269">
        <v>391</v>
      </c>
      <c r="O1689" s="269">
        <v>411</v>
      </c>
      <c r="P1689" s="269">
        <v>441</v>
      </c>
      <c r="Q1689" s="269">
        <v>402</v>
      </c>
      <c r="R1689" s="269">
        <v>455</v>
      </c>
      <c r="S1689" s="269">
        <v>488</v>
      </c>
      <c r="T1689" s="269">
        <v>496</v>
      </c>
      <c r="U1689" s="269">
        <v>504</v>
      </c>
      <c r="V1689" s="269">
        <v>507</v>
      </c>
      <c r="W1689" s="269">
        <v>510</v>
      </c>
      <c r="X1689" s="269">
        <v>540</v>
      </c>
      <c r="Y1689" s="269">
        <v>542</v>
      </c>
      <c r="Z1689" s="269">
        <v>520</v>
      </c>
      <c r="AA1689" s="269">
        <v>570</v>
      </c>
      <c r="AB1689" s="269">
        <v>571</v>
      </c>
      <c r="AC1689" s="269">
        <v>576</v>
      </c>
      <c r="AD1689" s="269">
        <v>517</v>
      </c>
      <c r="AE1689" s="269">
        <v>509</v>
      </c>
      <c r="AF1689" s="269">
        <v>359</v>
      </c>
      <c r="AG1689" s="269">
        <v>271</v>
      </c>
      <c r="AH1689" s="269">
        <v>359</v>
      </c>
      <c r="AI1689" s="269">
        <v>389</v>
      </c>
      <c r="AJ1689" s="269">
        <v>436</v>
      </c>
      <c r="AK1689" s="269">
        <v>476</v>
      </c>
      <c r="AL1689" s="269">
        <v>433</v>
      </c>
      <c r="AM1689" s="269">
        <v>508</v>
      </c>
      <c r="AN1689" s="269">
        <v>469</v>
      </c>
      <c r="AO1689" s="269">
        <v>470</v>
      </c>
      <c r="AP1689" s="269">
        <v>490</v>
      </c>
      <c r="AQ1689" s="269">
        <v>454</v>
      </c>
      <c r="AR1689" s="269">
        <v>531</v>
      </c>
      <c r="AS1689" s="269">
        <v>565</v>
      </c>
      <c r="AT1689" s="269">
        <v>516</v>
      </c>
      <c r="AU1689" s="269">
        <v>515</v>
      </c>
      <c r="AV1689" s="269">
        <v>485</v>
      </c>
      <c r="AW1689" s="269">
        <v>515</v>
      </c>
      <c r="AX1689" s="269">
        <v>481</v>
      </c>
      <c r="AY1689" s="269">
        <v>486</v>
      </c>
      <c r="AZ1689" s="269">
        <v>500</v>
      </c>
      <c r="BA1689" s="269">
        <v>512</v>
      </c>
      <c r="BB1689" s="269">
        <v>485</v>
      </c>
      <c r="BC1689" s="269">
        <v>470</v>
      </c>
      <c r="BD1689" s="269">
        <v>519</v>
      </c>
      <c r="BE1689" s="269">
        <v>521</v>
      </c>
      <c r="BF1689" s="269">
        <v>468</v>
      </c>
      <c r="BG1689" s="269">
        <v>528</v>
      </c>
      <c r="BH1689" s="269">
        <v>501</v>
      </c>
      <c r="BI1689" s="269">
        <v>548</v>
      </c>
      <c r="BJ1689" s="269">
        <v>544</v>
      </c>
      <c r="BK1689" s="269">
        <v>606</v>
      </c>
      <c r="BL1689" s="269">
        <v>670</v>
      </c>
      <c r="BM1689" s="269">
        <v>705</v>
      </c>
      <c r="BN1689" s="269">
        <v>652</v>
      </c>
      <c r="BO1689" s="269">
        <v>695</v>
      </c>
      <c r="BP1689" s="269">
        <v>766</v>
      </c>
      <c r="BQ1689" s="269">
        <v>752</v>
      </c>
      <c r="BR1689" s="269">
        <v>781</v>
      </c>
      <c r="BS1689" s="269">
        <v>754</v>
      </c>
      <c r="BT1689" s="269">
        <v>756</v>
      </c>
      <c r="BU1689" s="269">
        <v>776</v>
      </c>
      <c r="BV1689" s="269">
        <v>719</v>
      </c>
      <c r="BW1689" s="269">
        <v>715</v>
      </c>
      <c r="BX1689" s="269">
        <v>664</v>
      </c>
      <c r="BY1689" s="269">
        <v>631</v>
      </c>
      <c r="BZ1689" s="269">
        <v>679</v>
      </c>
      <c r="CA1689" s="269">
        <v>623</v>
      </c>
      <c r="CB1689" s="269">
        <v>575</v>
      </c>
      <c r="CC1689" s="269">
        <v>599</v>
      </c>
      <c r="CD1689" s="269">
        <v>561</v>
      </c>
      <c r="CE1689" s="269">
        <v>597</v>
      </c>
      <c r="CF1689" s="269">
        <v>600</v>
      </c>
      <c r="CG1689" s="269">
        <v>564</v>
      </c>
      <c r="CH1689" s="269">
        <v>619</v>
      </c>
      <c r="CI1689" s="269">
        <v>586</v>
      </c>
      <c r="CJ1689" s="269">
        <v>582</v>
      </c>
      <c r="CK1689" s="269">
        <v>641</v>
      </c>
      <c r="CL1689" s="269">
        <v>477</v>
      </c>
      <c r="CM1689" s="269">
        <v>455</v>
      </c>
      <c r="CN1689" s="269">
        <v>468</v>
      </c>
      <c r="CO1689" s="269">
        <v>410</v>
      </c>
      <c r="CP1689" s="269">
        <v>349</v>
      </c>
      <c r="CQ1689" s="269">
        <v>293</v>
      </c>
      <c r="CR1689" s="269">
        <v>318</v>
      </c>
      <c r="CS1689" s="269">
        <v>263</v>
      </c>
      <c r="CT1689" s="269">
        <v>221</v>
      </c>
      <c r="CU1689" s="269">
        <v>198</v>
      </c>
      <c r="CV1689" s="269">
        <v>191</v>
      </c>
      <c r="CW1689" s="269">
        <v>149</v>
      </c>
      <c r="CX1689" s="269">
        <v>137</v>
      </c>
      <c r="CY1689" s="26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9">
        <v>619</v>
      </c>
      <c r="N1690" s="269">
        <v>647</v>
      </c>
      <c r="O1690" s="269">
        <v>662</v>
      </c>
      <c r="P1690" s="269">
        <v>656</v>
      </c>
      <c r="Q1690" s="269">
        <v>714</v>
      </c>
      <c r="R1690" s="269">
        <v>779</v>
      </c>
      <c r="S1690" s="269">
        <v>782</v>
      </c>
      <c r="T1690" s="269">
        <v>821</v>
      </c>
      <c r="U1690" s="269">
        <v>822</v>
      </c>
      <c r="V1690" s="269">
        <v>830</v>
      </c>
      <c r="W1690" s="269">
        <v>797</v>
      </c>
      <c r="X1690" s="269">
        <v>927</v>
      </c>
      <c r="Y1690" s="269">
        <v>928</v>
      </c>
      <c r="Z1690" s="269">
        <v>867</v>
      </c>
      <c r="AA1690" s="269">
        <v>870</v>
      </c>
      <c r="AB1690" s="269">
        <v>876</v>
      </c>
      <c r="AC1690" s="269">
        <v>850</v>
      </c>
      <c r="AD1690" s="269">
        <v>858</v>
      </c>
      <c r="AE1690" s="269">
        <v>1006</v>
      </c>
      <c r="AF1690" s="269">
        <v>1747</v>
      </c>
      <c r="AG1690" s="269">
        <v>932</v>
      </c>
      <c r="AH1690" s="269">
        <v>866</v>
      </c>
      <c r="AI1690" s="269">
        <v>586</v>
      </c>
      <c r="AJ1690" s="269">
        <v>608</v>
      </c>
      <c r="AK1690" s="269">
        <v>672</v>
      </c>
      <c r="AL1690" s="269">
        <v>707</v>
      </c>
      <c r="AM1690" s="269">
        <v>788</v>
      </c>
      <c r="AN1690" s="269">
        <v>800</v>
      </c>
      <c r="AO1690" s="269">
        <v>814</v>
      </c>
      <c r="AP1690" s="269">
        <v>799</v>
      </c>
      <c r="AQ1690" s="269">
        <v>859</v>
      </c>
      <c r="AR1690" s="269">
        <v>911</v>
      </c>
      <c r="AS1690" s="269">
        <v>868</v>
      </c>
      <c r="AT1690" s="269">
        <v>869</v>
      </c>
      <c r="AU1690" s="269">
        <v>859</v>
      </c>
      <c r="AV1690" s="269">
        <v>835</v>
      </c>
      <c r="AW1690" s="269">
        <v>847</v>
      </c>
      <c r="AX1690" s="269">
        <v>917</v>
      </c>
      <c r="AY1690" s="269">
        <v>882</v>
      </c>
      <c r="AZ1690" s="269">
        <v>884</v>
      </c>
      <c r="BA1690" s="269">
        <v>840</v>
      </c>
      <c r="BB1690" s="269">
        <v>830</v>
      </c>
      <c r="BC1690" s="269">
        <v>824</v>
      </c>
      <c r="BD1690" s="269">
        <v>817</v>
      </c>
      <c r="BE1690" s="269">
        <v>864</v>
      </c>
      <c r="BF1690" s="269">
        <v>816</v>
      </c>
      <c r="BG1690" s="269">
        <v>750</v>
      </c>
      <c r="BH1690" s="269">
        <v>734</v>
      </c>
      <c r="BI1690" s="269">
        <v>817</v>
      </c>
      <c r="BJ1690" s="269">
        <v>770</v>
      </c>
      <c r="BK1690" s="269">
        <v>857</v>
      </c>
      <c r="BL1690" s="269">
        <v>860</v>
      </c>
      <c r="BM1690" s="269">
        <v>958</v>
      </c>
      <c r="BN1690" s="269">
        <v>900</v>
      </c>
      <c r="BO1690" s="269">
        <v>942</v>
      </c>
      <c r="BP1690" s="269">
        <v>998</v>
      </c>
      <c r="BQ1690" s="269">
        <v>956</v>
      </c>
      <c r="BR1690" s="269">
        <v>991</v>
      </c>
      <c r="BS1690" s="269">
        <v>999</v>
      </c>
      <c r="BT1690" s="269">
        <v>1046</v>
      </c>
      <c r="BU1690" s="269">
        <v>982</v>
      </c>
      <c r="BV1690" s="269">
        <v>965</v>
      </c>
      <c r="BW1690" s="269">
        <v>934</v>
      </c>
      <c r="BX1690" s="269">
        <v>956</v>
      </c>
      <c r="BY1690" s="269">
        <v>878</v>
      </c>
      <c r="BZ1690" s="269">
        <v>985</v>
      </c>
      <c r="CA1690" s="269">
        <v>869</v>
      </c>
      <c r="CB1690" s="269">
        <v>790</v>
      </c>
      <c r="CC1690" s="269">
        <v>786</v>
      </c>
      <c r="CD1690" s="269">
        <v>774</v>
      </c>
      <c r="CE1690" s="269">
        <v>795</v>
      </c>
      <c r="CF1690" s="269">
        <v>752</v>
      </c>
      <c r="CG1690" s="269">
        <v>699</v>
      </c>
      <c r="CH1690" s="269">
        <v>763</v>
      </c>
      <c r="CI1690" s="269">
        <v>726</v>
      </c>
      <c r="CJ1690" s="269">
        <v>807</v>
      </c>
      <c r="CK1690" s="269">
        <v>778</v>
      </c>
      <c r="CL1690" s="269">
        <v>554</v>
      </c>
      <c r="CM1690" s="269">
        <v>548</v>
      </c>
      <c r="CN1690" s="269">
        <v>529</v>
      </c>
      <c r="CO1690" s="269">
        <v>478</v>
      </c>
      <c r="CP1690" s="269">
        <v>413</v>
      </c>
      <c r="CQ1690" s="269">
        <v>336</v>
      </c>
      <c r="CR1690" s="269">
        <v>345</v>
      </c>
      <c r="CS1690" s="269">
        <v>292</v>
      </c>
      <c r="CT1690" s="269">
        <v>260</v>
      </c>
      <c r="CU1690" s="269">
        <v>231</v>
      </c>
      <c r="CV1690" s="269">
        <v>207</v>
      </c>
      <c r="CW1690" s="269">
        <v>150</v>
      </c>
      <c r="CX1690" s="269">
        <v>147</v>
      </c>
      <c r="CY1690" s="26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9">
        <v>935</v>
      </c>
      <c r="N1691" s="269">
        <v>1016</v>
      </c>
      <c r="O1691" s="269">
        <v>1007</v>
      </c>
      <c r="P1691" s="269">
        <v>1009</v>
      </c>
      <c r="Q1691" s="269">
        <v>1067</v>
      </c>
      <c r="R1691" s="269">
        <v>1039</v>
      </c>
      <c r="S1691" s="269">
        <v>1035</v>
      </c>
      <c r="T1691" s="269">
        <v>1224</v>
      </c>
      <c r="U1691" s="269">
        <v>1104</v>
      </c>
      <c r="V1691" s="269">
        <v>1054</v>
      </c>
      <c r="W1691" s="269">
        <v>1100</v>
      </c>
      <c r="X1691" s="269">
        <v>1042</v>
      </c>
      <c r="Y1691" s="269">
        <v>1081</v>
      </c>
      <c r="Z1691" s="269">
        <v>1049</v>
      </c>
      <c r="AA1691" s="269">
        <v>1137</v>
      </c>
      <c r="AB1691" s="269">
        <v>1129</v>
      </c>
      <c r="AC1691" s="269">
        <v>958</v>
      </c>
      <c r="AD1691" s="269">
        <v>957</v>
      </c>
      <c r="AE1691" s="269">
        <v>959</v>
      </c>
      <c r="AF1691" s="269">
        <v>850</v>
      </c>
      <c r="AG1691" s="269">
        <v>751</v>
      </c>
      <c r="AH1691" s="269">
        <v>735</v>
      </c>
      <c r="AI1691" s="269">
        <v>769</v>
      </c>
      <c r="AJ1691" s="269">
        <v>894</v>
      </c>
      <c r="AK1691" s="269">
        <v>1005</v>
      </c>
      <c r="AL1691" s="269">
        <v>1025</v>
      </c>
      <c r="AM1691" s="269">
        <v>1092</v>
      </c>
      <c r="AN1691" s="269">
        <v>1091</v>
      </c>
      <c r="AO1691" s="269">
        <v>1099</v>
      </c>
      <c r="AP1691" s="269">
        <v>1142</v>
      </c>
      <c r="AQ1691" s="269">
        <v>1308</v>
      </c>
      <c r="AR1691" s="269">
        <v>1286</v>
      </c>
      <c r="AS1691" s="269">
        <v>1324</v>
      </c>
      <c r="AT1691" s="269">
        <v>1217</v>
      </c>
      <c r="AU1691" s="269">
        <v>1325</v>
      </c>
      <c r="AV1691" s="269">
        <v>1387</v>
      </c>
      <c r="AW1691" s="269">
        <v>1245</v>
      </c>
      <c r="AX1691" s="269">
        <v>1190</v>
      </c>
      <c r="AY1691" s="269">
        <v>1291</v>
      </c>
      <c r="AZ1691" s="269">
        <v>1168</v>
      </c>
      <c r="BA1691" s="269">
        <v>1049</v>
      </c>
      <c r="BB1691" s="269">
        <v>1062</v>
      </c>
      <c r="BC1691" s="269">
        <v>1069</v>
      </c>
      <c r="BD1691" s="269">
        <v>1123</v>
      </c>
      <c r="BE1691" s="269">
        <v>1050</v>
      </c>
      <c r="BF1691" s="269">
        <v>962</v>
      </c>
      <c r="BG1691" s="269">
        <v>915</v>
      </c>
      <c r="BH1691" s="269">
        <v>925</v>
      </c>
      <c r="BI1691" s="269">
        <v>956</v>
      </c>
      <c r="BJ1691" s="269">
        <v>945</v>
      </c>
      <c r="BK1691" s="269">
        <v>1005</v>
      </c>
      <c r="BL1691" s="269">
        <v>980</v>
      </c>
      <c r="BM1691" s="269">
        <v>1087</v>
      </c>
      <c r="BN1691" s="269">
        <v>1072</v>
      </c>
      <c r="BO1691" s="269">
        <v>1118</v>
      </c>
      <c r="BP1691" s="269">
        <v>929</v>
      </c>
      <c r="BQ1691" s="269">
        <v>1068</v>
      </c>
      <c r="BR1691" s="269">
        <v>1043</v>
      </c>
      <c r="BS1691" s="269">
        <v>1035</v>
      </c>
      <c r="BT1691" s="269">
        <v>1016</v>
      </c>
      <c r="BU1691" s="269">
        <v>1017</v>
      </c>
      <c r="BV1691" s="269">
        <v>915</v>
      </c>
      <c r="BW1691" s="269">
        <v>967</v>
      </c>
      <c r="BX1691" s="269">
        <v>878</v>
      </c>
      <c r="BY1691" s="269">
        <v>955</v>
      </c>
      <c r="BZ1691" s="269">
        <v>826</v>
      </c>
      <c r="CA1691" s="269">
        <v>782</v>
      </c>
      <c r="CB1691" s="269">
        <v>662</v>
      </c>
      <c r="CC1691" s="269">
        <v>663</v>
      </c>
      <c r="CD1691" s="269">
        <v>706</v>
      </c>
      <c r="CE1691" s="269">
        <v>734</v>
      </c>
      <c r="CF1691" s="269">
        <v>662</v>
      </c>
      <c r="CG1691" s="269">
        <v>588</v>
      </c>
      <c r="CH1691" s="269">
        <v>632</v>
      </c>
      <c r="CI1691" s="269">
        <v>601</v>
      </c>
      <c r="CJ1691" s="269">
        <v>678</v>
      </c>
      <c r="CK1691" s="269">
        <v>722</v>
      </c>
      <c r="CL1691" s="269">
        <v>491</v>
      </c>
      <c r="CM1691" s="269">
        <v>489</v>
      </c>
      <c r="CN1691" s="269">
        <v>471</v>
      </c>
      <c r="CO1691" s="269">
        <v>428</v>
      </c>
      <c r="CP1691" s="269">
        <v>358</v>
      </c>
      <c r="CQ1691" s="269">
        <v>296</v>
      </c>
      <c r="CR1691" s="269">
        <v>291</v>
      </c>
      <c r="CS1691" s="269">
        <v>281</v>
      </c>
      <c r="CT1691" s="269">
        <v>226</v>
      </c>
      <c r="CU1691" s="269">
        <v>209</v>
      </c>
      <c r="CV1691" s="269">
        <v>199</v>
      </c>
      <c r="CW1691" s="269">
        <v>141</v>
      </c>
      <c r="CX1691" s="269">
        <v>118</v>
      </c>
      <c r="CY1691" s="26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9">
        <v>527</v>
      </c>
      <c r="N1692" s="269">
        <v>557</v>
      </c>
      <c r="O1692" s="269">
        <v>555</v>
      </c>
      <c r="P1692" s="269">
        <v>581</v>
      </c>
      <c r="Q1692" s="269">
        <v>606</v>
      </c>
      <c r="R1692" s="269">
        <v>651</v>
      </c>
      <c r="S1692" s="269">
        <v>642</v>
      </c>
      <c r="T1692" s="269">
        <v>679</v>
      </c>
      <c r="U1692" s="269">
        <v>704</v>
      </c>
      <c r="V1692" s="269">
        <v>714</v>
      </c>
      <c r="W1692" s="269">
        <v>705</v>
      </c>
      <c r="X1692" s="269">
        <v>709</v>
      </c>
      <c r="Y1692" s="269">
        <v>757</v>
      </c>
      <c r="Z1692" s="269">
        <v>735</v>
      </c>
      <c r="AA1692" s="269">
        <v>698</v>
      </c>
      <c r="AB1692" s="269">
        <v>780</v>
      </c>
      <c r="AC1692" s="269">
        <v>696</v>
      </c>
      <c r="AD1692" s="269">
        <v>764</v>
      </c>
      <c r="AE1692" s="269">
        <v>721</v>
      </c>
      <c r="AF1692" s="269">
        <v>587</v>
      </c>
      <c r="AG1692" s="269">
        <v>490</v>
      </c>
      <c r="AH1692" s="269">
        <v>500</v>
      </c>
      <c r="AI1692" s="269">
        <v>596</v>
      </c>
      <c r="AJ1692" s="269">
        <v>641</v>
      </c>
      <c r="AK1692" s="269">
        <v>603</v>
      </c>
      <c r="AL1692" s="269">
        <v>650</v>
      </c>
      <c r="AM1692" s="269">
        <v>669</v>
      </c>
      <c r="AN1692" s="269">
        <v>616</v>
      </c>
      <c r="AO1692" s="269">
        <v>532</v>
      </c>
      <c r="AP1692" s="269">
        <v>583</v>
      </c>
      <c r="AQ1692" s="269">
        <v>655</v>
      </c>
      <c r="AR1692" s="269">
        <v>732</v>
      </c>
      <c r="AS1692" s="269">
        <v>702</v>
      </c>
      <c r="AT1692" s="269">
        <v>647</v>
      </c>
      <c r="AU1692" s="269">
        <v>607</v>
      </c>
      <c r="AV1692" s="269">
        <v>714</v>
      </c>
      <c r="AW1692" s="269">
        <v>658</v>
      </c>
      <c r="AX1692" s="269">
        <v>651</v>
      </c>
      <c r="AY1692" s="269">
        <v>619</v>
      </c>
      <c r="AZ1692" s="269">
        <v>628</v>
      </c>
      <c r="BA1692" s="269">
        <v>616</v>
      </c>
      <c r="BB1692" s="269">
        <v>626</v>
      </c>
      <c r="BC1692" s="269">
        <v>619</v>
      </c>
      <c r="BD1692" s="269">
        <v>667</v>
      </c>
      <c r="BE1692" s="269">
        <v>608</v>
      </c>
      <c r="BF1692" s="269">
        <v>582</v>
      </c>
      <c r="BG1692" s="269">
        <v>557</v>
      </c>
      <c r="BH1692" s="269">
        <v>583</v>
      </c>
      <c r="BI1692" s="269">
        <v>621</v>
      </c>
      <c r="BJ1692" s="269">
        <v>660</v>
      </c>
      <c r="BK1692" s="269">
        <v>725</v>
      </c>
      <c r="BL1692" s="269">
        <v>748</v>
      </c>
      <c r="BM1692" s="269">
        <v>771</v>
      </c>
      <c r="BN1692" s="269">
        <v>821</v>
      </c>
      <c r="BO1692" s="269">
        <v>820</v>
      </c>
      <c r="BP1692" s="269">
        <v>859</v>
      </c>
      <c r="BQ1692" s="269">
        <v>918</v>
      </c>
      <c r="BR1692" s="269">
        <v>929</v>
      </c>
      <c r="BS1692" s="269">
        <v>940</v>
      </c>
      <c r="BT1692" s="269">
        <v>906</v>
      </c>
      <c r="BU1692" s="269">
        <v>1025</v>
      </c>
      <c r="BV1692" s="269">
        <v>987</v>
      </c>
      <c r="BW1692" s="269">
        <v>922</v>
      </c>
      <c r="BX1692" s="269">
        <v>902</v>
      </c>
      <c r="BY1692" s="269">
        <v>979</v>
      </c>
      <c r="BZ1692" s="269">
        <v>904</v>
      </c>
      <c r="CA1692" s="269">
        <v>858</v>
      </c>
      <c r="CB1692" s="269">
        <v>861</v>
      </c>
      <c r="CC1692" s="269">
        <v>859</v>
      </c>
      <c r="CD1692" s="269">
        <v>881</v>
      </c>
      <c r="CE1692" s="269">
        <v>858</v>
      </c>
      <c r="CF1692" s="269">
        <v>788</v>
      </c>
      <c r="CG1692" s="269">
        <v>819</v>
      </c>
      <c r="CH1692" s="269">
        <v>819</v>
      </c>
      <c r="CI1692" s="269">
        <v>769</v>
      </c>
      <c r="CJ1692" s="269">
        <v>808</v>
      </c>
      <c r="CK1692" s="269">
        <v>861</v>
      </c>
      <c r="CL1692" s="269">
        <v>588</v>
      </c>
      <c r="CM1692" s="269">
        <v>613</v>
      </c>
      <c r="CN1692" s="269">
        <v>589</v>
      </c>
      <c r="CO1692" s="269">
        <v>511</v>
      </c>
      <c r="CP1692" s="269">
        <v>462</v>
      </c>
      <c r="CQ1692" s="269">
        <v>433</v>
      </c>
      <c r="CR1692" s="269">
        <v>384</v>
      </c>
      <c r="CS1692" s="269">
        <v>345</v>
      </c>
      <c r="CT1692" s="269">
        <v>297</v>
      </c>
      <c r="CU1692" s="269">
        <v>234</v>
      </c>
      <c r="CV1692" s="269">
        <v>223</v>
      </c>
      <c r="CW1692" s="269">
        <v>188</v>
      </c>
      <c r="CX1692" s="269">
        <v>113</v>
      </c>
      <c r="CY1692" s="26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9">
        <v>500</v>
      </c>
      <c r="N1693" s="269">
        <v>567</v>
      </c>
      <c r="O1693" s="269">
        <v>567</v>
      </c>
      <c r="P1693" s="269">
        <v>565</v>
      </c>
      <c r="Q1693" s="269">
        <v>628</v>
      </c>
      <c r="R1693" s="269">
        <v>679</v>
      </c>
      <c r="S1693" s="269">
        <v>663</v>
      </c>
      <c r="T1693" s="269">
        <v>649</v>
      </c>
      <c r="U1693" s="269">
        <v>706</v>
      </c>
      <c r="V1693" s="269">
        <v>704</v>
      </c>
      <c r="W1693" s="269">
        <v>721</v>
      </c>
      <c r="X1693" s="269">
        <v>696</v>
      </c>
      <c r="Y1693" s="269">
        <v>721</v>
      </c>
      <c r="Z1693" s="269">
        <v>714</v>
      </c>
      <c r="AA1693" s="269">
        <v>729</v>
      </c>
      <c r="AB1693" s="269">
        <v>832</v>
      </c>
      <c r="AC1693" s="269">
        <v>724</v>
      </c>
      <c r="AD1693" s="269">
        <v>726</v>
      </c>
      <c r="AE1693" s="269">
        <v>743</v>
      </c>
      <c r="AF1693" s="269">
        <v>546</v>
      </c>
      <c r="AG1693" s="269">
        <v>499</v>
      </c>
      <c r="AH1693" s="269">
        <v>488</v>
      </c>
      <c r="AI1693" s="269">
        <v>542</v>
      </c>
      <c r="AJ1693" s="269">
        <v>618</v>
      </c>
      <c r="AK1693" s="269">
        <v>731</v>
      </c>
      <c r="AL1693" s="269">
        <v>629</v>
      </c>
      <c r="AM1693" s="269">
        <v>657</v>
      </c>
      <c r="AN1693" s="269">
        <v>702</v>
      </c>
      <c r="AO1693" s="269">
        <v>637</v>
      </c>
      <c r="AP1693" s="269">
        <v>685</v>
      </c>
      <c r="AQ1693" s="269">
        <v>668</v>
      </c>
      <c r="AR1693" s="269">
        <v>675</v>
      </c>
      <c r="AS1693" s="269">
        <v>697</v>
      </c>
      <c r="AT1693" s="269">
        <v>686</v>
      </c>
      <c r="AU1693" s="269">
        <v>676</v>
      </c>
      <c r="AV1693" s="269">
        <v>708</v>
      </c>
      <c r="AW1693" s="269">
        <v>618</v>
      </c>
      <c r="AX1693" s="269">
        <v>646</v>
      </c>
      <c r="AY1693" s="269">
        <v>707</v>
      </c>
      <c r="AZ1693" s="269">
        <v>646</v>
      </c>
      <c r="BA1693" s="269">
        <v>628</v>
      </c>
      <c r="BB1693" s="269">
        <v>688</v>
      </c>
      <c r="BC1693" s="269">
        <v>664</v>
      </c>
      <c r="BD1693" s="269">
        <v>683</v>
      </c>
      <c r="BE1693" s="269">
        <v>662</v>
      </c>
      <c r="BF1693" s="269">
        <v>629</v>
      </c>
      <c r="BG1693" s="269">
        <v>651</v>
      </c>
      <c r="BH1693" s="269">
        <v>664</v>
      </c>
      <c r="BI1693" s="269">
        <v>737</v>
      </c>
      <c r="BJ1693" s="269">
        <v>727</v>
      </c>
      <c r="BK1693" s="269">
        <v>742</v>
      </c>
      <c r="BL1693" s="269">
        <v>939</v>
      </c>
      <c r="BM1693" s="269">
        <v>931</v>
      </c>
      <c r="BN1693" s="269">
        <v>885</v>
      </c>
      <c r="BO1693" s="269">
        <v>995</v>
      </c>
      <c r="BP1693" s="269">
        <v>947</v>
      </c>
      <c r="BQ1693" s="269">
        <v>1071</v>
      </c>
      <c r="BR1693" s="269">
        <v>1051</v>
      </c>
      <c r="BS1693" s="269">
        <v>1105</v>
      </c>
      <c r="BT1693" s="269">
        <v>1052</v>
      </c>
      <c r="BU1693" s="269">
        <v>1097</v>
      </c>
      <c r="BV1693" s="269">
        <v>1105</v>
      </c>
      <c r="BW1693" s="269">
        <v>1093</v>
      </c>
      <c r="BX1693" s="269">
        <v>1092</v>
      </c>
      <c r="BY1693" s="269">
        <v>1073</v>
      </c>
      <c r="BZ1693" s="269">
        <v>974</v>
      </c>
      <c r="CA1693" s="269">
        <v>1011</v>
      </c>
      <c r="CB1693" s="269">
        <v>1034</v>
      </c>
      <c r="CC1693" s="269">
        <v>919</v>
      </c>
      <c r="CD1693" s="269">
        <v>973</v>
      </c>
      <c r="CE1693" s="269">
        <v>971</v>
      </c>
      <c r="CF1693" s="269">
        <v>935</v>
      </c>
      <c r="CG1693" s="269">
        <v>898</v>
      </c>
      <c r="CH1693" s="269">
        <v>940</v>
      </c>
      <c r="CI1693" s="269">
        <v>949</v>
      </c>
      <c r="CJ1693" s="269">
        <v>1019</v>
      </c>
      <c r="CK1693" s="269">
        <v>991</v>
      </c>
      <c r="CL1693" s="269">
        <v>736</v>
      </c>
      <c r="CM1693" s="269">
        <v>674</v>
      </c>
      <c r="CN1693" s="269">
        <v>776</v>
      </c>
      <c r="CO1693" s="269">
        <v>629</v>
      </c>
      <c r="CP1693" s="269">
        <v>531</v>
      </c>
      <c r="CQ1693" s="269">
        <v>455</v>
      </c>
      <c r="CR1693" s="269">
        <v>447</v>
      </c>
      <c r="CS1693" s="269">
        <v>377</v>
      </c>
      <c r="CT1693" s="269">
        <v>377</v>
      </c>
      <c r="CU1693" s="269">
        <v>326</v>
      </c>
      <c r="CV1693" s="269">
        <v>256</v>
      </c>
      <c r="CW1693" s="269">
        <v>251</v>
      </c>
      <c r="CX1693" s="269">
        <v>205</v>
      </c>
      <c r="CY1693" s="26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9">
        <v>1140</v>
      </c>
      <c r="N1694" s="269">
        <v>1193</v>
      </c>
      <c r="O1694" s="269">
        <v>1210</v>
      </c>
      <c r="P1694" s="269">
        <v>1259</v>
      </c>
      <c r="Q1694" s="269">
        <v>1323</v>
      </c>
      <c r="R1694" s="269">
        <v>1394</v>
      </c>
      <c r="S1694" s="269">
        <v>1347</v>
      </c>
      <c r="T1694" s="269">
        <v>1353</v>
      </c>
      <c r="U1694" s="269">
        <v>1441</v>
      </c>
      <c r="V1694" s="269">
        <v>1459</v>
      </c>
      <c r="W1694" s="269">
        <v>1469</v>
      </c>
      <c r="X1694" s="269">
        <v>1475</v>
      </c>
      <c r="Y1694" s="269">
        <v>1526</v>
      </c>
      <c r="Z1694" s="269">
        <v>1426</v>
      </c>
      <c r="AA1694" s="269">
        <v>1603</v>
      </c>
      <c r="AB1694" s="269">
        <v>1474</v>
      </c>
      <c r="AC1694" s="269">
        <v>1488</v>
      </c>
      <c r="AD1694" s="269">
        <v>1401</v>
      </c>
      <c r="AE1694" s="269">
        <v>1439</v>
      </c>
      <c r="AF1694" s="269">
        <v>1327</v>
      </c>
      <c r="AG1694" s="269">
        <v>1440</v>
      </c>
      <c r="AH1694" s="269">
        <v>1440</v>
      </c>
      <c r="AI1694" s="269">
        <v>1500</v>
      </c>
      <c r="AJ1694" s="269">
        <v>1367</v>
      </c>
      <c r="AK1694" s="269">
        <v>1559</v>
      </c>
      <c r="AL1694" s="269">
        <v>1408</v>
      </c>
      <c r="AM1694" s="269">
        <v>1581</v>
      </c>
      <c r="AN1694" s="269">
        <v>1460</v>
      </c>
      <c r="AO1694" s="269">
        <v>1582</v>
      </c>
      <c r="AP1694" s="269">
        <v>1538</v>
      </c>
      <c r="AQ1694" s="269">
        <v>1616</v>
      </c>
      <c r="AR1694" s="269">
        <v>1610</v>
      </c>
      <c r="AS1694" s="269">
        <v>1537</v>
      </c>
      <c r="AT1694" s="269">
        <v>1739</v>
      </c>
      <c r="AU1694" s="269">
        <v>1696</v>
      </c>
      <c r="AV1694" s="269">
        <v>1559</v>
      </c>
      <c r="AW1694" s="269">
        <v>1589</v>
      </c>
      <c r="AX1694" s="269">
        <v>1564</v>
      </c>
      <c r="AY1694" s="269">
        <v>1593</v>
      </c>
      <c r="AZ1694" s="269">
        <v>1551</v>
      </c>
      <c r="BA1694" s="269">
        <v>1502</v>
      </c>
      <c r="BB1694" s="269">
        <v>1496</v>
      </c>
      <c r="BC1694" s="269">
        <v>1401</v>
      </c>
      <c r="BD1694" s="269">
        <v>1480</v>
      </c>
      <c r="BE1694" s="269">
        <v>1460</v>
      </c>
      <c r="BF1694" s="269">
        <v>1318</v>
      </c>
      <c r="BG1694" s="269">
        <v>1264</v>
      </c>
      <c r="BH1694" s="269">
        <v>1238</v>
      </c>
      <c r="BI1694" s="269">
        <v>1355</v>
      </c>
      <c r="BJ1694" s="269">
        <v>1271</v>
      </c>
      <c r="BK1694" s="269">
        <v>1523</v>
      </c>
      <c r="BL1694" s="269">
        <v>1620</v>
      </c>
      <c r="BM1694" s="269">
        <v>1690</v>
      </c>
      <c r="BN1694" s="269">
        <v>1562</v>
      </c>
      <c r="BO1694" s="269">
        <v>1621</v>
      </c>
      <c r="BP1694" s="269">
        <v>1659</v>
      </c>
      <c r="BQ1694" s="269">
        <v>1650</v>
      </c>
      <c r="BR1694" s="269">
        <v>1681</v>
      </c>
      <c r="BS1694" s="269">
        <v>1724</v>
      </c>
      <c r="BT1694" s="269">
        <v>1621</v>
      </c>
      <c r="BU1694" s="269">
        <v>1572</v>
      </c>
      <c r="BV1694" s="269">
        <v>1600</v>
      </c>
      <c r="BW1694" s="269">
        <v>1483</v>
      </c>
      <c r="BX1694" s="269">
        <v>1337</v>
      </c>
      <c r="BY1694" s="269">
        <v>1422</v>
      </c>
      <c r="BZ1694" s="269">
        <v>1370</v>
      </c>
      <c r="CA1694" s="269">
        <v>1353</v>
      </c>
      <c r="CB1694" s="269">
        <v>1253</v>
      </c>
      <c r="CC1694" s="269">
        <v>1168</v>
      </c>
      <c r="CD1694" s="269">
        <v>1192</v>
      </c>
      <c r="CE1694" s="269">
        <v>1131</v>
      </c>
      <c r="CF1694" s="269">
        <v>1211</v>
      </c>
      <c r="CG1694" s="269">
        <v>1146</v>
      </c>
      <c r="CH1694" s="269">
        <v>1188</v>
      </c>
      <c r="CI1694" s="269">
        <v>1207</v>
      </c>
      <c r="CJ1694" s="269">
        <v>1233</v>
      </c>
      <c r="CK1694" s="269">
        <v>1235</v>
      </c>
      <c r="CL1694" s="269">
        <v>1028</v>
      </c>
      <c r="CM1694" s="269">
        <v>956</v>
      </c>
      <c r="CN1694" s="269">
        <v>790</v>
      </c>
      <c r="CO1694" s="269">
        <v>668</v>
      </c>
      <c r="CP1694" s="269">
        <v>634</v>
      </c>
      <c r="CQ1694" s="269">
        <v>539</v>
      </c>
      <c r="CR1694" s="269">
        <v>489</v>
      </c>
      <c r="CS1694" s="269">
        <v>429</v>
      </c>
      <c r="CT1694" s="269">
        <v>400</v>
      </c>
      <c r="CU1694" s="269">
        <v>325</v>
      </c>
      <c r="CV1694" s="269">
        <v>310</v>
      </c>
      <c r="CW1694" s="269">
        <v>259</v>
      </c>
      <c r="CX1694" s="269">
        <v>199</v>
      </c>
      <c r="CY1694" s="26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9">
        <v>1058</v>
      </c>
      <c r="N1695" s="269">
        <v>1165</v>
      </c>
      <c r="O1695" s="269">
        <v>1112</v>
      </c>
      <c r="P1695" s="269">
        <v>1172</v>
      </c>
      <c r="Q1695" s="269">
        <v>1276</v>
      </c>
      <c r="R1695" s="269">
        <v>1280</v>
      </c>
      <c r="S1695" s="269">
        <v>1294</v>
      </c>
      <c r="T1695" s="269">
        <v>1422</v>
      </c>
      <c r="U1695" s="269">
        <v>1400</v>
      </c>
      <c r="V1695" s="269">
        <v>1380</v>
      </c>
      <c r="W1695" s="269">
        <v>1437</v>
      </c>
      <c r="X1695" s="269">
        <v>1491</v>
      </c>
      <c r="Y1695" s="269">
        <v>1515</v>
      </c>
      <c r="Z1695" s="269">
        <v>1424</v>
      </c>
      <c r="AA1695" s="269">
        <v>1475</v>
      </c>
      <c r="AB1695" s="269">
        <v>1559</v>
      </c>
      <c r="AC1695" s="269">
        <v>1400</v>
      </c>
      <c r="AD1695" s="269">
        <v>1416</v>
      </c>
      <c r="AE1695" s="269">
        <v>1531</v>
      </c>
      <c r="AF1695" s="269">
        <v>1930</v>
      </c>
      <c r="AG1695" s="269">
        <v>2567</v>
      </c>
      <c r="AH1695" s="269">
        <v>2891</v>
      </c>
      <c r="AI1695" s="269">
        <v>2711</v>
      </c>
      <c r="AJ1695" s="269">
        <v>2259</v>
      </c>
      <c r="AK1695" s="269">
        <v>1905</v>
      </c>
      <c r="AL1695" s="269">
        <v>1512</v>
      </c>
      <c r="AM1695" s="269">
        <v>1601</v>
      </c>
      <c r="AN1695" s="269">
        <v>1579</v>
      </c>
      <c r="AO1695" s="269">
        <v>1461</v>
      </c>
      <c r="AP1695" s="269">
        <v>1487</v>
      </c>
      <c r="AQ1695" s="269">
        <v>1489</v>
      </c>
      <c r="AR1695" s="269">
        <v>1578</v>
      </c>
      <c r="AS1695" s="269">
        <v>1618</v>
      </c>
      <c r="AT1695" s="269">
        <v>1710</v>
      </c>
      <c r="AU1695" s="269">
        <v>1510</v>
      </c>
      <c r="AV1695" s="269">
        <v>1561</v>
      </c>
      <c r="AW1695" s="269">
        <v>1551</v>
      </c>
      <c r="AX1695" s="269">
        <v>1529</v>
      </c>
      <c r="AY1695" s="269">
        <v>1639</v>
      </c>
      <c r="AZ1695" s="269">
        <v>1427</v>
      </c>
      <c r="BA1695" s="269">
        <v>1494</v>
      </c>
      <c r="BB1695" s="269">
        <v>1424</v>
      </c>
      <c r="BC1695" s="269">
        <v>1458</v>
      </c>
      <c r="BD1695" s="269">
        <v>1607</v>
      </c>
      <c r="BE1695" s="269">
        <v>1342</v>
      </c>
      <c r="BF1695" s="269">
        <v>1281</v>
      </c>
      <c r="BG1695" s="269">
        <v>1291</v>
      </c>
      <c r="BH1695" s="269">
        <v>1360</v>
      </c>
      <c r="BI1695" s="269">
        <v>1382</v>
      </c>
      <c r="BJ1695" s="269">
        <v>1354</v>
      </c>
      <c r="BK1695" s="269">
        <v>1335</v>
      </c>
      <c r="BL1695" s="269">
        <v>1459</v>
      </c>
      <c r="BM1695" s="269">
        <v>1490</v>
      </c>
      <c r="BN1695" s="269">
        <v>1528</v>
      </c>
      <c r="BO1695" s="269">
        <v>1692</v>
      </c>
      <c r="BP1695" s="269">
        <v>1545</v>
      </c>
      <c r="BQ1695" s="269">
        <v>1520</v>
      </c>
      <c r="BR1695" s="269">
        <v>1533</v>
      </c>
      <c r="BS1695" s="269">
        <v>1670</v>
      </c>
      <c r="BT1695" s="269">
        <v>1629</v>
      </c>
      <c r="BU1695" s="269">
        <v>1477</v>
      </c>
      <c r="BV1695" s="269">
        <v>1504</v>
      </c>
      <c r="BW1695" s="269">
        <v>1450</v>
      </c>
      <c r="BX1695" s="269">
        <v>1418</v>
      </c>
      <c r="BY1695" s="269">
        <v>1382</v>
      </c>
      <c r="BZ1695" s="269">
        <v>1341</v>
      </c>
      <c r="CA1695" s="269">
        <v>1262</v>
      </c>
      <c r="CB1695" s="269">
        <v>1231</v>
      </c>
      <c r="CC1695" s="269">
        <v>1184</v>
      </c>
      <c r="CD1695" s="269">
        <v>1167</v>
      </c>
      <c r="CE1695" s="269">
        <v>1199</v>
      </c>
      <c r="CF1695" s="269">
        <v>1144</v>
      </c>
      <c r="CG1695" s="269">
        <v>1062</v>
      </c>
      <c r="CH1695" s="269">
        <v>1162</v>
      </c>
      <c r="CI1695" s="269">
        <v>1152</v>
      </c>
      <c r="CJ1695" s="269">
        <v>1198</v>
      </c>
      <c r="CK1695" s="269">
        <v>1296</v>
      </c>
      <c r="CL1695" s="269">
        <v>839</v>
      </c>
      <c r="CM1695" s="269">
        <v>878</v>
      </c>
      <c r="CN1695" s="269">
        <v>862</v>
      </c>
      <c r="CO1695" s="269">
        <v>807</v>
      </c>
      <c r="CP1695" s="269">
        <v>699</v>
      </c>
      <c r="CQ1695" s="269">
        <v>561</v>
      </c>
      <c r="CR1695" s="269">
        <v>554</v>
      </c>
      <c r="CS1695" s="269">
        <v>483</v>
      </c>
      <c r="CT1695" s="269">
        <v>465</v>
      </c>
      <c r="CU1695" s="269">
        <v>399</v>
      </c>
      <c r="CV1695" s="269">
        <v>354</v>
      </c>
      <c r="CW1695" s="269">
        <v>304</v>
      </c>
      <c r="CX1695" s="269">
        <v>227</v>
      </c>
      <c r="CY1695" s="26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9">
        <v>488</v>
      </c>
      <c r="N1696" s="269">
        <v>536</v>
      </c>
      <c r="O1696" s="269">
        <v>477</v>
      </c>
      <c r="P1696" s="269">
        <v>559</v>
      </c>
      <c r="Q1696" s="269">
        <v>552</v>
      </c>
      <c r="R1696" s="269">
        <v>510</v>
      </c>
      <c r="S1696" s="269">
        <v>560</v>
      </c>
      <c r="T1696" s="269">
        <v>595</v>
      </c>
      <c r="U1696" s="269">
        <v>520</v>
      </c>
      <c r="V1696" s="269">
        <v>560</v>
      </c>
      <c r="W1696" s="269">
        <v>568</v>
      </c>
      <c r="X1696" s="269">
        <v>600</v>
      </c>
      <c r="Y1696" s="269">
        <v>617</v>
      </c>
      <c r="Z1696" s="269">
        <v>583</v>
      </c>
      <c r="AA1696" s="269">
        <v>632</v>
      </c>
      <c r="AB1696" s="269">
        <v>587</v>
      </c>
      <c r="AC1696" s="269">
        <v>566</v>
      </c>
      <c r="AD1696" s="269">
        <v>602</v>
      </c>
      <c r="AE1696" s="269">
        <v>574</v>
      </c>
      <c r="AF1696" s="269">
        <v>433</v>
      </c>
      <c r="AG1696" s="269">
        <v>417</v>
      </c>
      <c r="AH1696" s="269">
        <v>415</v>
      </c>
      <c r="AI1696" s="269">
        <v>426</v>
      </c>
      <c r="AJ1696" s="269">
        <v>473</v>
      </c>
      <c r="AK1696" s="269">
        <v>478</v>
      </c>
      <c r="AL1696" s="269">
        <v>522</v>
      </c>
      <c r="AM1696" s="269">
        <v>600</v>
      </c>
      <c r="AN1696" s="269">
        <v>548</v>
      </c>
      <c r="AO1696" s="269">
        <v>607</v>
      </c>
      <c r="AP1696" s="269">
        <v>562</v>
      </c>
      <c r="AQ1696" s="269">
        <v>542</v>
      </c>
      <c r="AR1696" s="269">
        <v>610</v>
      </c>
      <c r="AS1696" s="269">
        <v>637</v>
      </c>
      <c r="AT1696" s="269">
        <v>624</v>
      </c>
      <c r="AU1696" s="269">
        <v>628</v>
      </c>
      <c r="AV1696" s="269">
        <v>575</v>
      </c>
      <c r="AW1696" s="269">
        <v>605</v>
      </c>
      <c r="AX1696" s="269">
        <v>611</v>
      </c>
      <c r="AY1696" s="269">
        <v>580</v>
      </c>
      <c r="AZ1696" s="269">
        <v>541</v>
      </c>
      <c r="BA1696" s="269">
        <v>549</v>
      </c>
      <c r="BB1696" s="269">
        <v>563</v>
      </c>
      <c r="BC1696" s="269">
        <v>482</v>
      </c>
      <c r="BD1696" s="269">
        <v>532</v>
      </c>
      <c r="BE1696" s="269">
        <v>542</v>
      </c>
      <c r="BF1696" s="269">
        <v>440</v>
      </c>
      <c r="BG1696" s="269">
        <v>519</v>
      </c>
      <c r="BH1696" s="269">
        <v>436</v>
      </c>
      <c r="BI1696" s="269">
        <v>496</v>
      </c>
      <c r="BJ1696" s="269">
        <v>490</v>
      </c>
      <c r="BK1696" s="269">
        <v>555</v>
      </c>
      <c r="BL1696" s="269">
        <v>579</v>
      </c>
      <c r="BM1696" s="269">
        <v>638</v>
      </c>
      <c r="BN1696" s="269">
        <v>629</v>
      </c>
      <c r="BO1696" s="269">
        <v>591</v>
      </c>
      <c r="BP1696" s="269">
        <v>589</v>
      </c>
      <c r="BQ1696" s="269">
        <v>629</v>
      </c>
      <c r="BR1696" s="269">
        <v>632</v>
      </c>
      <c r="BS1696" s="269">
        <v>712</v>
      </c>
      <c r="BT1696" s="269">
        <v>639</v>
      </c>
      <c r="BU1696" s="269">
        <v>673</v>
      </c>
      <c r="BV1696" s="269">
        <v>662</v>
      </c>
      <c r="BW1696" s="269">
        <v>647</v>
      </c>
      <c r="BX1696" s="269">
        <v>569</v>
      </c>
      <c r="BY1696" s="269">
        <v>570</v>
      </c>
      <c r="BZ1696" s="269">
        <v>582</v>
      </c>
      <c r="CA1696" s="269">
        <v>509</v>
      </c>
      <c r="CB1696" s="269">
        <v>481</v>
      </c>
      <c r="CC1696" s="269">
        <v>468</v>
      </c>
      <c r="CD1696" s="269">
        <v>525</v>
      </c>
      <c r="CE1696" s="269">
        <v>460</v>
      </c>
      <c r="CF1696" s="269">
        <v>473</v>
      </c>
      <c r="CG1696" s="269">
        <v>453</v>
      </c>
      <c r="CH1696" s="269">
        <v>449</v>
      </c>
      <c r="CI1696" s="269">
        <v>461</v>
      </c>
      <c r="CJ1696" s="269">
        <v>450</v>
      </c>
      <c r="CK1696" s="269">
        <v>525</v>
      </c>
      <c r="CL1696" s="269">
        <v>373</v>
      </c>
      <c r="CM1696" s="269">
        <v>376</v>
      </c>
      <c r="CN1696" s="269">
        <v>334</v>
      </c>
      <c r="CO1696" s="269">
        <v>283</v>
      </c>
      <c r="CP1696" s="269">
        <v>254</v>
      </c>
      <c r="CQ1696" s="269">
        <v>226</v>
      </c>
      <c r="CR1696" s="269">
        <v>201</v>
      </c>
      <c r="CS1696" s="269">
        <v>207</v>
      </c>
      <c r="CT1696" s="269">
        <v>181</v>
      </c>
      <c r="CU1696" s="269">
        <v>135</v>
      </c>
      <c r="CV1696" s="269">
        <v>127</v>
      </c>
      <c r="CW1696" s="269">
        <v>100</v>
      </c>
      <c r="CX1696" s="269">
        <v>101</v>
      </c>
      <c r="CY1696" s="26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9">
        <v>594</v>
      </c>
      <c r="N1697" s="269">
        <v>672</v>
      </c>
      <c r="O1697" s="269">
        <v>677</v>
      </c>
      <c r="P1697" s="269">
        <v>712</v>
      </c>
      <c r="Q1697" s="269">
        <v>754</v>
      </c>
      <c r="R1697" s="269">
        <v>738</v>
      </c>
      <c r="S1697" s="269">
        <v>825</v>
      </c>
      <c r="T1697" s="269">
        <v>782</v>
      </c>
      <c r="U1697" s="269">
        <v>774</v>
      </c>
      <c r="V1697" s="269">
        <v>814</v>
      </c>
      <c r="W1697" s="269">
        <v>875</v>
      </c>
      <c r="X1697" s="269">
        <v>899</v>
      </c>
      <c r="Y1697" s="269">
        <v>880</v>
      </c>
      <c r="Z1697" s="269">
        <v>900</v>
      </c>
      <c r="AA1697" s="269">
        <v>906</v>
      </c>
      <c r="AB1697" s="269">
        <v>863</v>
      </c>
      <c r="AC1697" s="269">
        <v>859</v>
      </c>
      <c r="AD1697" s="269">
        <v>772</v>
      </c>
      <c r="AE1697" s="269">
        <v>733</v>
      </c>
      <c r="AF1697" s="269">
        <v>597</v>
      </c>
      <c r="AG1697" s="269">
        <v>564</v>
      </c>
      <c r="AH1697" s="269">
        <v>512</v>
      </c>
      <c r="AI1697" s="269">
        <v>663</v>
      </c>
      <c r="AJ1697" s="269">
        <v>713</v>
      </c>
      <c r="AK1697" s="269">
        <v>713</v>
      </c>
      <c r="AL1697" s="269">
        <v>669</v>
      </c>
      <c r="AM1697" s="269">
        <v>723</v>
      </c>
      <c r="AN1697" s="269">
        <v>699</v>
      </c>
      <c r="AO1697" s="269">
        <v>711</v>
      </c>
      <c r="AP1697" s="269">
        <v>745</v>
      </c>
      <c r="AQ1697" s="269">
        <v>703</v>
      </c>
      <c r="AR1697" s="269">
        <v>734</v>
      </c>
      <c r="AS1697" s="269">
        <v>736</v>
      </c>
      <c r="AT1697" s="269">
        <v>729</v>
      </c>
      <c r="AU1697" s="269">
        <v>809</v>
      </c>
      <c r="AV1697" s="269">
        <v>846</v>
      </c>
      <c r="AW1697" s="269">
        <v>831</v>
      </c>
      <c r="AX1697" s="269">
        <v>887</v>
      </c>
      <c r="AY1697" s="269">
        <v>751</v>
      </c>
      <c r="AZ1697" s="269">
        <v>763</v>
      </c>
      <c r="BA1697" s="269">
        <v>823</v>
      </c>
      <c r="BB1697" s="269">
        <v>841</v>
      </c>
      <c r="BC1697" s="269">
        <v>930</v>
      </c>
      <c r="BD1697" s="269">
        <v>904</v>
      </c>
      <c r="BE1697" s="269">
        <v>833</v>
      </c>
      <c r="BF1697" s="269">
        <v>696</v>
      </c>
      <c r="BG1697" s="269">
        <v>730</v>
      </c>
      <c r="BH1697" s="269">
        <v>733</v>
      </c>
      <c r="BI1697" s="269">
        <v>808</v>
      </c>
      <c r="BJ1697" s="269">
        <v>779</v>
      </c>
      <c r="BK1697" s="269">
        <v>823</v>
      </c>
      <c r="BL1697" s="269">
        <v>856</v>
      </c>
      <c r="BM1697" s="269">
        <v>879</v>
      </c>
      <c r="BN1697" s="269">
        <v>870</v>
      </c>
      <c r="BO1697" s="269">
        <v>912</v>
      </c>
      <c r="BP1697" s="269">
        <v>884</v>
      </c>
      <c r="BQ1697" s="269">
        <v>932</v>
      </c>
      <c r="BR1697" s="269">
        <v>862</v>
      </c>
      <c r="BS1697" s="269">
        <v>889</v>
      </c>
      <c r="BT1697" s="269">
        <v>947</v>
      </c>
      <c r="BU1697" s="269">
        <v>906</v>
      </c>
      <c r="BV1697" s="269">
        <v>916</v>
      </c>
      <c r="BW1697" s="269">
        <v>915</v>
      </c>
      <c r="BX1697" s="269">
        <v>827</v>
      </c>
      <c r="BY1697" s="269">
        <v>849</v>
      </c>
      <c r="BZ1697" s="269">
        <v>747</v>
      </c>
      <c r="CA1697" s="269">
        <v>787</v>
      </c>
      <c r="CB1697" s="269">
        <v>746</v>
      </c>
      <c r="CC1697" s="269">
        <v>747</v>
      </c>
      <c r="CD1697" s="269">
        <v>737</v>
      </c>
      <c r="CE1697" s="269">
        <v>745</v>
      </c>
      <c r="CF1697" s="269">
        <v>680</v>
      </c>
      <c r="CG1697" s="269">
        <v>701</v>
      </c>
      <c r="CH1697" s="269">
        <v>697</v>
      </c>
      <c r="CI1697" s="269">
        <v>697</v>
      </c>
      <c r="CJ1697" s="269">
        <v>718</v>
      </c>
      <c r="CK1697" s="269">
        <v>744</v>
      </c>
      <c r="CL1697" s="269">
        <v>543</v>
      </c>
      <c r="CM1697" s="269">
        <v>528</v>
      </c>
      <c r="CN1697" s="269">
        <v>542</v>
      </c>
      <c r="CO1697" s="269">
        <v>437</v>
      </c>
      <c r="CP1697" s="269">
        <v>390</v>
      </c>
      <c r="CQ1697" s="269">
        <v>363</v>
      </c>
      <c r="CR1697" s="269">
        <v>328</v>
      </c>
      <c r="CS1697" s="269">
        <v>306</v>
      </c>
      <c r="CT1697" s="269">
        <v>271</v>
      </c>
      <c r="CU1697" s="269">
        <v>211</v>
      </c>
      <c r="CV1697" s="269">
        <v>208</v>
      </c>
      <c r="CW1697" s="269">
        <v>147</v>
      </c>
      <c r="CX1697" s="269">
        <v>131</v>
      </c>
      <c r="CY1697" s="26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9">
        <v>645</v>
      </c>
      <c r="N1698" s="269">
        <v>694</v>
      </c>
      <c r="O1698" s="269">
        <v>669</v>
      </c>
      <c r="P1698" s="269">
        <v>760</v>
      </c>
      <c r="Q1698" s="269">
        <v>740</v>
      </c>
      <c r="R1698" s="269">
        <v>727</v>
      </c>
      <c r="S1698" s="269">
        <v>786</v>
      </c>
      <c r="T1698" s="269">
        <v>791</v>
      </c>
      <c r="U1698" s="269">
        <v>773</v>
      </c>
      <c r="V1698" s="269">
        <v>817</v>
      </c>
      <c r="W1698" s="269">
        <v>873</v>
      </c>
      <c r="X1698" s="269">
        <v>853</v>
      </c>
      <c r="Y1698" s="269">
        <v>858</v>
      </c>
      <c r="Z1698" s="269">
        <v>867</v>
      </c>
      <c r="AA1698" s="269">
        <v>882</v>
      </c>
      <c r="AB1698" s="269">
        <v>828</v>
      </c>
      <c r="AC1698" s="269">
        <v>852</v>
      </c>
      <c r="AD1698" s="269">
        <v>834</v>
      </c>
      <c r="AE1698" s="269">
        <v>822</v>
      </c>
      <c r="AF1698" s="269">
        <v>691</v>
      </c>
      <c r="AG1698" s="269">
        <v>622</v>
      </c>
      <c r="AH1698" s="269">
        <v>632</v>
      </c>
      <c r="AI1698" s="269">
        <v>665</v>
      </c>
      <c r="AJ1698" s="269">
        <v>726</v>
      </c>
      <c r="AK1698" s="269">
        <v>779</v>
      </c>
      <c r="AL1698" s="269">
        <v>786</v>
      </c>
      <c r="AM1698" s="269">
        <v>814</v>
      </c>
      <c r="AN1698" s="269">
        <v>776</v>
      </c>
      <c r="AO1698" s="269">
        <v>844</v>
      </c>
      <c r="AP1698" s="269">
        <v>828</v>
      </c>
      <c r="AQ1698" s="269">
        <v>844</v>
      </c>
      <c r="AR1698" s="269">
        <v>781</v>
      </c>
      <c r="AS1698" s="269">
        <v>903</v>
      </c>
      <c r="AT1698" s="269">
        <v>892</v>
      </c>
      <c r="AU1698" s="269">
        <v>864</v>
      </c>
      <c r="AV1698" s="269">
        <v>903</v>
      </c>
      <c r="AW1698" s="269">
        <v>886</v>
      </c>
      <c r="AX1698" s="269">
        <v>939</v>
      </c>
      <c r="AY1698" s="269">
        <v>912</v>
      </c>
      <c r="AZ1698" s="269">
        <v>855</v>
      </c>
      <c r="BA1698" s="269">
        <v>853</v>
      </c>
      <c r="BB1698" s="269">
        <v>823</v>
      </c>
      <c r="BC1698" s="269">
        <v>886</v>
      </c>
      <c r="BD1698" s="269">
        <v>921</v>
      </c>
      <c r="BE1698" s="269">
        <v>882</v>
      </c>
      <c r="BF1698" s="269">
        <v>726</v>
      </c>
      <c r="BG1698" s="269">
        <v>757</v>
      </c>
      <c r="BH1698" s="269">
        <v>801</v>
      </c>
      <c r="BI1698" s="269">
        <v>794</v>
      </c>
      <c r="BJ1698" s="269">
        <v>783</v>
      </c>
      <c r="BK1698" s="269">
        <v>908</v>
      </c>
      <c r="BL1698" s="269">
        <v>954</v>
      </c>
      <c r="BM1698" s="269">
        <v>1009</v>
      </c>
      <c r="BN1698" s="269">
        <v>1001</v>
      </c>
      <c r="BO1698" s="269">
        <v>1001</v>
      </c>
      <c r="BP1698" s="269">
        <v>969</v>
      </c>
      <c r="BQ1698" s="269">
        <v>962</v>
      </c>
      <c r="BR1698" s="269">
        <v>993</v>
      </c>
      <c r="BS1698" s="269">
        <v>983</v>
      </c>
      <c r="BT1698" s="269">
        <v>975</v>
      </c>
      <c r="BU1698" s="269">
        <v>962</v>
      </c>
      <c r="BV1698" s="269">
        <v>895</v>
      </c>
      <c r="BW1698" s="269">
        <v>892</v>
      </c>
      <c r="BX1698" s="269">
        <v>838</v>
      </c>
      <c r="BY1698" s="269">
        <v>735</v>
      </c>
      <c r="BZ1698" s="269">
        <v>787</v>
      </c>
      <c r="CA1698" s="269">
        <v>784</v>
      </c>
      <c r="CB1698" s="269">
        <v>763</v>
      </c>
      <c r="CC1698" s="269">
        <v>694</v>
      </c>
      <c r="CD1698" s="269">
        <v>683</v>
      </c>
      <c r="CE1698" s="269">
        <v>703</v>
      </c>
      <c r="CF1698" s="269">
        <v>668</v>
      </c>
      <c r="CG1698" s="269">
        <v>663</v>
      </c>
      <c r="CH1698" s="269">
        <v>662</v>
      </c>
      <c r="CI1698" s="269">
        <v>675</v>
      </c>
      <c r="CJ1698" s="269">
        <v>680</v>
      </c>
      <c r="CK1698" s="269">
        <v>725</v>
      </c>
      <c r="CL1698" s="269">
        <v>549</v>
      </c>
      <c r="CM1698" s="269">
        <v>478</v>
      </c>
      <c r="CN1698" s="269">
        <v>487</v>
      </c>
      <c r="CO1698" s="269">
        <v>472</v>
      </c>
      <c r="CP1698" s="269">
        <v>402</v>
      </c>
      <c r="CQ1698" s="269">
        <v>321</v>
      </c>
      <c r="CR1698" s="269">
        <v>281</v>
      </c>
      <c r="CS1698" s="269">
        <v>251</v>
      </c>
      <c r="CT1698" s="269">
        <v>253</v>
      </c>
      <c r="CU1698" s="269">
        <v>212</v>
      </c>
      <c r="CV1698" s="269">
        <v>195</v>
      </c>
      <c r="CW1698" s="269">
        <v>135</v>
      </c>
      <c r="CX1698" s="269">
        <v>112</v>
      </c>
      <c r="CY1698" s="26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454" t="s">
        <v>1743</v>
      </c>
      <c r="B1714" s="455"/>
      <c r="C1714" s="456"/>
      <c r="D1714" s="453"/>
      <c r="E1714" s="453"/>
      <c r="F1714" s="453"/>
      <c r="G1714" s="453"/>
      <c r="H1714" s="453"/>
      <c r="I1714" s="453"/>
      <c r="J1714" s="453"/>
      <c r="K1714" s="453"/>
      <c r="L1714" s="453"/>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289" t="s">
        <v>1744</v>
      </c>
      <c r="E1716" s="290" t="s">
        <v>1745</v>
      </c>
      <c r="F1716" s="289"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291" t="s">
        <v>1747</v>
      </c>
      <c r="E1717" s="291" t="s">
        <v>1747</v>
      </c>
      <c r="F1717" s="291"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291">
        <v>2023</v>
      </c>
      <c r="E1718" s="292">
        <v>2024</v>
      </c>
      <c r="F1718" s="29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1748</v>
      </c>
      <c r="D1719" s="293">
        <v>57690323</v>
      </c>
      <c r="E1719" s="294"/>
      <c r="F1719" s="29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296" t="s">
        <v>1749</v>
      </c>
      <c r="D1720" s="297"/>
      <c r="E1720" s="298"/>
      <c r="F1720" s="29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296" t="s">
        <v>1750</v>
      </c>
      <c r="D1721" s="297"/>
      <c r="E1721" s="299"/>
      <c r="F1721" s="436">
        <f>(F1720-D1719)/D1719</f>
        <v>2.5222393017282987E-2</v>
      </c>
      <c r="G1721" s="438">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296" t="s">
        <v>1751</v>
      </c>
      <c r="D1722" s="297"/>
      <c r="E1722" s="300"/>
      <c r="F1722" s="29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296" t="s">
        <v>1752</v>
      </c>
      <c r="D1723" s="297"/>
      <c r="E1723" s="300"/>
      <c r="F1723" s="29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454" t="s">
        <v>1753</v>
      </c>
      <c r="B1726" s="455"/>
      <c r="C1726" s="456"/>
      <c r="D1726" s="453"/>
      <c r="E1726" s="453"/>
      <c r="F1726" s="453"/>
      <c r="G1726" s="453"/>
      <c r="H1726" s="453"/>
      <c r="I1726" s="453"/>
      <c r="J1726" s="453"/>
      <c r="K1726" s="453"/>
      <c r="L1726" s="453"/>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301"/>
      <c r="K1727" s="302" t="s">
        <v>1754</v>
      </c>
      <c r="L1727" s="30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285"/>
      <c r="B1728" s="286"/>
      <c r="C1728" s="20" t="s">
        <v>1755</v>
      </c>
      <c r="D1728" s="126" t="s">
        <v>1756</v>
      </c>
      <c r="E1728" s="126" t="s">
        <v>1757</v>
      </c>
      <c r="F1728" s="126" t="s">
        <v>1758</v>
      </c>
      <c r="G1728" s="126" t="s">
        <v>1759</v>
      </c>
      <c r="H1728" s="126" t="s">
        <v>1760</v>
      </c>
      <c r="I1728" s="126" t="s">
        <v>1761</v>
      </c>
      <c r="J1728" s="440" t="s">
        <v>1762</v>
      </c>
      <c r="K1728" s="441" t="s">
        <v>1763</v>
      </c>
      <c r="L1728" s="210"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287"/>
      <c r="C1729" s="20" t="s">
        <v>1765</v>
      </c>
      <c r="D1729" s="929" t="s">
        <v>1766</v>
      </c>
      <c r="E1729" s="930"/>
      <c r="F1729" s="930"/>
      <c r="G1729" s="930"/>
      <c r="H1729" s="930"/>
      <c r="I1729" s="931"/>
      <c r="J1729" s="442"/>
      <c r="K1729" s="44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287"/>
      <c r="B1730" s="10">
        <v>0</v>
      </c>
      <c r="C1730" s="125" t="s">
        <v>1767</v>
      </c>
      <c r="D1730" s="129"/>
      <c r="E1730" s="129"/>
      <c r="F1730" s="129"/>
      <c r="G1730" s="129"/>
      <c r="H1730" s="129"/>
      <c r="I1730" s="129"/>
      <c r="J1730" s="442"/>
      <c r="K1730" s="442"/>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287"/>
      <c r="B1731" s="10">
        <v>1</v>
      </c>
      <c r="C1731" s="500" t="s">
        <v>1768</v>
      </c>
      <c r="D1731" s="253"/>
      <c r="E1731" s="253">
        <v>1.0083396326386167</v>
      </c>
      <c r="F1731" s="253">
        <v>1.0068144721288348</v>
      </c>
      <c r="G1731" s="253">
        <v>1.0052783852289084</v>
      </c>
      <c r="H1731" s="253">
        <v>1.005159569821475</v>
      </c>
      <c r="I1731" s="253">
        <v>1.005034244714381</v>
      </c>
      <c r="J1731" s="443">
        <f>(I1731-100%)/5</f>
        <v>1.0068489428761928E-3</v>
      </c>
      <c r="K1731" s="444">
        <f t="shared" ref="K1731:K1741" si="345">(I1731/100%)^(1/5)-1</f>
        <v>1.0048275559169095E-3</v>
      </c>
      <c r="L1731" s="288">
        <v>1.0048275559169095E-3</v>
      </c>
      <c r="M1731" s="12"/>
      <c r="N1731" s="254"/>
      <c r="O1731" s="25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287" t="s">
        <v>1769</v>
      </c>
      <c r="B1732" s="10">
        <v>2</v>
      </c>
      <c r="C1732" s="167" t="s">
        <v>1770</v>
      </c>
      <c r="D1732" s="129"/>
      <c r="E1732" s="129">
        <v>0.99220867160133164</v>
      </c>
      <c r="F1732" s="129">
        <v>0.99099332816200558</v>
      </c>
      <c r="G1732" s="129">
        <v>0.99149832442765373</v>
      </c>
      <c r="H1732" s="129">
        <v>0.99306376744162606</v>
      </c>
      <c r="I1732" s="129">
        <v>0.99322960389630777</v>
      </c>
      <c r="J1732" s="443">
        <f t="shared" ref="J1732:J1741" si="346">(I1732-100%)/5</f>
        <v>-1.3540792207384466E-3</v>
      </c>
      <c r="K1732" s="444">
        <f t="shared" si="345"/>
        <v>-1.357761249247913E-3</v>
      </c>
      <c r="L1732" s="258">
        <v>-1.357761249247913E-3</v>
      </c>
      <c r="M1732" s="12"/>
      <c r="N1732" s="254"/>
      <c r="O1732" s="25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287" t="s">
        <v>1769</v>
      </c>
      <c r="B1733" s="10">
        <v>3</v>
      </c>
      <c r="C1733" s="167" t="s">
        <v>1771</v>
      </c>
      <c r="D1733" s="129"/>
      <c r="E1733" s="129">
        <v>1.0143809141680851</v>
      </c>
      <c r="F1733" s="129">
        <v>1.0083971212477236</v>
      </c>
      <c r="G1733" s="129">
        <v>1.003626338830879</v>
      </c>
      <c r="H1733" s="129">
        <v>1.0019091820289452</v>
      </c>
      <c r="I1733" s="129">
        <v>1.0029969851890055</v>
      </c>
      <c r="J1733" s="443">
        <f t="shared" si="346"/>
        <v>5.993970378010971E-4</v>
      </c>
      <c r="K1733" s="444">
        <f t="shared" si="345"/>
        <v>5.9867977357552782E-4</v>
      </c>
      <c r="L1733" s="258">
        <v>5.9867977357552782E-4</v>
      </c>
      <c r="M1733" s="12"/>
      <c r="N1733" s="254"/>
      <c r="O1733" s="25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287" t="s">
        <v>1769</v>
      </c>
      <c r="B1734" s="10">
        <v>4</v>
      </c>
      <c r="C1734" s="167" t="s">
        <v>1772</v>
      </c>
      <c r="D1734" s="129"/>
      <c r="E1734" s="129">
        <v>1.0119831388235714</v>
      </c>
      <c r="F1734" s="129">
        <v>1.0123152749187849</v>
      </c>
      <c r="G1734" s="129">
        <v>1.0092966846901532</v>
      </c>
      <c r="H1734" s="129">
        <v>1.0093024499843755</v>
      </c>
      <c r="I1734" s="129">
        <v>1.0058607612889943</v>
      </c>
      <c r="J1734" s="443">
        <f t="shared" si="346"/>
        <v>1.1721522577988531E-3</v>
      </c>
      <c r="K1734" s="444">
        <f t="shared" si="345"/>
        <v>1.1694139993094765E-3</v>
      </c>
      <c r="L1734" s="258">
        <v>1.1694139993094765E-3</v>
      </c>
      <c r="M1734" s="12"/>
      <c r="N1734" s="254"/>
      <c r="O1734" s="25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287" t="s">
        <v>1769</v>
      </c>
      <c r="B1735" s="10">
        <v>5</v>
      </c>
      <c r="C1735" s="167" t="s">
        <v>1773</v>
      </c>
      <c r="D1735" s="129"/>
      <c r="E1735" s="129">
        <v>0.99868810197260138</v>
      </c>
      <c r="F1735" s="129">
        <v>0.99777419677997459</v>
      </c>
      <c r="G1735" s="129">
        <v>0.99863727568848948</v>
      </c>
      <c r="H1735" s="129">
        <v>0.99899133935284168</v>
      </c>
      <c r="I1735" s="129">
        <v>1.0032834988438057</v>
      </c>
      <c r="J1735" s="443">
        <f t="shared" si="346"/>
        <v>6.5669976876114866E-4</v>
      </c>
      <c r="K1735" s="444">
        <f t="shared" si="345"/>
        <v>6.5583895492138389E-4</v>
      </c>
      <c r="L1735" s="258">
        <v>6.5583895492138389E-4</v>
      </c>
      <c r="M1735" s="12"/>
      <c r="N1735" s="254"/>
      <c r="O1735" s="25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287" t="s">
        <v>1769</v>
      </c>
      <c r="B1736" s="10">
        <v>6</v>
      </c>
      <c r="C1736" s="167" t="s">
        <v>1774</v>
      </c>
      <c r="D1736" s="129"/>
      <c r="E1736" s="129">
        <v>1.0185737392830623</v>
      </c>
      <c r="F1736" s="129">
        <v>1.018863566736369</v>
      </c>
      <c r="G1736" s="129">
        <v>1.0165082772965106</v>
      </c>
      <c r="H1736" s="129">
        <v>1.0156627003170711</v>
      </c>
      <c r="I1736" s="129">
        <v>1.0139248252188859</v>
      </c>
      <c r="J1736" s="443">
        <f t="shared" si="346"/>
        <v>2.784965043777188E-3</v>
      </c>
      <c r="K1736" s="444">
        <f t="shared" si="345"/>
        <v>2.7695813347723419E-3</v>
      </c>
      <c r="L1736" s="258">
        <v>2.7695813347723419E-3</v>
      </c>
      <c r="M1736" s="12"/>
      <c r="N1736" s="254"/>
      <c r="O1736" s="255"/>
      <c r="P1736" s="12"/>
      <c r="Q1736" s="25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287" t="s">
        <v>1769</v>
      </c>
      <c r="B1737" s="10">
        <v>7</v>
      </c>
      <c r="C1737" s="167" t="s">
        <v>1775</v>
      </c>
      <c r="D1737" s="129"/>
      <c r="E1737" s="129">
        <v>1.0186430018515642</v>
      </c>
      <c r="F1737" s="129">
        <v>1.016281083830104</v>
      </c>
      <c r="G1737" s="129">
        <v>1.0168046783204194</v>
      </c>
      <c r="H1737" s="129">
        <v>1.0163751107042418</v>
      </c>
      <c r="I1737" s="129">
        <v>1.0143846521681685</v>
      </c>
      <c r="J1737" s="443">
        <f t="shared" si="346"/>
        <v>2.8769304336337064E-3</v>
      </c>
      <c r="K1737" s="444">
        <f t="shared" si="345"/>
        <v>2.8605184225896085E-3</v>
      </c>
      <c r="L1737" s="25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287" t="s">
        <v>1769</v>
      </c>
      <c r="B1738" s="10">
        <v>8</v>
      </c>
      <c r="C1738" s="500" t="s">
        <v>1776</v>
      </c>
      <c r="D1738" s="253"/>
      <c r="E1738" s="253">
        <v>1.0115317316189907</v>
      </c>
      <c r="F1738" s="253">
        <v>1.0098854557273558</v>
      </c>
      <c r="G1738" s="253">
        <v>1.0079031437924768</v>
      </c>
      <c r="H1738" s="253">
        <v>1.0074260195736053</v>
      </c>
      <c r="I1738" s="253">
        <v>1.0072146044968846</v>
      </c>
      <c r="J1738" s="443">
        <f t="shared" si="346"/>
        <v>1.4429208993769205E-3</v>
      </c>
      <c r="K1738" s="444">
        <f t="shared" si="345"/>
        <v>1.4387747925457273E-3</v>
      </c>
      <c r="L1738" s="28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287"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3">
        <f t="shared" si="346"/>
        <v>-1.3540792207384466E-3</v>
      </c>
      <c r="K1739" s="444">
        <f t="shared" si="345"/>
        <v>-1.357761249247913E-3</v>
      </c>
      <c r="L1739" s="25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287" t="s">
        <v>1769</v>
      </c>
      <c r="B1740" s="10">
        <v>10</v>
      </c>
      <c r="C1740" s="167" t="s">
        <v>1778</v>
      </c>
      <c r="D1740" s="129"/>
      <c r="E1740" s="129">
        <v>1.0101622336917053</v>
      </c>
      <c r="F1740" s="129">
        <v>1.0086801518353343</v>
      </c>
      <c r="G1740" s="129">
        <v>1.0069295256394797</v>
      </c>
      <c r="H1740" s="129">
        <v>1.0064889037252818</v>
      </c>
      <c r="I1740" s="129">
        <v>1.0062891385473149</v>
      </c>
      <c r="J1740" s="443">
        <f t="shared" si="346"/>
        <v>1.2578277094629886E-3</v>
      </c>
      <c r="K1740" s="444">
        <f t="shared" si="345"/>
        <v>1.2546753363396057E-3</v>
      </c>
      <c r="L1740" s="25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287" t="s">
        <v>1769</v>
      </c>
      <c r="B1741" s="10">
        <v>11</v>
      </c>
      <c r="C1741" s="167" t="s">
        <v>1779</v>
      </c>
      <c r="D1741" s="129"/>
      <c r="E1741" s="129">
        <v>1.0095905530762708</v>
      </c>
      <c r="F1741" s="129">
        <v>1.0083132699804231</v>
      </c>
      <c r="G1741" s="129">
        <v>1.006695740502793</v>
      </c>
      <c r="H1741" s="129">
        <v>1.0063437323937274</v>
      </c>
      <c r="I1741" s="129">
        <v>1.0061665544670078</v>
      </c>
      <c r="J1741" s="443">
        <f t="shared" si="346"/>
        <v>1.2333108934015514E-3</v>
      </c>
      <c r="K1741" s="444">
        <f t="shared" si="345"/>
        <v>1.2302799891306115E-3</v>
      </c>
      <c r="L1741" s="25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287" t="s">
        <v>1769</v>
      </c>
      <c r="B1742" s="10">
        <v>12</v>
      </c>
      <c r="C1742" s="167"/>
      <c r="D1742" s="125"/>
      <c r="E1742" s="125"/>
      <c r="F1742" s="125"/>
      <c r="G1742" s="125"/>
      <c r="H1742" s="125"/>
      <c r="I1742" s="125"/>
      <c r="J1742" s="443"/>
      <c r="K1742" s="444"/>
      <c r="L1742" s="445"/>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287" t="s">
        <v>1769</v>
      </c>
      <c r="B1743" s="10">
        <v>13</v>
      </c>
      <c r="C1743" s="125"/>
      <c r="D1743" s="125"/>
      <c r="E1743" s="125"/>
      <c r="F1743" s="125"/>
      <c r="G1743" s="125"/>
      <c r="H1743" s="125"/>
      <c r="I1743" s="125"/>
      <c r="J1743" s="443"/>
      <c r="K1743" s="444"/>
      <c r="L1743" s="445"/>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220">
        <v>14</v>
      </c>
      <c r="C1744" s="125"/>
      <c r="D1744" s="125"/>
      <c r="E1744" s="125"/>
      <c r="F1744" s="125"/>
      <c r="G1744" s="125"/>
      <c r="H1744" s="125"/>
      <c r="I1744" s="125"/>
      <c r="J1744" s="443"/>
      <c r="K1744" s="444"/>
      <c r="L1744" s="445"/>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5"/>
      <c r="D1745" s="125"/>
      <c r="E1745" s="125"/>
      <c r="F1745" s="125"/>
      <c r="G1745" s="125"/>
      <c r="H1745" s="125"/>
      <c r="I1745" s="125"/>
      <c r="J1745" s="439" t="s">
        <v>1780</v>
      </c>
      <c r="K1745" s="442"/>
      <c r="L1745" s="209"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439" t="s">
        <v>1782</v>
      </c>
      <c r="K1746" s="442"/>
      <c r="L1746" s="209"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261" t="s">
        <v>1784</v>
      </c>
      <c r="F1747" s="452"/>
      <c r="G1747" s="452"/>
      <c r="H1747" s="452"/>
      <c r="I1747" s="452"/>
      <c r="J1747" s="439" t="s">
        <v>1785</v>
      </c>
      <c r="K1747" s="442"/>
      <c r="L1747" s="209" t="s">
        <v>1786</v>
      </c>
      <c r="M1747" s="12"/>
      <c r="N1747" s="12"/>
      <c r="O1747" s="12"/>
      <c r="P1747" s="12"/>
      <c r="Q1747" s="12"/>
      <c r="R1747" s="25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09" t="s">
        <v>1787</v>
      </c>
      <c r="M1748" s="12"/>
      <c r="N1748" s="12"/>
      <c r="O1748" s="12"/>
      <c r="P1748" s="12"/>
      <c r="Q1748" s="12"/>
      <c r="R1748" s="25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09"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0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09"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09" t="s">
        <v>1790</v>
      </c>
      <c r="M1752" s="12"/>
      <c r="N1752" s="12"/>
      <c r="O1752" s="301"/>
      <c r="P1752" s="302" t="s">
        <v>1791</v>
      </c>
      <c r="Q1752" s="30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5" hidden="1" customHeight="1" x14ac:dyDescent="0.3">
      <c r="C1753" s="10"/>
      <c r="M1753" s="12"/>
      <c r="N1753" s="12"/>
      <c r="O1753" s="451" t="s">
        <v>1762</v>
      </c>
      <c r="P1753" s="451" t="s">
        <v>1763</v>
      </c>
      <c r="Q1753" s="449"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285"/>
      <c r="B1754" s="286"/>
      <c r="C1754" s="500" t="s">
        <v>1768</v>
      </c>
      <c r="D1754" s="253"/>
      <c r="E1754" s="253">
        <f>E1731</f>
        <v>1.0083396326386167</v>
      </c>
      <c r="F1754" s="253">
        <f>F1731</f>
        <v>1.0068144721288348</v>
      </c>
      <c r="G1754" s="253">
        <f>G1731</f>
        <v>1.0052783852289084</v>
      </c>
      <c r="H1754" s="253">
        <f>H1731</f>
        <v>1.005159569821475</v>
      </c>
      <c r="I1754" s="253">
        <f>I1731</f>
        <v>1.005034244714381</v>
      </c>
      <c r="J1754" s="253">
        <v>1.0049046476669568</v>
      </c>
      <c r="K1754" s="253">
        <v>1.0047743417635073</v>
      </c>
      <c r="L1754" s="253">
        <v>1.0046496264171023</v>
      </c>
      <c r="M1754" s="253">
        <v>1.0045344880171496</v>
      </c>
      <c r="N1754" s="253">
        <v>1.0044234456443373</v>
      </c>
      <c r="O1754" s="443">
        <f>(N1754-100%)/10</f>
        <v>4.4234456443372763E-4</v>
      </c>
      <c r="P1754" s="444">
        <f>(N1754/100%)^(1/10)-1</f>
        <v>4.4146651409882054E-4</v>
      </c>
      <c r="Q1754" s="26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287" t="s">
        <v>1792</v>
      </c>
      <c r="C1755" s="125" t="s">
        <v>1770</v>
      </c>
      <c r="D1755" s="446"/>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3">
        <f t="shared" ref="O1755:O1764" si="348">(N1755-100%)/10</f>
        <v>-2.7495426767735196E-4</v>
      </c>
      <c r="P1755" s="444">
        <f t="shared" ref="P1755:P1764" si="349">(N1755/100%)^(1/10)-1</f>
        <v>-2.7529506059797981E-4</v>
      </c>
      <c r="Q1755" s="450">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287" t="s">
        <v>1792</v>
      </c>
      <c r="C1756" s="125" t="s">
        <v>1771</v>
      </c>
      <c r="D1756" s="446"/>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3">
        <f t="shared" si="348"/>
        <v>-1.8398147543005061E-4</v>
      </c>
      <c r="P1756" s="444">
        <f t="shared" si="349"/>
        <v>-1.8413397447925028E-4</v>
      </c>
      <c r="Q1756" s="450">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287" t="s">
        <v>1792</v>
      </c>
      <c r="C1757" s="125" t="s">
        <v>1772</v>
      </c>
      <c r="D1757" s="446"/>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3">
        <f t="shared" si="348"/>
        <v>2.8297433769999272E-4</v>
      </c>
      <c r="P1757" s="444">
        <f t="shared" si="349"/>
        <v>2.8261464701917483E-4</v>
      </c>
      <c r="Q1757" s="450">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287" t="s">
        <v>1792</v>
      </c>
      <c r="C1758" s="125" t="s">
        <v>1773</v>
      </c>
      <c r="D1758" s="446"/>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3">
        <f t="shared" si="348"/>
        <v>1.4722659182130116E-3</v>
      </c>
      <c r="P1758" s="444">
        <f t="shared" si="349"/>
        <v>1.4626018574257493E-3</v>
      </c>
      <c r="Q1758" s="450">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287" t="s">
        <v>1792</v>
      </c>
      <c r="C1759" s="125" t="s">
        <v>1774</v>
      </c>
      <c r="D1759" s="446"/>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3">
        <f t="shared" si="348"/>
        <v>-1.2706952153392903E-4</v>
      </c>
      <c r="P1759" s="444">
        <f t="shared" si="349"/>
        <v>-1.2714224004750641E-4</v>
      </c>
      <c r="Q1759" s="450">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287" t="s">
        <v>1792</v>
      </c>
      <c r="C1760" s="125" t="s">
        <v>1775</v>
      </c>
      <c r="D1760" s="446"/>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3">
        <f t="shared" si="348"/>
        <v>1.997144648803051E-3</v>
      </c>
      <c r="P1760" s="444">
        <f t="shared" si="349"/>
        <v>1.9794197965237181E-3</v>
      </c>
      <c r="Q1760" s="450">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287" t="s">
        <v>1792</v>
      </c>
      <c r="C1761" s="500" t="s">
        <v>1776</v>
      </c>
      <c r="D1761" s="253"/>
      <c r="E1761" s="253">
        <f t="shared" si="347"/>
        <v>1.0115317316189907</v>
      </c>
      <c r="F1761" s="253">
        <f t="shared" si="347"/>
        <v>1.0098854557273558</v>
      </c>
      <c r="G1761" s="253">
        <f t="shared" si="347"/>
        <v>1.0079031437924768</v>
      </c>
      <c r="H1761" s="253">
        <f t="shared" si="347"/>
        <v>1.0074260195736053</v>
      </c>
      <c r="I1761" s="253">
        <f t="shared" si="347"/>
        <v>1.0072146044968846</v>
      </c>
      <c r="J1761" s="253">
        <v>1.0071891367326733</v>
      </c>
      <c r="K1761" s="253">
        <v>1.0067029595434946</v>
      </c>
      <c r="L1761" s="253">
        <v>1.0062767419722747</v>
      </c>
      <c r="M1761" s="253">
        <v>1.005993095083189</v>
      </c>
      <c r="N1761" s="253">
        <v>1.0056686088348645</v>
      </c>
      <c r="O1761" s="443">
        <f t="shared" si="348"/>
        <v>5.6686088348645303E-4</v>
      </c>
      <c r="P1761" s="444">
        <f t="shared" si="349"/>
        <v>5.6542006284843183E-4</v>
      </c>
      <c r="Q1761" s="26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287" t="s">
        <v>1792</v>
      </c>
      <c r="C1762" s="125" t="s">
        <v>1777</v>
      </c>
      <c r="D1762" s="446"/>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3">
        <f t="shared" si="348"/>
        <v>-2.7495426767735196E-4</v>
      </c>
      <c r="P1762" s="444">
        <f t="shared" si="349"/>
        <v>-2.7529506059797981E-4</v>
      </c>
      <c r="Q1762" s="450">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287" t="s">
        <v>1792</v>
      </c>
      <c r="C1763" s="125" t="s">
        <v>1778</v>
      </c>
      <c r="D1763" s="446"/>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3">
        <f t="shared" si="348"/>
        <v>5.0246174221415532E-4</v>
      </c>
      <c r="P1763" s="444">
        <f t="shared" si="349"/>
        <v>5.0132923936385687E-4</v>
      </c>
      <c r="Q1763" s="450">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287" t="s">
        <v>1792</v>
      </c>
      <c r="C1764" s="125" t="s">
        <v>1779</v>
      </c>
      <c r="D1764" s="446"/>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3">
        <f t="shared" si="348"/>
        <v>4.9267004020239205E-4</v>
      </c>
      <c r="P1764" s="444">
        <f t="shared" si="349"/>
        <v>4.9158117922520894E-4</v>
      </c>
      <c r="Q1764" s="450">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287" t="s">
        <v>1792</v>
      </c>
      <c r="C1765" s="125"/>
      <c r="D1765" s="446"/>
      <c r="E1765" s="446"/>
      <c r="F1765" s="446"/>
      <c r="G1765" s="446"/>
      <c r="H1765" s="446"/>
      <c r="I1765" s="446"/>
      <c r="J1765" s="446"/>
      <c r="K1765" s="446"/>
      <c r="L1765" s="446"/>
      <c r="M1765" s="446"/>
      <c r="N1765" s="446"/>
      <c r="O1765" s="443"/>
      <c r="P1765" s="444"/>
      <c r="Q1765" s="447"/>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287" t="s">
        <v>1792</v>
      </c>
      <c r="C1766" s="125"/>
      <c r="D1766" s="446"/>
      <c r="E1766" s="446"/>
      <c r="F1766" s="446"/>
      <c r="G1766" s="446"/>
      <c r="H1766" s="446"/>
      <c r="I1766" s="446"/>
      <c r="J1766" s="446"/>
      <c r="K1766" s="446"/>
      <c r="L1766" s="446"/>
      <c r="M1766" s="446"/>
      <c r="N1766" s="446"/>
      <c r="O1766" s="443"/>
      <c r="P1766" s="444"/>
      <c r="Q1766" s="447"/>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220"/>
      <c r="C1767" s="125"/>
      <c r="D1767" s="446"/>
      <c r="E1767" s="446"/>
      <c r="F1767" s="446"/>
      <c r="G1767" s="446"/>
      <c r="H1767" s="446"/>
      <c r="I1767" s="446"/>
      <c r="J1767" s="446"/>
      <c r="K1767" s="446"/>
      <c r="L1767" s="446"/>
      <c r="M1767" s="446"/>
      <c r="N1767" s="446"/>
      <c r="O1767" s="443"/>
      <c r="P1767" s="444"/>
      <c r="Q1767" s="447"/>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439" t="s">
        <v>1780</v>
      </c>
      <c r="P1768" s="442"/>
      <c r="Q1768" s="448"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261" t="s">
        <v>1784</v>
      </c>
      <c r="F1769" s="452"/>
      <c r="G1769" s="261"/>
      <c r="H1769" s="452"/>
      <c r="I1769" s="452"/>
      <c r="M1769" s="12"/>
      <c r="N1769" s="12"/>
      <c r="O1769" s="439" t="s">
        <v>1782</v>
      </c>
      <c r="P1769" s="442"/>
      <c r="Q1769" s="448"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439" t="s">
        <v>1785</v>
      </c>
      <c r="P1770" s="442"/>
      <c r="Q1770" s="448"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454" t="s">
        <v>1753</v>
      </c>
      <c r="B1771" s="455"/>
      <c r="C1771" s="456"/>
      <c r="D1771" s="453"/>
      <c r="E1771" s="453"/>
      <c r="F1771" s="453"/>
      <c r="G1771" s="453"/>
      <c r="H1771" s="453"/>
      <c r="I1771" s="453"/>
      <c r="J1771" s="453"/>
      <c r="K1771" s="453"/>
      <c r="L1771" s="453"/>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302" t="s">
        <v>2102</v>
      </c>
      <c r="E1772" s="302" t="s">
        <v>1754</v>
      </c>
      <c r="F1772" s="302" t="s">
        <v>1791</v>
      </c>
      <c r="M1772" s="12"/>
      <c r="N1772" s="12"/>
      <c r="O1772" s="12"/>
      <c r="P1772" s="12"/>
      <c r="Q1772" s="448"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285"/>
      <c r="B1773" s="286"/>
      <c r="C1773" s="20" t="s">
        <v>1755</v>
      </c>
      <c r="D1773" s="210" t="s">
        <v>1764</v>
      </c>
      <c r="E1773" s="210" t="s">
        <v>1764</v>
      </c>
      <c r="F1773" s="210" t="s">
        <v>1764</v>
      </c>
      <c r="M1773" s="12"/>
      <c r="N1773" s="12"/>
      <c r="O1773" s="12"/>
      <c r="P1773" s="12"/>
      <c r="Q1773" s="448"/>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287"/>
      <c r="C1774" s="20" t="s">
        <v>1765</v>
      </c>
      <c r="E1774" s="14"/>
      <c r="M1774" s="12"/>
      <c r="N1774" s="12"/>
      <c r="O1774" s="12"/>
      <c r="P1774" s="12"/>
      <c r="Q1774" s="448"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287"/>
      <c r="B1775" s="10">
        <v>0</v>
      </c>
      <c r="C1775" s="125" t="s">
        <v>1767</v>
      </c>
      <c r="E1775" s="14"/>
      <c r="M1775" s="12"/>
      <c r="N1775" s="12"/>
      <c r="O1775" s="12"/>
      <c r="P1775" s="12"/>
      <c r="Q1775" s="448"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287"/>
      <c r="B1776" s="10">
        <v>1</v>
      </c>
      <c r="C1776" s="500" t="s">
        <v>1768</v>
      </c>
      <c r="D1776" s="503">
        <v>6.8100543386244716E-3</v>
      </c>
      <c r="E1776" s="503">
        <v>6.1244446078418946E-3</v>
      </c>
      <c r="F1776" s="503">
        <v>5.3906024298502331E-3</v>
      </c>
      <c r="G1776" s="209"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287" t="s">
        <v>1769</v>
      </c>
      <c r="B1777" s="10">
        <v>2</v>
      </c>
      <c r="C1777" s="167" t="s">
        <v>1770</v>
      </c>
      <c r="D1777" s="502">
        <v>-8.43335057763284E-3</v>
      </c>
      <c r="E1777" s="502">
        <v>-7.8016393354566338E-3</v>
      </c>
      <c r="F1777" s="502">
        <v>-6.3705142428090999E-3</v>
      </c>
      <c r="G1777" s="209" t="s">
        <v>2103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287" t="s">
        <v>1769</v>
      </c>
      <c r="B1778" s="10">
        <v>3</v>
      </c>
      <c r="C1778" s="167" t="s">
        <v>1771</v>
      </c>
      <c r="D1778" s="502">
        <v>8.7918669839650593E-3</v>
      </c>
      <c r="E1778" s="502">
        <v>6.2514987067481265E-3</v>
      </c>
      <c r="F1778" s="502">
        <v>3.5265583166539383E-3</v>
      </c>
      <c r="G1778" s="209" t="s">
        <v>2104</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287" t="s">
        <v>1769</v>
      </c>
      <c r="B1779" s="10">
        <v>4</v>
      </c>
      <c r="C1779" s="167" t="s">
        <v>1772</v>
      </c>
      <c r="D1779" s="502">
        <v>1.11974624231315E-2</v>
      </c>
      <c r="E1779" s="502">
        <v>9.748976115757868E-3</v>
      </c>
      <c r="F1779" s="502">
        <v>6.7166791378556745E-3</v>
      </c>
      <c r="G1779" s="209" t="s">
        <v>2101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287" t="s">
        <v>1769</v>
      </c>
      <c r="B1780" s="10">
        <v>5</v>
      </c>
      <c r="C1780" s="167" t="s">
        <v>1773</v>
      </c>
      <c r="D1780" s="502">
        <v>-1.63356327583108E-3</v>
      </c>
      <c r="E1780" s="502">
        <v>-5.2701042928582353E-4</v>
      </c>
      <c r="F1780" s="502">
        <v>4.4497734674939782E-3</v>
      </c>
      <c r="G1780" s="209"/>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287" t="s">
        <v>1769</v>
      </c>
      <c r="B1781" s="10">
        <v>6</v>
      </c>
      <c r="C1781" s="167" t="s">
        <v>1774</v>
      </c>
      <c r="D1781" s="502">
        <v>1.79813207082524E-2</v>
      </c>
      <c r="E1781" s="502">
        <v>1.670494871211603E-2</v>
      </c>
      <c r="F1781" s="502">
        <v>1.0992356943558379E-2</v>
      </c>
      <c r="G1781" s="20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287" t="s">
        <v>1769</v>
      </c>
      <c r="B1782" s="10">
        <v>7</v>
      </c>
      <c r="C1782" s="167" t="s">
        <v>1775</v>
      </c>
      <c r="D1782" s="502">
        <v>1.7242417315614E-2</v>
      </c>
      <c r="E1782" s="502">
        <v>1.649679802463222E-2</v>
      </c>
      <c r="F1782" s="502">
        <v>1.7408508457293692E-2</v>
      </c>
      <c r="G1782" s="209"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287" t="s">
        <v>1769</v>
      </c>
      <c r="B1783" s="10">
        <v>8</v>
      </c>
      <c r="C1783" s="500" t="s">
        <v>1776</v>
      </c>
      <c r="D1783" s="503">
        <v>9.7723538840641701E-3</v>
      </c>
      <c r="E1783" s="503">
        <v>8.7908194773067497E-3</v>
      </c>
      <c r="F1783" s="503">
        <v>7.5776637279063586E-3</v>
      </c>
      <c r="G1783" s="209"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287" t="s">
        <v>1769</v>
      </c>
      <c r="B1784" s="10">
        <v>9</v>
      </c>
      <c r="C1784" s="167" t="s">
        <v>1777</v>
      </c>
      <c r="D1784" s="502">
        <v>-8.43335057763284E-3</v>
      </c>
      <c r="E1784" s="502">
        <f>E1777</f>
        <v>-7.8016393354566338E-3</v>
      </c>
      <c r="F1784" s="502">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287" t="s">
        <v>1769</v>
      </c>
      <c r="B1785" s="10">
        <v>10</v>
      </c>
      <c r="C1785" s="167" t="s">
        <v>1778</v>
      </c>
      <c r="D1785" s="502">
        <v>1.02567760144259E-2</v>
      </c>
      <c r="E1785" s="502">
        <v>9.1877436581744298E-3</v>
      </c>
      <c r="F1785" s="502">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287" t="s">
        <v>1769</v>
      </c>
      <c r="B1786" s="10">
        <v>11</v>
      </c>
      <c r="C1786" s="167" t="s">
        <v>1779</v>
      </c>
      <c r="D1786" s="502">
        <v>9.3123154430747607E-3</v>
      </c>
      <c r="E1786" s="502">
        <v>8.4136487204315991E-3</v>
      </c>
      <c r="F1786" s="502">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287"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287"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22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5"/>
      <c r="E1790" s="26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7265625" customWidth="1"/>
    <col min="4" max="4" width="11.7265625" customWidth="1"/>
    <col min="5" max="5" width="10.36328125" style="240" customWidth="1"/>
    <col min="6" max="6" width="11.7265625" customWidth="1"/>
    <col min="7" max="7" width="12.54296875" customWidth="1"/>
    <col min="8" max="8" width="12.1796875" customWidth="1"/>
    <col min="9" max="10" width="15.1796875" customWidth="1"/>
    <col min="11" max="11" width="11.26953125" customWidth="1"/>
    <col min="12" max="12" width="3.26953125" customWidth="1"/>
    <col min="13" max="14" width="12.26953125" customWidth="1"/>
    <col min="15" max="15" width="3.26953125" customWidth="1"/>
    <col min="16" max="16" width="47.26953125" bestFit="1" customWidth="1"/>
    <col min="17" max="17" width="10" customWidth="1"/>
    <col min="18" max="18" width="1.81640625" customWidth="1"/>
    <col min="19" max="19" width="5.54296875" customWidth="1"/>
  </cols>
  <sheetData>
    <row r="1" spans="1:19" x14ac:dyDescent="0.35">
      <c r="A1" t="str">
        <f>'Population and treatments'!A1</f>
        <v>Treatments for untreated EGFR mutation-positive advanced non-small-cell lung cancer</v>
      </c>
    </row>
    <row r="2" spans="1:19" ht="21" customHeight="1" x14ac:dyDescent="0.35">
      <c r="A2" s="331" t="s">
        <v>1921</v>
      </c>
      <c r="B2" s="331"/>
      <c r="C2" s="331"/>
      <c r="D2" s="331"/>
      <c r="E2" s="331"/>
      <c r="F2" s="331"/>
      <c r="G2" s="331"/>
      <c r="H2" s="331"/>
      <c r="I2" s="331"/>
      <c r="J2" s="331"/>
      <c r="K2" s="331"/>
      <c r="L2" s="331"/>
      <c r="M2" s="331"/>
      <c r="N2" s="331"/>
      <c r="O2" s="331"/>
      <c r="P2" s="331"/>
      <c r="Q2" s="331"/>
      <c r="R2" s="331"/>
      <c r="S2" s="331"/>
    </row>
    <row r="3" spans="1:19" ht="14.75" customHeight="1" x14ac:dyDescent="0.35">
      <c r="A3" s="116"/>
      <c r="B3" s="116"/>
      <c r="C3" s="116"/>
      <c r="D3" s="116"/>
      <c r="E3" s="116"/>
      <c r="F3" s="116"/>
      <c r="G3" s="116"/>
      <c r="H3" s="116"/>
      <c r="I3" s="116"/>
      <c r="J3" s="116"/>
      <c r="K3" s="116"/>
      <c r="L3" s="116"/>
      <c r="M3" s="116"/>
      <c r="N3" s="116"/>
      <c r="O3" s="116"/>
    </row>
    <row r="4" spans="1:19" ht="14.75" customHeight="1" x14ac:dyDescent="0.35">
      <c r="A4" s="656" t="s">
        <v>2073</v>
      </c>
      <c r="B4" s="657"/>
      <c r="C4" s="657"/>
      <c r="D4" s="657"/>
      <c r="E4" s="657"/>
      <c r="F4" s="657"/>
      <c r="G4" s="657"/>
      <c r="H4" s="657"/>
      <c r="I4" s="657"/>
      <c r="J4" s="657"/>
      <c r="K4" s="657"/>
      <c r="L4" s="657"/>
      <c r="M4" s="610"/>
      <c r="N4" s="657"/>
      <c r="O4" s="657"/>
      <c r="P4" s="610"/>
      <c r="Q4" s="611"/>
      <c r="R4" s="611"/>
      <c r="S4" s="611"/>
    </row>
    <row r="5" spans="1:19" ht="14.75" customHeight="1" thickBot="1" x14ac:dyDescent="0.4">
      <c r="A5" s="116"/>
      <c r="B5" s="116"/>
      <c r="C5" s="116"/>
      <c r="D5" s="116"/>
      <c r="E5" s="116"/>
      <c r="F5" s="116"/>
      <c r="G5" s="116"/>
      <c r="H5" s="116"/>
      <c r="I5" s="116"/>
      <c r="J5" s="116"/>
      <c r="K5" s="116"/>
      <c r="L5" s="116"/>
      <c r="M5" s="116"/>
      <c r="N5" s="116"/>
      <c r="O5" s="116"/>
    </row>
    <row r="6" spans="1:19" ht="14.75" customHeight="1" x14ac:dyDescent="0.35">
      <c r="A6" s="116"/>
      <c r="B6" s="332" t="s">
        <v>6</v>
      </c>
      <c r="C6" s="333"/>
      <c r="D6" s="116"/>
      <c r="E6" s="116"/>
      <c r="F6" s="116"/>
      <c r="G6" s="116"/>
      <c r="H6" s="116"/>
      <c r="I6" s="116"/>
      <c r="J6" s="116"/>
      <c r="K6" s="116"/>
      <c r="L6" s="116"/>
      <c r="M6" s="116"/>
      <c r="N6" s="116"/>
      <c r="O6" s="116"/>
    </row>
    <row r="7" spans="1:19" ht="14.75" customHeight="1" x14ac:dyDescent="0.35">
      <c r="A7" s="116"/>
      <c r="B7" s="334" t="s">
        <v>1922</v>
      </c>
      <c r="C7" s="350" t="s">
        <v>1923</v>
      </c>
      <c r="D7" s="335" t="s">
        <v>1924</v>
      </c>
      <c r="E7" s="116"/>
      <c r="F7" s="116"/>
      <c r="G7" s="116"/>
      <c r="H7" s="116"/>
      <c r="I7" s="116"/>
      <c r="J7" s="116"/>
      <c r="K7" s="116"/>
      <c r="L7" s="116"/>
      <c r="M7" s="116"/>
      <c r="N7" s="116"/>
      <c r="O7" s="116"/>
    </row>
    <row r="8" spans="1:19" ht="14.75" customHeight="1" x14ac:dyDescent="0.35">
      <c r="A8" s="116"/>
      <c r="B8" s="334" t="s">
        <v>1925</v>
      </c>
      <c r="C8" s="351">
        <v>5000</v>
      </c>
      <c r="D8" s="116"/>
      <c r="E8" s="116"/>
      <c r="F8" s="116"/>
      <c r="G8" s="116"/>
      <c r="H8" s="116"/>
      <c r="I8" s="116"/>
      <c r="J8" s="116"/>
      <c r="K8" s="116"/>
      <c r="L8" s="116"/>
      <c r="M8" s="116"/>
      <c r="N8" s="116"/>
      <c r="O8" s="116"/>
    </row>
    <row r="9" spans="1:19" ht="14.75" customHeight="1" x14ac:dyDescent="0.35">
      <c r="A9" s="116"/>
      <c r="B9" s="334" t="s">
        <v>1926</v>
      </c>
      <c r="C9" s="352">
        <v>0.15</v>
      </c>
      <c r="D9" s="116"/>
      <c r="E9" s="116"/>
      <c r="F9" s="116"/>
      <c r="G9" s="116"/>
      <c r="H9" s="116"/>
      <c r="I9" s="116"/>
      <c r="J9" s="116"/>
      <c r="K9" s="116"/>
      <c r="L9" s="116"/>
      <c r="M9" s="116"/>
      <c r="N9" s="116"/>
      <c r="O9" s="116"/>
    </row>
    <row r="10" spans="1:19" ht="14.75" customHeight="1" x14ac:dyDescent="0.35">
      <c r="A10" s="116"/>
      <c r="B10" s="334" t="s">
        <v>1927</v>
      </c>
      <c r="C10" s="352">
        <v>0.23780000000000001</v>
      </c>
      <c r="D10" s="116"/>
      <c r="E10" s="116"/>
      <c r="F10" s="116"/>
      <c r="G10" s="116"/>
      <c r="H10" s="116"/>
      <c r="I10" s="116"/>
      <c r="J10" s="116"/>
      <c r="K10" s="116"/>
      <c r="L10" s="116"/>
      <c r="M10" s="116"/>
      <c r="N10" s="116"/>
      <c r="O10" s="116"/>
    </row>
    <row r="11" spans="1:19" ht="14.75" customHeight="1" thickBot="1" x14ac:dyDescent="0.4">
      <c r="A11" s="116"/>
      <c r="B11" s="336" t="s">
        <v>1928</v>
      </c>
      <c r="C11" s="353">
        <v>5.0000000000000001E-3</v>
      </c>
      <c r="D11" s="116"/>
      <c r="E11" s="116"/>
      <c r="F11" s="116"/>
      <c r="G11" s="116"/>
      <c r="H11" s="116"/>
      <c r="I11" s="116"/>
      <c r="J11" s="116"/>
      <c r="K11" s="116"/>
      <c r="L11" s="116"/>
      <c r="M11" s="116"/>
      <c r="N11" s="116"/>
      <c r="O11" s="116"/>
    </row>
    <row r="12" spans="1:19" ht="15" thickBot="1" x14ac:dyDescent="0.4">
      <c r="M12" s="671" t="s">
        <v>2085</v>
      </c>
      <c r="N12" s="672"/>
    </row>
    <row r="13" spans="1:19" ht="109.5" customHeight="1" thickBot="1" x14ac:dyDescent="0.4">
      <c r="A13" s="337" t="s">
        <v>1929</v>
      </c>
      <c r="B13" s="338" t="s">
        <v>1930</v>
      </c>
      <c r="C13" s="339" t="s">
        <v>1931</v>
      </c>
      <c r="D13" s="339" t="s">
        <v>1932</v>
      </c>
      <c r="E13" s="340" t="s">
        <v>1933</v>
      </c>
      <c r="F13" s="339" t="s">
        <v>1934</v>
      </c>
      <c r="G13" s="341" t="s">
        <v>1935</v>
      </c>
      <c r="H13" s="342" t="s">
        <v>2074</v>
      </c>
      <c r="I13" s="658" t="s">
        <v>2075</v>
      </c>
      <c r="J13" s="658" t="s">
        <v>2076</v>
      </c>
      <c r="K13" s="677" t="s">
        <v>1920</v>
      </c>
      <c r="M13" s="342" t="s">
        <v>1936</v>
      </c>
      <c r="N13" s="343" t="s">
        <v>1937</v>
      </c>
      <c r="P13" s="660" t="s">
        <v>2077</v>
      </c>
      <c r="Q13" s="661"/>
      <c r="R13" s="662"/>
    </row>
    <row r="14" spans="1:19" x14ac:dyDescent="0.35">
      <c r="A14" s="685">
        <v>2</v>
      </c>
      <c r="B14" s="686" t="s">
        <v>1938</v>
      </c>
      <c r="C14" s="687">
        <v>24465</v>
      </c>
      <c r="D14" s="687">
        <f t="shared" ref="D14:D49" si="0">(C14-$C$8)*$C$9</f>
        <v>2919.75</v>
      </c>
      <c r="E14" s="688">
        <f>C14*$C$11</f>
        <v>122.325</v>
      </c>
      <c r="F14" s="687">
        <f>C14*$C$10</f>
        <v>5817.777</v>
      </c>
      <c r="G14" s="689">
        <f>SUM(C14:F14)</f>
        <v>33324.851999999999</v>
      </c>
      <c r="H14" s="678">
        <f t="shared" ref="H14:H43" si="1">Q$21</f>
        <v>1551.1499999999999</v>
      </c>
      <c r="I14" s="659">
        <v>1</v>
      </c>
      <c r="J14" s="670">
        <f t="shared" ref="J14:J43" si="2">Q$21*I14</f>
        <v>1551.1499999999999</v>
      </c>
      <c r="K14" s="679">
        <f>ROUND(G14/H14,2)</f>
        <v>21.48</v>
      </c>
      <c r="M14" s="673">
        <v>0.41</v>
      </c>
      <c r="N14" s="347">
        <v>0.83</v>
      </c>
      <c r="P14" s="152"/>
      <c r="Q14" s="459"/>
      <c r="R14" s="437"/>
    </row>
    <row r="15" spans="1:19" x14ac:dyDescent="0.35">
      <c r="A15" s="246">
        <v>2</v>
      </c>
      <c r="B15" s="242" t="s">
        <v>1939</v>
      </c>
      <c r="C15" s="241">
        <v>24465</v>
      </c>
      <c r="D15" s="344">
        <f t="shared" si="0"/>
        <v>2919.75</v>
      </c>
      <c r="E15" s="345">
        <f t="shared" ref="E15:E49" si="3">C15*$C$11</f>
        <v>122.325</v>
      </c>
      <c r="F15" s="344">
        <f t="shared" ref="F15:F49" si="4">C15*$C$10</f>
        <v>5817.777</v>
      </c>
      <c r="G15" s="346">
        <f t="shared" ref="G15:G49" si="5">SUM(C15:F15)</f>
        <v>33324.851999999999</v>
      </c>
      <c r="H15" s="678">
        <f t="shared" si="1"/>
        <v>1551.1499999999999</v>
      </c>
      <c r="I15" s="659">
        <v>1</v>
      </c>
      <c r="J15" s="670">
        <f t="shared" si="2"/>
        <v>1551.1499999999999</v>
      </c>
      <c r="K15" s="679">
        <f t="shared" ref="K15:K49" si="6">ROUND(G15/H15,2)</f>
        <v>21.48</v>
      </c>
      <c r="M15" s="674">
        <v>0.41</v>
      </c>
      <c r="N15" s="328">
        <v>0.83</v>
      </c>
      <c r="P15" s="663" t="s">
        <v>1940</v>
      </c>
      <c r="Q15" s="172"/>
      <c r="R15" s="142"/>
    </row>
    <row r="16" spans="1:19" x14ac:dyDescent="0.35">
      <c r="A16" s="246">
        <v>3</v>
      </c>
      <c r="B16" s="242" t="s">
        <v>1941</v>
      </c>
      <c r="C16" s="241">
        <v>24937</v>
      </c>
      <c r="D16" s="344">
        <f t="shared" si="0"/>
        <v>2990.5499999999997</v>
      </c>
      <c r="E16" s="345">
        <f t="shared" si="3"/>
        <v>124.685</v>
      </c>
      <c r="F16" s="344">
        <f t="shared" si="4"/>
        <v>5930.0186000000003</v>
      </c>
      <c r="G16" s="346">
        <f t="shared" si="5"/>
        <v>33982.253600000004</v>
      </c>
      <c r="H16" s="678">
        <f t="shared" si="1"/>
        <v>1551.1499999999999</v>
      </c>
      <c r="I16" s="659">
        <v>1</v>
      </c>
      <c r="J16" s="670">
        <f t="shared" si="2"/>
        <v>1551.1499999999999</v>
      </c>
      <c r="K16" s="679">
        <f t="shared" si="6"/>
        <v>21.91</v>
      </c>
      <c r="M16" s="674">
        <v>0.35</v>
      </c>
      <c r="N16" s="328">
        <v>0.69</v>
      </c>
      <c r="P16" s="264" t="s">
        <v>1942</v>
      </c>
      <c r="Q16" s="665">
        <v>260</v>
      </c>
      <c r="R16" s="142"/>
    </row>
    <row r="17" spans="1:18" x14ac:dyDescent="0.35">
      <c r="A17" s="246">
        <v>3</v>
      </c>
      <c r="B17" s="242" t="s">
        <v>1943</v>
      </c>
      <c r="C17" s="241">
        <v>26598</v>
      </c>
      <c r="D17" s="344">
        <f t="shared" si="0"/>
        <v>3239.7</v>
      </c>
      <c r="E17" s="345">
        <f t="shared" si="3"/>
        <v>132.99</v>
      </c>
      <c r="F17" s="344">
        <f t="shared" si="4"/>
        <v>6325.0044000000007</v>
      </c>
      <c r="G17" s="346">
        <f t="shared" si="5"/>
        <v>36295.6944</v>
      </c>
      <c r="H17" s="678">
        <f t="shared" si="1"/>
        <v>1551.1499999999999</v>
      </c>
      <c r="I17" s="659">
        <v>1</v>
      </c>
      <c r="J17" s="670">
        <f t="shared" si="2"/>
        <v>1551.1499999999999</v>
      </c>
      <c r="K17" s="679">
        <f t="shared" si="6"/>
        <v>23.4</v>
      </c>
      <c r="M17" s="674">
        <v>0.35</v>
      </c>
      <c r="N17" s="328">
        <v>0.69</v>
      </c>
      <c r="P17" s="264" t="s">
        <v>1944</v>
      </c>
      <c r="Q17" s="665">
        <v>-40</v>
      </c>
      <c r="R17" s="142"/>
    </row>
    <row r="18" spans="1:18" x14ac:dyDescent="0.35">
      <c r="A18" s="246">
        <v>4</v>
      </c>
      <c r="B18" s="242" t="s">
        <v>1945</v>
      </c>
      <c r="C18" s="241">
        <v>27485</v>
      </c>
      <c r="D18" s="344">
        <f t="shared" si="0"/>
        <v>3372.75</v>
      </c>
      <c r="E18" s="345">
        <f t="shared" si="3"/>
        <v>137.42500000000001</v>
      </c>
      <c r="F18" s="344">
        <f t="shared" si="4"/>
        <v>6535.933</v>
      </c>
      <c r="G18" s="346">
        <f t="shared" si="5"/>
        <v>37531.108</v>
      </c>
      <c r="H18" s="678">
        <f t="shared" si="1"/>
        <v>1551.1499999999999</v>
      </c>
      <c r="I18" s="659">
        <v>1</v>
      </c>
      <c r="J18" s="670">
        <f t="shared" si="2"/>
        <v>1551.1499999999999</v>
      </c>
      <c r="K18" s="679">
        <f t="shared" si="6"/>
        <v>24.2</v>
      </c>
      <c r="M18" s="674">
        <v>0.3</v>
      </c>
      <c r="N18" s="328">
        <v>0.6</v>
      </c>
      <c r="P18" s="264" t="s">
        <v>1946</v>
      </c>
      <c r="Q18" s="665">
        <v>-2</v>
      </c>
      <c r="R18" s="142"/>
    </row>
    <row r="19" spans="1:18" x14ac:dyDescent="0.35">
      <c r="A19" s="246">
        <v>4</v>
      </c>
      <c r="B19" s="242" t="s">
        <v>1947</v>
      </c>
      <c r="C19" s="241">
        <v>30162</v>
      </c>
      <c r="D19" s="344">
        <f t="shared" si="0"/>
        <v>3774.2999999999997</v>
      </c>
      <c r="E19" s="345">
        <f t="shared" si="3"/>
        <v>150.81</v>
      </c>
      <c r="F19" s="344">
        <f t="shared" si="4"/>
        <v>7172.5236000000004</v>
      </c>
      <c r="G19" s="346">
        <f t="shared" si="5"/>
        <v>41259.633600000001</v>
      </c>
      <c r="H19" s="678">
        <f t="shared" si="1"/>
        <v>1551.1499999999999</v>
      </c>
      <c r="I19" s="659">
        <v>1</v>
      </c>
      <c r="J19" s="670">
        <f t="shared" si="2"/>
        <v>1551.1499999999999</v>
      </c>
      <c r="K19" s="679">
        <f t="shared" si="6"/>
        <v>26.6</v>
      </c>
      <c r="M19" s="674">
        <v>0.3</v>
      </c>
      <c r="N19" s="328">
        <v>0.6</v>
      </c>
      <c r="P19" s="264" t="s">
        <v>2078</v>
      </c>
      <c r="Q19" s="665">
        <f>-4.3%*Q16</f>
        <v>-11.18</v>
      </c>
      <c r="R19" s="142"/>
    </row>
    <row r="20" spans="1:18" x14ac:dyDescent="0.35">
      <c r="A20" s="246">
        <v>5</v>
      </c>
      <c r="B20" s="242" t="s">
        <v>1948</v>
      </c>
      <c r="C20" s="241">
        <v>31049</v>
      </c>
      <c r="D20" s="344">
        <f t="shared" si="0"/>
        <v>3907.35</v>
      </c>
      <c r="E20" s="345">
        <f t="shared" si="3"/>
        <v>155.245</v>
      </c>
      <c r="F20" s="344">
        <f t="shared" si="4"/>
        <v>7383.4522000000006</v>
      </c>
      <c r="G20" s="346">
        <f t="shared" si="5"/>
        <v>42495.047200000001</v>
      </c>
      <c r="H20" s="678">
        <f t="shared" si="1"/>
        <v>1551.1499999999999</v>
      </c>
      <c r="I20" s="659">
        <v>1</v>
      </c>
      <c r="J20" s="670">
        <f t="shared" si="2"/>
        <v>1551.1499999999999</v>
      </c>
      <c r="K20" s="679">
        <f t="shared" si="6"/>
        <v>27.4</v>
      </c>
      <c r="M20" s="674">
        <v>0.3</v>
      </c>
      <c r="N20" s="328">
        <v>0.6</v>
      </c>
      <c r="P20" s="264"/>
      <c r="Q20" s="664">
        <f>SUM(Q16:Q19)</f>
        <v>206.82</v>
      </c>
      <c r="R20" s="142"/>
    </row>
    <row r="21" spans="1:18" x14ac:dyDescent="0.35">
      <c r="A21" s="246">
        <v>5</v>
      </c>
      <c r="B21" s="242" t="s">
        <v>1949</v>
      </c>
      <c r="C21" s="241">
        <v>33487</v>
      </c>
      <c r="D21" s="344">
        <f t="shared" si="0"/>
        <v>4273.05</v>
      </c>
      <c r="E21" s="345">
        <f t="shared" si="3"/>
        <v>167.435</v>
      </c>
      <c r="F21" s="344">
        <f t="shared" si="4"/>
        <v>7963.2085999999999</v>
      </c>
      <c r="G21" s="346">
        <f t="shared" si="5"/>
        <v>45890.693599999999</v>
      </c>
      <c r="H21" s="678">
        <f t="shared" si="1"/>
        <v>1551.1499999999999</v>
      </c>
      <c r="I21" s="659">
        <v>1</v>
      </c>
      <c r="J21" s="670">
        <f t="shared" si="2"/>
        <v>1551.1499999999999</v>
      </c>
      <c r="K21" s="679">
        <f t="shared" si="6"/>
        <v>29.58</v>
      </c>
      <c r="M21" s="674">
        <v>0.3</v>
      </c>
      <c r="N21" s="328">
        <v>0.6</v>
      </c>
      <c r="P21" s="263" t="s">
        <v>1950</v>
      </c>
      <c r="Q21" s="214">
        <f>7.5*Q20</f>
        <v>1551.1499999999999</v>
      </c>
      <c r="R21" s="142"/>
    </row>
    <row r="22" spans="1:18" x14ac:dyDescent="0.35">
      <c r="A22" s="246">
        <v>5</v>
      </c>
      <c r="B22" s="242" t="s">
        <v>1951</v>
      </c>
      <c r="C22" s="241">
        <v>37796</v>
      </c>
      <c r="D22" s="344">
        <f t="shared" si="0"/>
        <v>4919.3999999999996</v>
      </c>
      <c r="E22" s="345">
        <f t="shared" si="3"/>
        <v>188.98</v>
      </c>
      <c r="F22" s="344">
        <f t="shared" si="4"/>
        <v>8987.8888000000006</v>
      </c>
      <c r="G22" s="346">
        <f t="shared" si="5"/>
        <v>51892.268800000005</v>
      </c>
      <c r="H22" s="678">
        <f t="shared" si="1"/>
        <v>1551.1499999999999</v>
      </c>
      <c r="I22" s="659">
        <v>1</v>
      </c>
      <c r="J22" s="670">
        <f t="shared" si="2"/>
        <v>1551.1499999999999</v>
      </c>
      <c r="K22" s="679">
        <f t="shared" si="6"/>
        <v>33.450000000000003</v>
      </c>
      <c r="M22" s="674">
        <v>0.3</v>
      </c>
      <c r="N22" s="328">
        <v>0.6</v>
      </c>
      <c r="P22" s="143"/>
      <c r="R22" s="142"/>
    </row>
    <row r="23" spans="1:18" x14ac:dyDescent="0.35">
      <c r="A23" s="246">
        <v>6</v>
      </c>
      <c r="B23" s="242" t="s">
        <v>1952</v>
      </c>
      <c r="C23" s="241">
        <v>38682</v>
      </c>
      <c r="D23" s="344">
        <f t="shared" si="0"/>
        <v>5052.3</v>
      </c>
      <c r="E23" s="345">
        <f t="shared" si="3"/>
        <v>193.41</v>
      </c>
      <c r="F23" s="344">
        <f t="shared" si="4"/>
        <v>9198.5796000000009</v>
      </c>
      <c r="G23" s="346">
        <f t="shared" si="5"/>
        <v>53126.289600000004</v>
      </c>
      <c r="H23" s="678">
        <f t="shared" si="1"/>
        <v>1551.1499999999999</v>
      </c>
      <c r="I23" s="659">
        <v>1</v>
      </c>
      <c r="J23" s="670">
        <f t="shared" si="2"/>
        <v>1551.1499999999999</v>
      </c>
      <c r="K23" s="679">
        <f t="shared" si="6"/>
        <v>34.25</v>
      </c>
      <c r="M23" s="674">
        <v>0.3</v>
      </c>
      <c r="N23" s="328">
        <v>0.6</v>
      </c>
      <c r="P23" s="264"/>
      <c r="R23" s="142"/>
    </row>
    <row r="24" spans="1:18" x14ac:dyDescent="0.35">
      <c r="A24" s="246">
        <v>6</v>
      </c>
      <c r="B24" s="242" t="s">
        <v>1881</v>
      </c>
      <c r="C24" s="241">
        <v>40823</v>
      </c>
      <c r="D24" s="344">
        <f t="shared" si="0"/>
        <v>5373.45</v>
      </c>
      <c r="E24" s="345">
        <f t="shared" si="3"/>
        <v>204.11500000000001</v>
      </c>
      <c r="F24" s="344">
        <f t="shared" si="4"/>
        <v>9707.7093999999997</v>
      </c>
      <c r="G24" s="346">
        <f t="shared" si="5"/>
        <v>56108.274399999995</v>
      </c>
      <c r="H24" s="678">
        <f t="shared" si="1"/>
        <v>1551.1499999999999</v>
      </c>
      <c r="I24" s="659">
        <v>1</v>
      </c>
      <c r="J24" s="670">
        <f t="shared" si="2"/>
        <v>1551.1499999999999</v>
      </c>
      <c r="K24" s="679">
        <f t="shared" si="6"/>
        <v>36.17</v>
      </c>
      <c r="M24" s="674">
        <v>0.3</v>
      </c>
      <c r="N24" s="328">
        <v>0.6</v>
      </c>
      <c r="P24" s="663" t="s">
        <v>1953</v>
      </c>
      <c r="Q24" s="172"/>
      <c r="R24" s="142"/>
    </row>
    <row r="25" spans="1:18" x14ac:dyDescent="0.35">
      <c r="A25" s="246">
        <v>6</v>
      </c>
      <c r="B25" s="242" t="s">
        <v>1954</v>
      </c>
      <c r="C25" s="241">
        <v>46580</v>
      </c>
      <c r="D25" s="344">
        <f t="shared" si="0"/>
        <v>6237</v>
      </c>
      <c r="E25" s="345">
        <f t="shared" si="3"/>
        <v>232.9</v>
      </c>
      <c r="F25" s="344">
        <f t="shared" si="4"/>
        <v>11076.724</v>
      </c>
      <c r="G25" s="346">
        <f t="shared" si="5"/>
        <v>64126.624000000003</v>
      </c>
      <c r="H25" s="678">
        <f t="shared" si="1"/>
        <v>1551.1499999999999</v>
      </c>
      <c r="I25" s="659">
        <v>1</v>
      </c>
      <c r="J25" s="670">
        <f t="shared" si="2"/>
        <v>1551.1499999999999</v>
      </c>
      <c r="K25" s="679">
        <f t="shared" si="6"/>
        <v>41.34</v>
      </c>
      <c r="M25" s="674">
        <v>0.3</v>
      </c>
      <c r="N25" s="328">
        <v>0.6</v>
      </c>
      <c r="P25" s="264" t="s">
        <v>2079</v>
      </c>
      <c r="Q25" s="665">
        <v>43</v>
      </c>
      <c r="R25" s="142"/>
    </row>
    <row r="26" spans="1:18" x14ac:dyDescent="0.35">
      <c r="A26" s="246">
        <v>7</v>
      </c>
      <c r="B26" s="242" t="s">
        <v>1955</v>
      </c>
      <c r="C26" s="241">
        <v>47810</v>
      </c>
      <c r="D26" s="344">
        <f t="shared" si="0"/>
        <v>6421.5</v>
      </c>
      <c r="E26" s="345">
        <f t="shared" si="3"/>
        <v>239.05</v>
      </c>
      <c r="F26" s="344">
        <f t="shared" si="4"/>
        <v>11369.218000000001</v>
      </c>
      <c r="G26" s="346">
        <f t="shared" si="5"/>
        <v>65839.768000000011</v>
      </c>
      <c r="H26" s="678">
        <f t="shared" si="1"/>
        <v>1551.1499999999999</v>
      </c>
      <c r="I26" s="659">
        <v>1</v>
      </c>
      <c r="J26" s="670">
        <f t="shared" si="2"/>
        <v>1551.1499999999999</v>
      </c>
      <c r="K26" s="679">
        <f t="shared" si="6"/>
        <v>42.45</v>
      </c>
      <c r="M26" s="674">
        <v>0.3</v>
      </c>
      <c r="N26" s="328">
        <v>0.6</v>
      </c>
      <c r="P26" s="264" t="s">
        <v>1956</v>
      </c>
      <c r="Q26" s="665">
        <v>10</v>
      </c>
      <c r="R26" s="142"/>
    </row>
    <row r="27" spans="1:18" x14ac:dyDescent="0.35">
      <c r="A27" s="246">
        <v>7</v>
      </c>
      <c r="B27" s="242" t="s">
        <v>1878</v>
      </c>
      <c r="C27" s="241">
        <v>50273</v>
      </c>
      <c r="D27" s="344">
        <f t="shared" si="0"/>
        <v>6790.95</v>
      </c>
      <c r="E27" s="345">
        <f t="shared" si="3"/>
        <v>251.36500000000001</v>
      </c>
      <c r="F27" s="344">
        <f t="shared" si="4"/>
        <v>11954.919400000001</v>
      </c>
      <c r="G27" s="346">
        <f t="shared" si="5"/>
        <v>69270.234400000001</v>
      </c>
      <c r="H27" s="678">
        <f t="shared" si="1"/>
        <v>1551.1499999999999</v>
      </c>
      <c r="I27" s="659">
        <v>1</v>
      </c>
      <c r="J27" s="670">
        <f t="shared" si="2"/>
        <v>1551.1499999999999</v>
      </c>
      <c r="K27" s="679">
        <f t="shared" si="6"/>
        <v>44.66</v>
      </c>
      <c r="M27" s="674">
        <v>0.3</v>
      </c>
      <c r="N27" s="328">
        <v>0.6</v>
      </c>
      <c r="P27" s="264" t="s">
        <v>2080</v>
      </c>
      <c r="Q27" s="665">
        <v>-2</v>
      </c>
      <c r="R27" s="142"/>
    </row>
    <row r="28" spans="1:18" x14ac:dyDescent="0.35">
      <c r="A28" s="246">
        <v>7</v>
      </c>
      <c r="B28" s="242" t="s">
        <v>1957</v>
      </c>
      <c r="C28" s="241">
        <v>54710</v>
      </c>
      <c r="D28" s="344">
        <f t="shared" si="0"/>
        <v>7456.5</v>
      </c>
      <c r="E28" s="345">
        <f t="shared" si="3"/>
        <v>273.55</v>
      </c>
      <c r="F28" s="344">
        <f t="shared" si="4"/>
        <v>13010.038</v>
      </c>
      <c r="G28" s="346">
        <f t="shared" si="5"/>
        <v>75450.088000000003</v>
      </c>
      <c r="H28" s="678">
        <f t="shared" si="1"/>
        <v>1551.1499999999999</v>
      </c>
      <c r="I28" s="659">
        <v>1</v>
      </c>
      <c r="J28" s="670">
        <f t="shared" si="2"/>
        <v>1551.1499999999999</v>
      </c>
      <c r="K28" s="679">
        <f t="shared" si="6"/>
        <v>48.64</v>
      </c>
      <c r="M28" s="674">
        <v>0.3</v>
      </c>
      <c r="N28" s="328">
        <v>0.6</v>
      </c>
      <c r="P28" s="264"/>
      <c r="Q28" s="459">
        <v>8</v>
      </c>
      <c r="R28" s="142"/>
    </row>
    <row r="29" spans="1:18" x14ac:dyDescent="0.35">
      <c r="A29" s="246" t="s">
        <v>1958</v>
      </c>
      <c r="B29" s="242" t="s">
        <v>1879</v>
      </c>
      <c r="C29" s="241">
        <v>55690</v>
      </c>
      <c r="D29" s="344">
        <f t="shared" si="0"/>
        <v>7603.5</v>
      </c>
      <c r="E29" s="345">
        <f t="shared" si="3"/>
        <v>278.45</v>
      </c>
      <c r="F29" s="344">
        <f t="shared" si="4"/>
        <v>13243.082</v>
      </c>
      <c r="G29" s="346">
        <f t="shared" si="5"/>
        <v>76815.031999999992</v>
      </c>
      <c r="H29" s="678">
        <f t="shared" si="1"/>
        <v>1551.1499999999999</v>
      </c>
      <c r="I29" s="659">
        <v>1</v>
      </c>
      <c r="J29" s="670">
        <f t="shared" si="2"/>
        <v>1551.1499999999999</v>
      </c>
      <c r="K29" s="679">
        <f t="shared" si="6"/>
        <v>49.52</v>
      </c>
      <c r="M29" s="674">
        <v>0.3</v>
      </c>
      <c r="N29" s="328">
        <v>0.6</v>
      </c>
      <c r="P29" s="264" t="s">
        <v>1960</v>
      </c>
      <c r="Q29">
        <f>Q25*Q28*4</f>
        <v>1376</v>
      </c>
      <c r="R29" s="142"/>
    </row>
    <row r="30" spans="1:18" x14ac:dyDescent="0.35">
      <c r="A30" s="246" t="s">
        <v>1958</v>
      </c>
      <c r="B30" s="242" t="s">
        <v>1959</v>
      </c>
      <c r="C30" s="241">
        <v>58487</v>
      </c>
      <c r="D30" s="344">
        <f t="shared" si="0"/>
        <v>8023.0499999999993</v>
      </c>
      <c r="E30" s="345">
        <f t="shared" si="3"/>
        <v>292.435</v>
      </c>
      <c r="F30" s="344">
        <f t="shared" si="4"/>
        <v>13908.2086</v>
      </c>
      <c r="G30" s="346">
        <f t="shared" si="5"/>
        <v>80710.693599999999</v>
      </c>
      <c r="H30" s="678">
        <f t="shared" si="1"/>
        <v>1551.1499999999999</v>
      </c>
      <c r="I30" s="659">
        <v>1</v>
      </c>
      <c r="J30" s="670">
        <f t="shared" si="2"/>
        <v>1551.1499999999999</v>
      </c>
      <c r="K30" s="679">
        <f t="shared" si="6"/>
        <v>52.03</v>
      </c>
      <c r="M30" s="674">
        <v>0.3</v>
      </c>
      <c r="N30" s="328">
        <v>0.6</v>
      </c>
      <c r="P30" s="264" t="s">
        <v>2078</v>
      </c>
      <c r="Q30" s="665">
        <f>-1.5%*Q29</f>
        <v>-20.64</v>
      </c>
      <c r="R30" s="142"/>
    </row>
    <row r="31" spans="1:18" x14ac:dyDescent="0.35">
      <c r="A31" s="246" t="s">
        <v>1958</v>
      </c>
      <c r="B31" s="242" t="s">
        <v>1961</v>
      </c>
      <c r="C31" s="241">
        <v>62682</v>
      </c>
      <c r="D31" s="344">
        <f t="shared" si="0"/>
        <v>8652.2999999999993</v>
      </c>
      <c r="E31" s="345">
        <f t="shared" si="3"/>
        <v>313.41000000000003</v>
      </c>
      <c r="F31" s="344">
        <f t="shared" si="4"/>
        <v>14905.7796</v>
      </c>
      <c r="G31" s="346">
        <f t="shared" si="5"/>
        <v>86553.489600000001</v>
      </c>
      <c r="H31" s="678">
        <f t="shared" si="1"/>
        <v>1551.1499999999999</v>
      </c>
      <c r="I31" s="659">
        <v>1</v>
      </c>
      <c r="J31" s="670">
        <f t="shared" si="2"/>
        <v>1551.1499999999999</v>
      </c>
      <c r="K31" s="679">
        <f t="shared" si="6"/>
        <v>55.8</v>
      </c>
      <c r="M31" s="674">
        <v>0.3</v>
      </c>
      <c r="N31" s="328">
        <v>0.6</v>
      </c>
      <c r="P31" s="263" t="s">
        <v>1950</v>
      </c>
      <c r="Q31" s="214">
        <f>SUM(Q29:Q30)</f>
        <v>1355.36</v>
      </c>
      <c r="R31" s="142"/>
    </row>
    <row r="32" spans="1:18" x14ac:dyDescent="0.35">
      <c r="A32" s="246" t="s">
        <v>1962</v>
      </c>
      <c r="B32" s="242" t="s">
        <v>1963</v>
      </c>
      <c r="C32" s="241">
        <v>64455</v>
      </c>
      <c r="D32" s="344">
        <f t="shared" si="0"/>
        <v>8918.25</v>
      </c>
      <c r="E32" s="345">
        <f t="shared" si="3"/>
        <v>322.27500000000003</v>
      </c>
      <c r="F32" s="344">
        <f t="shared" si="4"/>
        <v>15327.399000000001</v>
      </c>
      <c r="G32" s="346">
        <f t="shared" si="5"/>
        <v>89022.923999999999</v>
      </c>
      <c r="H32" s="678">
        <f t="shared" si="1"/>
        <v>1551.1499999999999</v>
      </c>
      <c r="I32" s="659">
        <v>1</v>
      </c>
      <c r="J32" s="670">
        <f t="shared" si="2"/>
        <v>1551.1499999999999</v>
      </c>
      <c r="K32" s="679">
        <f t="shared" si="6"/>
        <v>57.39</v>
      </c>
      <c r="M32" s="674">
        <v>0.3</v>
      </c>
      <c r="N32" s="328">
        <v>0.6</v>
      </c>
      <c r="P32" s="143"/>
      <c r="R32" s="142"/>
    </row>
    <row r="33" spans="1:18" x14ac:dyDescent="0.35">
      <c r="A33" s="246" t="s">
        <v>1962</v>
      </c>
      <c r="B33" s="242" t="s">
        <v>1964</v>
      </c>
      <c r="C33" s="241">
        <v>68631</v>
      </c>
      <c r="D33" s="344">
        <f t="shared" si="0"/>
        <v>9544.65</v>
      </c>
      <c r="E33" s="345">
        <f t="shared" si="3"/>
        <v>343.15500000000003</v>
      </c>
      <c r="F33" s="344">
        <f t="shared" si="4"/>
        <v>16320.451800000001</v>
      </c>
      <c r="G33" s="346">
        <f t="shared" si="5"/>
        <v>94839.256799999988</v>
      </c>
      <c r="H33" s="678">
        <f t="shared" si="1"/>
        <v>1551.1499999999999</v>
      </c>
      <c r="I33" s="659">
        <v>1</v>
      </c>
      <c r="J33" s="670">
        <f t="shared" si="2"/>
        <v>1551.1499999999999</v>
      </c>
      <c r="K33" s="679">
        <f t="shared" si="6"/>
        <v>61.14</v>
      </c>
      <c r="M33" s="674">
        <v>0.3</v>
      </c>
      <c r="N33" s="328">
        <v>0.6</v>
      </c>
      <c r="P33" s="264"/>
      <c r="R33" s="142"/>
    </row>
    <row r="34" spans="1:18" x14ac:dyDescent="0.35">
      <c r="A34" s="246" t="s">
        <v>1962</v>
      </c>
      <c r="B34" s="242" t="s">
        <v>1966</v>
      </c>
      <c r="C34" s="241">
        <v>74896</v>
      </c>
      <c r="D34" s="344">
        <f t="shared" si="0"/>
        <v>10484.4</v>
      </c>
      <c r="E34" s="345">
        <f t="shared" si="3"/>
        <v>374.48</v>
      </c>
      <c r="F34" s="344">
        <f t="shared" si="4"/>
        <v>17810.268800000002</v>
      </c>
      <c r="G34" s="346">
        <f t="shared" si="5"/>
        <v>103565.1488</v>
      </c>
      <c r="H34" s="678">
        <f t="shared" si="1"/>
        <v>1551.1499999999999</v>
      </c>
      <c r="I34" s="659">
        <v>1</v>
      </c>
      <c r="J34" s="670">
        <f t="shared" si="2"/>
        <v>1551.1499999999999</v>
      </c>
      <c r="K34" s="679">
        <f t="shared" si="6"/>
        <v>66.77</v>
      </c>
      <c r="M34" s="674">
        <v>0.3</v>
      </c>
      <c r="N34" s="328">
        <v>0.6</v>
      </c>
      <c r="P34" s="663" t="s">
        <v>1965</v>
      </c>
      <c r="Q34" s="172"/>
      <c r="R34" s="142"/>
    </row>
    <row r="35" spans="1:18" x14ac:dyDescent="0.35">
      <c r="A35" s="246" t="s">
        <v>1967</v>
      </c>
      <c r="B35" s="242" t="s">
        <v>1968</v>
      </c>
      <c r="C35" s="241">
        <v>76965</v>
      </c>
      <c r="D35" s="344">
        <f t="shared" si="0"/>
        <v>10794.75</v>
      </c>
      <c r="E35" s="345">
        <f t="shared" si="3"/>
        <v>384.82499999999999</v>
      </c>
      <c r="F35" s="344">
        <f t="shared" si="4"/>
        <v>18302.277000000002</v>
      </c>
      <c r="G35" s="346">
        <f t="shared" si="5"/>
        <v>106446.852</v>
      </c>
      <c r="H35" s="678">
        <f t="shared" si="1"/>
        <v>1551.1499999999999</v>
      </c>
      <c r="I35" s="659">
        <v>1</v>
      </c>
      <c r="J35" s="670">
        <f t="shared" si="2"/>
        <v>1551.1499999999999</v>
      </c>
      <c r="K35" s="679">
        <f t="shared" si="6"/>
        <v>68.62</v>
      </c>
      <c r="M35" s="674">
        <v>0.3</v>
      </c>
      <c r="N35" s="328">
        <v>0.6</v>
      </c>
      <c r="P35" s="264" t="s">
        <v>2079</v>
      </c>
      <c r="Q35" s="665">
        <v>44.7</v>
      </c>
      <c r="R35" s="142"/>
    </row>
    <row r="36" spans="1:18" x14ac:dyDescent="0.35">
      <c r="A36" s="246" t="s">
        <v>1967</v>
      </c>
      <c r="B36" s="242" t="s">
        <v>1970</v>
      </c>
      <c r="C36" s="241">
        <v>81652</v>
      </c>
      <c r="D36" s="344">
        <f t="shared" si="0"/>
        <v>11497.8</v>
      </c>
      <c r="E36" s="345">
        <f t="shared" si="3"/>
        <v>408.26</v>
      </c>
      <c r="F36" s="344">
        <f t="shared" si="4"/>
        <v>19416.845600000001</v>
      </c>
      <c r="G36" s="346">
        <f t="shared" si="5"/>
        <v>112974.9056</v>
      </c>
      <c r="H36" s="678">
        <f t="shared" si="1"/>
        <v>1551.1499999999999</v>
      </c>
      <c r="I36" s="659">
        <v>1</v>
      </c>
      <c r="J36" s="670">
        <f t="shared" si="2"/>
        <v>1551.1499999999999</v>
      </c>
      <c r="K36" s="679">
        <f t="shared" si="6"/>
        <v>72.83</v>
      </c>
      <c r="M36" s="674">
        <v>0.3</v>
      </c>
      <c r="N36" s="328">
        <v>0.6</v>
      </c>
      <c r="P36" s="264" t="s">
        <v>1969</v>
      </c>
      <c r="Q36" s="665">
        <v>48</v>
      </c>
      <c r="R36" s="142"/>
    </row>
    <row r="37" spans="1:18" x14ac:dyDescent="0.35">
      <c r="A37" s="246" t="s">
        <v>1967</v>
      </c>
      <c r="B37" s="242" t="s">
        <v>1972</v>
      </c>
      <c r="C37" s="241">
        <v>88682</v>
      </c>
      <c r="D37" s="344">
        <f t="shared" si="0"/>
        <v>12552.3</v>
      </c>
      <c r="E37" s="345">
        <f t="shared" si="3"/>
        <v>443.41</v>
      </c>
      <c r="F37" s="344">
        <f t="shared" si="4"/>
        <v>21088.579600000001</v>
      </c>
      <c r="G37" s="346">
        <f t="shared" si="5"/>
        <v>122766.2896</v>
      </c>
      <c r="H37" s="678">
        <f t="shared" si="1"/>
        <v>1551.1499999999999</v>
      </c>
      <c r="I37" s="659">
        <v>1</v>
      </c>
      <c r="J37" s="670">
        <f t="shared" si="2"/>
        <v>1551.1499999999999</v>
      </c>
      <c r="K37" s="679">
        <f t="shared" si="6"/>
        <v>79.150000000000006</v>
      </c>
      <c r="M37" s="674">
        <v>0.3</v>
      </c>
      <c r="N37" s="328">
        <v>0.6</v>
      </c>
      <c r="P37" s="264" t="s">
        <v>1971</v>
      </c>
      <c r="Q37" s="665">
        <v>2145.6</v>
      </c>
      <c r="R37" s="142"/>
    </row>
    <row r="38" spans="1:18" x14ac:dyDescent="0.35">
      <c r="A38" s="246" t="s">
        <v>1973</v>
      </c>
      <c r="B38" s="242" t="s">
        <v>1974</v>
      </c>
      <c r="C38" s="241">
        <v>91342</v>
      </c>
      <c r="D38" s="344">
        <f t="shared" si="0"/>
        <v>12951.3</v>
      </c>
      <c r="E38" s="345">
        <f t="shared" si="3"/>
        <v>456.71000000000004</v>
      </c>
      <c r="F38" s="344">
        <f t="shared" si="4"/>
        <v>21721.1276</v>
      </c>
      <c r="G38" s="346">
        <f t="shared" si="5"/>
        <v>126471.13760000002</v>
      </c>
      <c r="H38" s="678">
        <f t="shared" si="1"/>
        <v>1551.1499999999999</v>
      </c>
      <c r="I38" s="659">
        <v>1</v>
      </c>
      <c r="J38" s="670">
        <f t="shared" si="2"/>
        <v>1551.1499999999999</v>
      </c>
      <c r="K38" s="679">
        <f t="shared" si="6"/>
        <v>81.53</v>
      </c>
      <c r="M38" s="674">
        <v>0.3</v>
      </c>
      <c r="N38" s="328">
        <v>0.6</v>
      </c>
      <c r="P38" s="264" t="s">
        <v>2078</v>
      </c>
      <c r="Q38" s="668">
        <f>-1.5%*Q37</f>
        <v>-32.183999999999997</v>
      </c>
      <c r="R38" s="142"/>
    </row>
    <row r="39" spans="1:18" x14ac:dyDescent="0.35">
      <c r="A39" s="246" t="s">
        <v>1973</v>
      </c>
      <c r="B39" s="242" t="s">
        <v>1975</v>
      </c>
      <c r="C39" s="241">
        <v>96941</v>
      </c>
      <c r="D39" s="344">
        <f t="shared" si="0"/>
        <v>13791.15</v>
      </c>
      <c r="E39" s="345">
        <f t="shared" si="3"/>
        <v>484.70499999999998</v>
      </c>
      <c r="F39" s="344">
        <f t="shared" si="4"/>
        <v>23052.569800000001</v>
      </c>
      <c r="G39" s="346">
        <f t="shared" si="5"/>
        <v>134269.42480000001</v>
      </c>
      <c r="H39" s="678">
        <f t="shared" si="1"/>
        <v>1551.1499999999999</v>
      </c>
      <c r="I39" s="659">
        <v>1</v>
      </c>
      <c r="J39" s="670">
        <f t="shared" si="2"/>
        <v>1551.1499999999999</v>
      </c>
      <c r="K39" s="679">
        <f t="shared" si="6"/>
        <v>86.56</v>
      </c>
      <c r="M39" s="674">
        <v>0.3</v>
      </c>
      <c r="N39" s="328">
        <v>0.6</v>
      </c>
      <c r="P39" s="264" t="s">
        <v>2081</v>
      </c>
      <c r="Q39" s="666">
        <f>Q38+Q37</f>
        <v>2113.4159999999997</v>
      </c>
      <c r="R39" s="142"/>
    </row>
    <row r="40" spans="1:18" x14ac:dyDescent="0.35">
      <c r="A40" s="246" t="s">
        <v>1973</v>
      </c>
      <c r="B40" s="242" t="s">
        <v>1976</v>
      </c>
      <c r="C40" s="241">
        <v>105337</v>
      </c>
      <c r="D40" s="344">
        <f t="shared" si="0"/>
        <v>15050.55</v>
      </c>
      <c r="E40" s="345">
        <f t="shared" si="3"/>
        <v>526.68500000000006</v>
      </c>
      <c r="F40" s="344">
        <f t="shared" si="4"/>
        <v>25049.138600000002</v>
      </c>
      <c r="G40" s="346">
        <f t="shared" si="5"/>
        <v>145963.37359999999</v>
      </c>
      <c r="H40" s="678">
        <f t="shared" si="1"/>
        <v>1551.1499999999999</v>
      </c>
      <c r="I40" s="659">
        <v>1</v>
      </c>
      <c r="J40" s="670">
        <f t="shared" si="2"/>
        <v>1551.1499999999999</v>
      </c>
      <c r="K40" s="679">
        <f t="shared" si="6"/>
        <v>94.1</v>
      </c>
      <c r="M40" s="674">
        <v>0.3</v>
      </c>
      <c r="N40" s="328">
        <v>0.6</v>
      </c>
      <c r="P40" s="264" t="s">
        <v>2082</v>
      </c>
      <c r="Q40" s="667">
        <v>0.6</v>
      </c>
      <c r="R40" s="142"/>
    </row>
    <row r="41" spans="1:18" x14ac:dyDescent="0.35">
      <c r="A41" s="246">
        <v>9</v>
      </c>
      <c r="B41" s="242" t="s">
        <v>1977</v>
      </c>
      <c r="C41" s="241">
        <v>109179</v>
      </c>
      <c r="D41" s="344">
        <f t="shared" si="0"/>
        <v>15626.849999999999</v>
      </c>
      <c r="E41" s="345">
        <f t="shared" si="3"/>
        <v>545.89499999999998</v>
      </c>
      <c r="F41" s="344">
        <f t="shared" si="4"/>
        <v>25962.766200000002</v>
      </c>
      <c r="G41" s="346">
        <f t="shared" si="5"/>
        <v>151314.51120000001</v>
      </c>
      <c r="H41" s="678">
        <f t="shared" si="1"/>
        <v>1551.1499999999999</v>
      </c>
      <c r="I41" s="659">
        <v>1</v>
      </c>
      <c r="J41" s="670">
        <f t="shared" si="2"/>
        <v>1551.1499999999999</v>
      </c>
      <c r="K41" s="679">
        <f t="shared" si="6"/>
        <v>97.55</v>
      </c>
      <c r="M41" s="674">
        <v>0.3</v>
      </c>
      <c r="N41" s="328">
        <v>0.6</v>
      </c>
      <c r="P41" s="263" t="s">
        <v>2083</v>
      </c>
      <c r="Q41" s="499">
        <f>Q40*Q39</f>
        <v>1268.0495999999998</v>
      </c>
      <c r="R41" s="142"/>
    </row>
    <row r="42" spans="1:18" x14ac:dyDescent="0.35">
      <c r="A42" s="246">
        <v>9</v>
      </c>
      <c r="B42" s="242" t="s">
        <v>1978</v>
      </c>
      <c r="C42" s="241">
        <v>115763</v>
      </c>
      <c r="D42" s="344">
        <f t="shared" si="0"/>
        <v>16614.45</v>
      </c>
      <c r="E42" s="345">
        <f t="shared" si="3"/>
        <v>578.81500000000005</v>
      </c>
      <c r="F42" s="344">
        <f t="shared" si="4"/>
        <v>27528.4414</v>
      </c>
      <c r="G42" s="346">
        <f t="shared" si="5"/>
        <v>160484.70640000002</v>
      </c>
      <c r="H42" s="678">
        <f t="shared" si="1"/>
        <v>1551.1499999999999</v>
      </c>
      <c r="I42" s="659">
        <v>1</v>
      </c>
      <c r="J42" s="670">
        <f t="shared" si="2"/>
        <v>1551.1499999999999</v>
      </c>
      <c r="K42" s="679">
        <f t="shared" si="6"/>
        <v>103.46</v>
      </c>
      <c r="M42" s="674">
        <v>0.3</v>
      </c>
      <c r="N42" s="328">
        <v>0.6</v>
      </c>
      <c r="P42" s="143"/>
      <c r="R42" s="142"/>
    </row>
    <row r="43" spans="1:18" x14ac:dyDescent="0.35">
      <c r="A43" s="246">
        <v>9</v>
      </c>
      <c r="B43" s="242" t="s">
        <v>1979</v>
      </c>
      <c r="C43" s="241">
        <v>125637</v>
      </c>
      <c r="D43" s="344">
        <f t="shared" si="0"/>
        <v>18095.55</v>
      </c>
      <c r="E43" s="345">
        <f t="shared" si="3"/>
        <v>628.18500000000006</v>
      </c>
      <c r="F43" s="344">
        <f t="shared" si="4"/>
        <v>29876.478600000002</v>
      </c>
      <c r="G43" s="346">
        <f t="shared" si="5"/>
        <v>174237.21359999999</v>
      </c>
      <c r="H43" s="678">
        <f t="shared" si="1"/>
        <v>1551.1499999999999</v>
      </c>
      <c r="I43" s="659">
        <v>1</v>
      </c>
      <c r="J43" s="670">
        <f t="shared" si="2"/>
        <v>1551.1499999999999</v>
      </c>
      <c r="K43" s="679">
        <f t="shared" si="6"/>
        <v>112.33</v>
      </c>
      <c r="M43" s="674">
        <v>0.3</v>
      </c>
      <c r="N43" s="328">
        <v>0.6</v>
      </c>
      <c r="P43" s="669" t="s">
        <v>2084</v>
      </c>
      <c r="R43" s="142"/>
    </row>
    <row r="44" spans="1:18" x14ac:dyDescent="0.35">
      <c r="A44" s="246" t="s">
        <v>1965</v>
      </c>
      <c r="B44" s="134" t="s">
        <v>1980</v>
      </c>
      <c r="C44" s="241">
        <v>76037.52</v>
      </c>
      <c r="D44" s="344">
        <f t="shared" si="0"/>
        <v>10655.628000000001</v>
      </c>
      <c r="E44" s="345">
        <f t="shared" si="3"/>
        <v>380.18760000000003</v>
      </c>
      <c r="F44" s="344">
        <f t="shared" si="4"/>
        <v>18081.722256000001</v>
      </c>
      <c r="G44" s="346">
        <f t="shared" si="5"/>
        <v>105155.057856</v>
      </c>
      <c r="H44" s="678">
        <f>Q39</f>
        <v>2113.4159999999997</v>
      </c>
      <c r="I44" s="659">
        <v>0.6</v>
      </c>
      <c r="J44" s="670">
        <f>Q$41*I44</f>
        <v>760.82975999999985</v>
      </c>
      <c r="K44" s="679">
        <f t="shared" si="6"/>
        <v>49.76</v>
      </c>
      <c r="M44" s="675">
        <v>0</v>
      </c>
      <c r="N44" s="329">
        <v>0</v>
      </c>
      <c r="P44" s="144"/>
      <c r="Q44" s="145"/>
      <c r="R44" s="146"/>
    </row>
    <row r="45" spans="1:18" x14ac:dyDescent="0.35">
      <c r="A45" s="246" t="s">
        <v>1965</v>
      </c>
      <c r="B45" s="134" t="s">
        <v>1981</v>
      </c>
      <c r="C45" s="241">
        <v>95390.36</v>
      </c>
      <c r="D45" s="344">
        <f t="shared" si="0"/>
        <v>13558.554</v>
      </c>
      <c r="E45" s="345">
        <f t="shared" si="3"/>
        <v>476.95179999999999</v>
      </c>
      <c r="F45" s="344">
        <f t="shared" si="4"/>
        <v>22683.827608</v>
      </c>
      <c r="G45" s="346">
        <f t="shared" si="5"/>
        <v>132109.69340799999</v>
      </c>
      <c r="H45" s="678">
        <f>Q39</f>
        <v>2113.4159999999997</v>
      </c>
      <c r="I45" s="659">
        <v>0.6</v>
      </c>
      <c r="J45" s="670">
        <f>Q$41*I45</f>
        <v>760.82975999999985</v>
      </c>
      <c r="K45" s="679">
        <f t="shared" si="6"/>
        <v>62.51</v>
      </c>
      <c r="M45" s="675">
        <v>0</v>
      </c>
      <c r="N45" s="329">
        <v>0</v>
      </c>
    </row>
    <row r="46" spans="1:18" x14ac:dyDescent="0.35">
      <c r="A46" s="348" t="s">
        <v>1965</v>
      </c>
      <c r="B46" s="349" t="s">
        <v>2070</v>
      </c>
      <c r="C46" s="268">
        <v>114743.2</v>
      </c>
      <c r="D46" s="344">
        <f t="shared" si="0"/>
        <v>16461.48</v>
      </c>
      <c r="E46" s="345">
        <f t="shared" si="3"/>
        <v>573.71600000000001</v>
      </c>
      <c r="F46" s="344">
        <f t="shared" si="4"/>
        <v>27285.932960000002</v>
      </c>
      <c r="G46" s="346">
        <f t="shared" si="5"/>
        <v>159064.32895999998</v>
      </c>
      <c r="H46" s="678">
        <f>Q39</f>
        <v>2113.4159999999997</v>
      </c>
      <c r="I46" s="659">
        <v>0.6</v>
      </c>
      <c r="J46" s="670">
        <f>Q$41*I46</f>
        <v>760.82975999999985</v>
      </c>
      <c r="K46" s="679">
        <f t="shared" si="6"/>
        <v>75.260000000000005</v>
      </c>
      <c r="M46" s="675">
        <v>0</v>
      </c>
      <c r="N46" s="329">
        <v>0</v>
      </c>
    </row>
    <row r="47" spans="1:18" x14ac:dyDescent="0.35">
      <c r="A47" s="246" t="s">
        <v>1953</v>
      </c>
      <c r="B47" s="134" t="s">
        <v>1982</v>
      </c>
      <c r="C47" s="241">
        <v>109724.16</v>
      </c>
      <c r="D47" s="344">
        <f t="shared" si="0"/>
        <v>15708.624</v>
      </c>
      <c r="E47" s="345">
        <f t="shared" si="3"/>
        <v>548.62080000000003</v>
      </c>
      <c r="F47" s="344">
        <f t="shared" si="4"/>
        <v>26092.405248000003</v>
      </c>
      <c r="G47" s="346">
        <f t="shared" si="5"/>
        <v>152073.81004800001</v>
      </c>
      <c r="H47" s="680">
        <f>Q31</f>
        <v>1355.36</v>
      </c>
      <c r="I47" s="659">
        <v>1</v>
      </c>
      <c r="J47" s="670">
        <f>Q$31*I47</f>
        <v>1355.36</v>
      </c>
      <c r="K47" s="679">
        <f t="shared" si="6"/>
        <v>112.2</v>
      </c>
      <c r="M47" s="675">
        <v>0</v>
      </c>
      <c r="N47" s="329">
        <v>0</v>
      </c>
    </row>
    <row r="48" spans="1:18" x14ac:dyDescent="0.35">
      <c r="A48" s="246" t="s">
        <v>1953</v>
      </c>
      <c r="B48" s="134" t="s">
        <v>1877</v>
      </c>
      <c r="C48" s="241">
        <v>126431.136</v>
      </c>
      <c r="D48" s="344">
        <f t="shared" si="0"/>
        <v>18214.670399999999</v>
      </c>
      <c r="E48" s="345">
        <f t="shared" si="3"/>
        <v>632.15567999999996</v>
      </c>
      <c r="F48" s="344">
        <f t="shared" si="4"/>
        <v>30065.324140799999</v>
      </c>
      <c r="G48" s="346">
        <f t="shared" si="5"/>
        <v>175343.28622079999</v>
      </c>
      <c r="H48" s="680">
        <f>Q31</f>
        <v>1355.36</v>
      </c>
      <c r="I48" s="659">
        <v>1</v>
      </c>
      <c r="J48" s="670">
        <f>Q$31*I48</f>
        <v>1355.36</v>
      </c>
      <c r="K48" s="679">
        <f t="shared" si="6"/>
        <v>129.37</v>
      </c>
      <c r="M48" s="675">
        <v>0</v>
      </c>
      <c r="N48" s="329">
        <v>0</v>
      </c>
    </row>
    <row r="49" spans="1:14" ht="15" thickBot="1" x14ac:dyDescent="0.4">
      <c r="A49" s="247" t="s">
        <v>1953</v>
      </c>
      <c r="B49" s="243" t="s">
        <v>1983</v>
      </c>
      <c r="C49" s="244">
        <v>145477.28</v>
      </c>
      <c r="D49" s="690">
        <f t="shared" si="0"/>
        <v>21071.592000000001</v>
      </c>
      <c r="E49" s="691">
        <f t="shared" si="3"/>
        <v>727.38639999999998</v>
      </c>
      <c r="F49" s="690">
        <f t="shared" si="4"/>
        <v>34594.497184</v>
      </c>
      <c r="G49" s="692">
        <f t="shared" si="5"/>
        <v>201870.755584</v>
      </c>
      <c r="H49" s="681">
        <f>Q31</f>
        <v>1355.36</v>
      </c>
      <c r="I49" s="682">
        <v>1</v>
      </c>
      <c r="J49" s="683">
        <f>Q$31*I49</f>
        <v>1355.36</v>
      </c>
      <c r="K49" s="684">
        <f t="shared" si="6"/>
        <v>148.94</v>
      </c>
      <c r="M49" s="676">
        <v>0</v>
      </c>
      <c r="N49" s="330">
        <v>0</v>
      </c>
    </row>
    <row r="98" ht="23.75" customHeight="1" x14ac:dyDescent="0.35"/>
    <row r="99" ht="55.5" customHeight="1" x14ac:dyDescent="0.35"/>
    <row r="100" ht="23.75" customHeight="1" x14ac:dyDescent="0.35"/>
    <row r="101" ht="23.75" customHeight="1" x14ac:dyDescent="0.35"/>
    <row r="102" ht="23.75" customHeight="1" x14ac:dyDescent="0.35"/>
    <row r="103" ht="23.75" customHeight="1" x14ac:dyDescent="0.35"/>
    <row r="104" ht="23.75"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26953125" defaultRowHeight="15.5" x14ac:dyDescent="0.35"/>
  <cols>
    <col min="1" max="1" width="28.7265625" style="359" customWidth="1"/>
    <col min="2" max="2" width="7.26953125" style="427" customWidth="1"/>
    <col min="3" max="3" width="8.26953125" style="359" customWidth="1"/>
    <col min="4" max="5" width="8.26953125" style="429" customWidth="1"/>
    <col min="6" max="8" width="8.26953125" style="427" customWidth="1"/>
    <col min="9" max="13" width="8.26953125" style="359" customWidth="1"/>
    <col min="14" max="14" width="8.7265625" style="359" customWidth="1"/>
    <col min="15" max="24" width="8.26953125" style="359" customWidth="1"/>
    <col min="25" max="25" width="12.26953125" style="359" customWidth="1"/>
    <col min="26" max="43" width="8.26953125" style="359" customWidth="1"/>
    <col min="44" max="16384" width="9.26953125" style="359"/>
  </cols>
  <sheetData>
    <row r="1" spans="1:51" ht="30.65" customHeight="1" x14ac:dyDescent="0.35">
      <c r="A1" s="354" t="s">
        <v>1794</v>
      </c>
      <c r="B1" s="355"/>
      <c r="C1" s="355"/>
      <c r="D1" s="355"/>
      <c r="E1" s="355"/>
      <c r="F1" s="355"/>
      <c r="G1" s="355"/>
      <c r="H1" s="355"/>
      <c r="I1" s="355"/>
      <c r="J1" s="355"/>
      <c r="K1" s="355"/>
      <c r="L1" s="355"/>
      <c r="M1" s="355"/>
      <c r="N1" s="355"/>
      <c r="O1" s="356"/>
      <c r="P1" s="356"/>
      <c r="Q1" s="356"/>
      <c r="R1" s="356"/>
      <c r="S1" s="356"/>
      <c r="T1" s="356"/>
      <c r="U1" s="356"/>
      <c r="V1" s="356"/>
      <c r="W1" s="356"/>
      <c r="X1" s="356"/>
      <c r="Y1" s="356"/>
      <c r="Z1" s="356"/>
      <c r="AA1" s="356"/>
      <c r="AB1" s="356"/>
      <c r="AC1" s="356"/>
      <c r="AD1" s="356"/>
      <c r="AE1" s="356"/>
      <c r="AF1" s="356"/>
      <c r="AG1" s="357"/>
      <c r="AH1" s="357"/>
      <c r="AI1" s="357"/>
      <c r="AJ1" s="357"/>
      <c r="AK1" s="357"/>
      <c r="AL1" s="357"/>
      <c r="AM1" s="358"/>
      <c r="AN1" s="358"/>
      <c r="AO1" s="358"/>
      <c r="AP1" s="358"/>
      <c r="AQ1" s="358"/>
      <c r="AR1" s="358"/>
      <c r="AS1" s="358"/>
      <c r="AT1" s="358"/>
      <c r="AU1" s="358"/>
      <c r="AV1" s="358"/>
      <c r="AW1" s="358"/>
      <c r="AX1" s="358"/>
      <c r="AY1" s="358"/>
    </row>
    <row r="2" spans="1:51" ht="15.75" customHeight="1" x14ac:dyDescent="0.35">
      <c r="A2" s="360"/>
      <c r="B2" s="361"/>
      <c r="C2" s="296"/>
      <c r="D2" s="51"/>
      <c r="E2" s="1"/>
      <c r="F2" s="1"/>
      <c r="G2" s="1"/>
      <c r="H2" s="430" t="s">
        <v>0</v>
      </c>
      <c r="I2" s="431"/>
      <c r="J2" s="431"/>
      <c r="K2" s="431"/>
      <c r="L2" s="431"/>
      <c r="M2" s="362"/>
      <c r="N2" s="362"/>
      <c r="O2" s="362"/>
      <c r="P2" s="362"/>
      <c r="Q2" s="362"/>
      <c r="R2" s="362"/>
      <c r="S2" s="362"/>
      <c r="T2" s="362"/>
      <c r="U2" s="362"/>
      <c r="V2" s="362"/>
      <c r="W2" s="362"/>
      <c r="X2" s="362"/>
      <c r="Y2" s="362"/>
      <c r="Z2" s="362"/>
      <c r="AA2" s="362"/>
      <c r="AB2" s="362"/>
      <c r="AC2" s="357"/>
      <c r="AD2" s="357"/>
      <c r="AE2" s="357"/>
      <c r="AF2" s="357"/>
      <c r="AG2" s="357"/>
      <c r="AH2" s="357"/>
      <c r="AI2" s="357"/>
      <c r="AJ2" s="357"/>
      <c r="AK2" s="357"/>
      <c r="AL2" s="357"/>
      <c r="AM2" s="358"/>
      <c r="AN2" s="358"/>
      <c r="AO2" s="358"/>
      <c r="AP2" s="358"/>
      <c r="AQ2" s="358"/>
      <c r="AR2" s="358"/>
      <c r="AS2" s="358"/>
      <c r="AT2" s="358"/>
      <c r="AU2" s="358"/>
      <c r="AV2" s="358"/>
      <c r="AW2" s="358"/>
      <c r="AX2" s="358"/>
      <c r="AY2" s="358"/>
    </row>
    <row r="3" spans="1:51" ht="15" x14ac:dyDescent="0.35">
      <c r="A3" s="363"/>
      <c r="B3" s="361"/>
      <c r="C3" s="364" t="s">
        <v>1795</v>
      </c>
      <c r="D3" s="364"/>
      <c r="E3" s="1"/>
      <c r="F3" s="1"/>
      <c r="G3" s="1"/>
      <c r="H3" s="362"/>
      <c r="I3" s="362"/>
      <c r="J3" s="362"/>
      <c r="K3" s="362"/>
      <c r="L3" s="362"/>
      <c r="M3" s="362"/>
      <c r="N3" s="362"/>
      <c r="O3" s="362"/>
      <c r="P3" s="362"/>
      <c r="Q3" s="365" t="s">
        <v>1796</v>
      </c>
      <c r="R3" s="362"/>
      <c r="S3" s="1"/>
      <c r="T3" s="1"/>
      <c r="U3" s="1"/>
      <c r="V3" s="1"/>
      <c r="W3" s="362"/>
      <c r="X3" s="362"/>
      <c r="Y3" s="362"/>
      <c r="Z3" s="362"/>
      <c r="AA3" s="362"/>
      <c r="AB3" s="362"/>
      <c r="AC3" s="357"/>
      <c r="AD3" s="357"/>
      <c r="AE3" s="357"/>
      <c r="AF3" s="357"/>
      <c r="AG3" s="357"/>
      <c r="AH3" s="357"/>
      <c r="AI3" s="357"/>
      <c r="AJ3" s="357"/>
      <c r="AK3" s="357"/>
      <c r="AL3" s="357"/>
      <c r="AM3" s="358"/>
      <c r="AN3" s="358"/>
      <c r="AO3" s="358"/>
      <c r="AP3" s="358"/>
      <c r="AQ3" s="358"/>
      <c r="AR3" s="358"/>
      <c r="AS3" s="358"/>
      <c r="AT3" s="358"/>
      <c r="AU3" s="358"/>
      <c r="AV3" s="358"/>
      <c r="AW3" s="358"/>
      <c r="AX3" s="358"/>
      <c r="AY3" s="358"/>
    </row>
    <row r="4" spans="1:51" ht="15" x14ac:dyDescent="0.35">
      <c r="A4" s="363"/>
      <c r="B4" s="361"/>
      <c r="C4" s="296" t="s">
        <v>1797</v>
      </c>
      <c r="D4" s="51"/>
      <c r="E4" s="1"/>
      <c r="F4" s="1"/>
      <c r="G4" s="1"/>
      <c r="H4" s="362"/>
      <c r="I4" s="362"/>
      <c r="J4" s="362"/>
      <c r="K4" s="362"/>
      <c r="L4" s="362"/>
      <c r="M4" s="362"/>
      <c r="N4" s="362"/>
      <c r="O4" s="362"/>
      <c r="P4" s="362"/>
      <c r="Q4" s="366" t="s">
        <v>1798</v>
      </c>
      <c r="R4" s="362"/>
      <c r="S4" s="362"/>
      <c r="T4" s="362"/>
      <c r="U4" s="362"/>
      <c r="V4" s="362"/>
      <c r="W4" s="362"/>
      <c r="X4" s="362"/>
      <c r="Y4" s="362"/>
      <c r="Z4" s="362"/>
      <c r="AA4" s="362"/>
      <c r="AB4" s="362"/>
      <c r="AC4" s="357"/>
      <c r="AD4" s="357"/>
      <c r="AE4" s="357"/>
      <c r="AF4" s="357"/>
      <c r="AG4" s="357"/>
      <c r="AH4" s="357"/>
      <c r="AI4" s="357"/>
      <c r="AJ4" s="357"/>
      <c r="AK4" s="357"/>
      <c r="AL4" s="357"/>
      <c r="AM4" s="358"/>
      <c r="AN4" s="357"/>
      <c r="AO4" s="357"/>
      <c r="AP4" s="358"/>
      <c r="AQ4" s="358"/>
      <c r="AR4" s="358"/>
      <c r="AS4" s="358"/>
      <c r="AT4" s="358"/>
      <c r="AU4" s="358"/>
      <c r="AV4" s="358"/>
      <c r="AW4" s="358"/>
      <c r="AX4" s="358"/>
      <c r="AY4" s="358"/>
    </row>
    <row r="5" spans="1:51" thickBot="1" x14ac:dyDescent="0.4">
      <c r="A5" s="367"/>
      <c r="B5" s="368"/>
      <c r="C5" s="1"/>
      <c r="D5" s="1"/>
      <c r="E5" s="1"/>
      <c r="F5" s="1"/>
      <c r="G5" s="1"/>
      <c r="H5" s="362"/>
      <c r="I5" s="362"/>
      <c r="J5" s="362"/>
      <c r="K5" s="362"/>
      <c r="L5" s="362"/>
      <c r="M5" s="362"/>
      <c r="N5" s="362"/>
      <c r="O5" s="362"/>
      <c r="P5" s="362"/>
      <c r="Q5" s="366" t="s">
        <v>1799</v>
      </c>
      <c r="R5" s="362"/>
      <c r="S5" s="362"/>
      <c r="T5" s="362"/>
      <c r="U5" s="362"/>
      <c r="V5" s="362"/>
      <c r="W5" s="362"/>
      <c r="X5" s="362"/>
      <c r="Y5" s="362"/>
      <c r="Z5" s="362"/>
      <c r="AA5" s="362"/>
      <c r="AB5" s="362"/>
      <c r="AC5" s="357"/>
      <c r="AD5" s="357"/>
      <c r="AE5" s="357"/>
      <c r="AF5" s="357"/>
      <c r="AG5" s="357"/>
      <c r="AH5" s="357"/>
      <c r="AI5" s="357"/>
      <c r="AJ5" s="357"/>
      <c r="AK5" s="357"/>
      <c r="AL5" s="357"/>
      <c r="AM5" s="358"/>
      <c r="AN5" s="358"/>
      <c r="AO5" s="358"/>
      <c r="AP5" s="358"/>
      <c r="AQ5" s="358"/>
      <c r="AR5" s="358"/>
      <c r="AS5" s="358"/>
      <c r="AT5" s="358"/>
      <c r="AU5" s="358"/>
      <c r="AV5" s="358"/>
      <c r="AW5" s="358"/>
      <c r="AX5" s="358"/>
      <c r="AY5" s="358"/>
    </row>
    <row r="6" spans="1:51" x14ac:dyDescent="0.4">
      <c r="A6" s="367"/>
      <c r="B6" s="368"/>
      <c r="C6" s="369"/>
      <c r="D6" s="370"/>
      <c r="E6" s="370"/>
      <c r="F6" s="370"/>
      <c r="G6" s="370"/>
      <c r="H6" s="371" t="s">
        <v>1800</v>
      </c>
      <c r="I6" s="370"/>
      <c r="J6" s="370"/>
      <c r="K6" s="370"/>
      <c r="L6" s="370"/>
      <c r="M6" s="370"/>
      <c r="N6" s="372"/>
      <c r="O6" s="362"/>
      <c r="P6" s="362"/>
      <c r="Q6" s="366" t="s">
        <v>1801</v>
      </c>
      <c r="R6" s="362"/>
      <c r="S6" s="362"/>
      <c r="T6" s="362"/>
      <c r="U6" s="362"/>
      <c r="V6" s="362"/>
      <c r="W6" s="362"/>
      <c r="X6" s="362"/>
      <c r="Y6" s="362"/>
      <c r="Z6" s="362"/>
      <c r="AA6" s="362"/>
      <c r="AB6" s="362"/>
      <c r="AC6" s="357"/>
      <c r="AD6" s="357"/>
      <c r="AE6" s="357"/>
      <c r="AF6" s="357"/>
      <c r="AG6" s="357"/>
      <c r="AH6" s="357"/>
      <c r="AI6" s="357"/>
      <c r="AJ6" s="357"/>
      <c r="AK6" s="357"/>
      <c r="AL6" s="357"/>
      <c r="AM6" s="358"/>
      <c r="AN6" s="358"/>
      <c r="AO6" s="358"/>
      <c r="AP6" s="358"/>
      <c r="AQ6" s="358"/>
      <c r="AR6" s="358"/>
      <c r="AS6" s="358"/>
      <c r="AT6" s="358"/>
      <c r="AU6" s="358"/>
      <c r="AV6" s="358"/>
      <c r="AW6" s="358"/>
      <c r="AX6" s="358"/>
      <c r="AY6" s="358"/>
    </row>
    <row r="7" spans="1:51" s="378" customFormat="1" thickBot="1" x14ac:dyDescent="0.4">
      <c r="A7" s="367"/>
      <c r="B7" s="368"/>
      <c r="C7" s="373" t="s">
        <v>1802</v>
      </c>
      <c r="D7" s="374">
        <v>2</v>
      </c>
      <c r="E7" s="375">
        <v>3</v>
      </c>
      <c r="F7" s="376">
        <v>4</v>
      </c>
      <c r="G7" s="376">
        <v>5</v>
      </c>
      <c r="H7" s="375">
        <v>6</v>
      </c>
      <c r="I7" s="376">
        <v>7</v>
      </c>
      <c r="J7" s="376">
        <v>8</v>
      </c>
      <c r="K7" s="375">
        <v>9</v>
      </c>
      <c r="L7" s="376">
        <v>10</v>
      </c>
      <c r="M7" s="376">
        <v>11</v>
      </c>
      <c r="N7" s="377">
        <v>12</v>
      </c>
      <c r="O7" s="362"/>
      <c r="P7" s="362"/>
      <c r="Q7" s="362"/>
      <c r="R7" s="362" t="s">
        <v>1803</v>
      </c>
      <c r="S7" s="1"/>
      <c r="T7" s="362"/>
      <c r="U7" s="362"/>
      <c r="V7" s="362"/>
      <c r="W7" s="362"/>
      <c r="X7" s="362"/>
      <c r="Y7" s="362"/>
      <c r="Z7" s="362"/>
      <c r="AA7" s="362"/>
      <c r="AB7" s="362"/>
      <c r="AC7" s="357"/>
      <c r="AD7" s="357"/>
      <c r="AE7" s="357"/>
      <c r="AF7" s="357"/>
      <c r="AG7" s="357"/>
      <c r="AH7" s="357"/>
      <c r="AI7" s="357"/>
      <c r="AJ7" s="357"/>
      <c r="AK7" s="357"/>
      <c r="AL7" s="357"/>
      <c r="AM7" s="358"/>
      <c r="AN7" s="358"/>
      <c r="AO7" s="358"/>
      <c r="AP7" s="358"/>
      <c r="AQ7" s="358"/>
      <c r="AR7" s="358"/>
      <c r="AS7" s="358"/>
      <c r="AT7" s="358"/>
      <c r="AU7" s="367"/>
      <c r="AV7" s="367"/>
      <c r="AW7" s="367"/>
      <c r="AX7" s="367"/>
      <c r="AY7" s="367"/>
    </row>
    <row r="8" spans="1:51" s="378" customFormat="1" ht="15" x14ac:dyDescent="0.35">
      <c r="A8" s="367"/>
      <c r="B8" s="368"/>
      <c r="C8" s="379"/>
      <c r="D8" s="380"/>
      <c r="E8" s="381"/>
      <c r="F8" s="379"/>
      <c r="G8" s="380"/>
      <c r="H8" s="381"/>
      <c r="I8" s="382"/>
      <c r="J8" s="383"/>
      <c r="K8" s="384"/>
      <c r="L8" s="382"/>
      <c r="M8" s="383"/>
      <c r="N8" s="385">
        <v>90</v>
      </c>
      <c r="O8" s="362"/>
      <c r="P8" s="362"/>
      <c r="Q8" s="362"/>
      <c r="R8" s="362" t="s">
        <v>1804</v>
      </c>
      <c r="S8" s="1"/>
      <c r="T8" s="362"/>
      <c r="U8" s="362"/>
      <c r="V8" s="362"/>
      <c r="W8" s="362"/>
      <c r="X8" s="362"/>
      <c r="Y8" s="362"/>
      <c r="Z8" s="362"/>
      <c r="AA8" s="362"/>
      <c r="AB8" s="362"/>
      <c r="AC8" s="357"/>
      <c r="AD8" s="357"/>
      <c r="AE8" s="357"/>
      <c r="AF8" s="357"/>
      <c r="AG8" s="357"/>
      <c r="AH8" s="357"/>
      <c r="AI8" s="357"/>
      <c r="AJ8" s="357"/>
      <c r="AK8" s="357"/>
      <c r="AL8" s="357"/>
      <c r="AM8" s="358"/>
      <c r="AN8" s="358"/>
      <c r="AO8" s="358"/>
      <c r="AP8" s="358"/>
      <c r="AQ8" s="358"/>
      <c r="AR8" s="358"/>
      <c r="AS8" s="358"/>
      <c r="AT8" s="358"/>
      <c r="AU8" s="367"/>
      <c r="AV8" s="367"/>
      <c r="AW8" s="367"/>
      <c r="AX8" s="367"/>
      <c r="AY8" s="367"/>
    </row>
    <row r="9" spans="1:51" s="6" customFormat="1" ht="15.65" customHeight="1" x14ac:dyDescent="0.35">
      <c r="A9" s="367"/>
      <c r="B9" s="368"/>
      <c r="C9" s="386"/>
      <c r="D9" s="386"/>
      <c r="E9" s="386"/>
      <c r="F9" s="387"/>
      <c r="G9" s="387"/>
      <c r="H9" s="387"/>
      <c r="I9" s="388"/>
      <c r="J9" s="388"/>
      <c r="K9" s="388"/>
      <c r="L9" s="389"/>
      <c r="M9" s="390">
        <v>90</v>
      </c>
      <c r="N9" s="390">
        <v>90</v>
      </c>
      <c r="O9" s="362"/>
      <c r="P9" s="362"/>
      <c r="Q9" s="362"/>
      <c r="R9" s="362" t="s">
        <v>1805</v>
      </c>
      <c r="S9" s="1"/>
      <c r="T9" s="362"/>
      <c r="U9" s="362"/>
      <c r="V9" s="362"/>
      <c r="W9" s="362"/>
      <c r="X9" s="362"/>
      <c r="Y9" s="362"/>
      <c r="Z9" s="362"/>
      <c r="AA9" s="362"/>
      <c r="AB9" s="362"/>
      <c r="AC9" s="357"/>
      <c r="AD9" s="357"/>
      <c r="AE9" s="357"/>
      <c r="AF9" s="357"/>
      <c r="AG9" s="357"/>
      <c r="AH9" s="357"/>
      <c r="AI9" s="357"/>
      <c r="AJ9" s="357"/>
      <c r="AK9" s="357"/>
      <c r="AL9" s="357"/>
      <c r="AM9" s="358"/>
      <c r="AN9" s="358"/>
      <c r="AO9" s="358"/>
      <c r="AP9" s="358"/>
      <c r="AQ9" s="358"/>
      <c r="AR9" s="358"/>
      <c r="AS9" s="358"/>
      <c r="AT9" s="358"/>
      <c r="AU9" s="1"/>
      <c r="AV9" s="1"/>
      <c r="AW9" s="1"/>
      <c r="AX9" s="1"/>
      <c r="AY9" s="1"/>
    </row>
    <row r="10" spans="1:51" s="6" customFormat="1" ht="15.65" customHeight="1" x14ac:dyDescent="0.35">
      <c r="A10" s="367"/>
      <c r="B10" s="368"/>
      <c r="C10" s="386"/>
      <c r="D10" s="386"/>
      <c r="E10" s="386"/>
      <c r="F10" s="387"/>
      <c r="G10" s="387"/>
      <c r="H10" s="387"/>
      <c r="I10" s="388"/>
      <c r="J10" s="388"/>
      <c r="K10" s="388"/>
      <c r="L10" s="390">
        <v>90</v>
      </c>
      <c r="M10" s="390">
        <v>90</v>
      </c>
      <c r="N10" s="390">
        <v>90</v>
      </c>
      <c r="O10" s="362"/>
      <c r="P10" s="362"/>
      <c r="Q10" s="366" t="s">
        <v>1806</v>
      </c>
      <c r="R10" s="362"/>
      <c r="S10" s="362"/>
      <c r="T10" s="362"/>
      <c r="U10" s="362"/>
      <c r="V10" s="362"/>
      <c r="W10" s="362"/>
      <c r="X10" s="362"/>
      <c r="Y10" s="362"/>
      <c r="Z10" s="362"/>
      <c r="AA10" s="362"/>
      <c r="AB10" s="362"/>
      <c r="AC10" s="357"/>
      <c r="AD10" s="357"/>
      <c r="AE10" s="357"/>
      <c r="AF10" s="357"/>
      <c r="AG10" s="357"/>
      <c r="AH10" s="357"/>
      <c r="AI10" s="357"/>
      <c r="AJ10" s="357"/>
      <c r="AK10" s="357"/>
      <c r="AL10" s="357"/>
      <c r="AM10" s="358"/>
      <c r="AN10" s="358"/>
      <c r="AO10" s="358"/>
      <c r="AP10" s="358"/>
      <c r="AQ10" s="358"/>
      <c r="AR10" s="358"/>
      <c r="AS10" s="358"/>
      <c r="AT10" s="358"/>
      <c r="AU10" s="1"/>
      <c r="AV10" s="1"/>
      <c r="AW10" s="1"/>
      <c r="AX10" s="1"/>
      <c r="AY10" s="1"/>
    </row>
    <row r="11" spans="1:51" s="6" customFormat="1" ht="15.65" customHeight="1" x14ac:dyDescent="0.35">
      <c r="A11" s="367"/>
      <c r="B11" s="368"/>
      <c r="C11" s="386"/>
      <c r="D11" s="386"/>
      <c r="E11" s="386"/>
      <c r="F11" s="387"/>
      <c r="G11" s="387"/>
      <c r="H11" s="387"/>
      <c r="I11" s="388"/>
      <c r="J11" s="388"/>
      <c r="K11" s="390">
        <v>90</v>
      </c>
      <c r="L11" s="390">
        <v>90</v>
      </c>
      <c r="M11" s="390">
        <v>90</v>
      </c>
      <c r="N11" s="390">
        <v>90</v>
      </c>
      <c r="O11" s="362"/>
      <c r="P11" s="362"/>
      <c r="Q11" s="366" t="s">
        <v>1807</v>
      </c>
      <c r="R11" s="362"/>
      <c r="S11" s="362"/>
      <c r="T11" s="362"/>
      <c r="U11" s="362"/>
      <c r="V11" s="362"/>
      <c r="W11" s="362"/>
      <c r="X11" s="362"/>
      <c r="Y11" s="362"/>
      <c r="Z11" s="362"/>
      <c r="AA11" s="362"/>
      <c r="AB11" s="362"/>
      <c r="AC11" s="357"/>
      <c r="AD11" s="357"/>
      <c r="AE11" s="357"/>
      <c r="AF11" s="357"/>
      <c r="AG11" s="357"/>
      <c r="AH11" s="357"/>
      <c r="AI11" s="357"/>
      <c r="AJ11" s="357"/>
      <c r="AK11" s="357"/>
      <c r="AL11" s="357"/>
      <c r="AM11" s="358"/>
      <c r="AN11" s="358"/>
      <c r="AO11" s="358"/>
      <c r="AP11" s="358"/>
      <c r="AQ11" s="358"/>
      <c r="AR11" s="358"/>
      <c r="AS11" s="358"/>
      <c r="AT11" s="358"/>
      <c r="AU11" s="1"/>
      <c r="AV11" s="1"/>
      <c r="AW11" s="1"/>
      <c r="AX11" s="1"/>
      <c r="AY11" s="1"/>
    </row>
    <row r="12" spans="1:51" s="6" customFormat="1" ht="15.65" customHeight="1" x14ac:dyDescent="0.35">
      <c r="A12" s="367"/>
      <c r="B12" s="368"/>
      <c r="C12" s="391"/>
      <c r="D12" s="391"/>
      <c r="E12" s="391"/>
      <c r="F12" s="392"/>
      <c r="G12" s="392"/>
      <c r="H12" s="392"/>
      <c r="I12" s="393"/>
      <c r="J12" s="390">
        <v>90</v>
      </c>
      <c r="K12" s="390">
        <v>90</v>
      </c>
      <c r="L12" s="390">
        <v>90</v>
      </c>
      <c r="M12" s="390">
        <v>90</v>
      </c>
      <c r="N12" s="390">
        <v>90</v>
      </c>
      <c r="O12" s="362"/>
      <c r="P12" s="362"/>
      <c r="Q12" s="366" t="s">
        <v>1808</v>
      </c>
      <c r="R12" s="362"/>
      <c r="S12" s="362"/>
      <c r="T12" s="362"/>
      <c r="U12" s="362"/>
      <c r="V12" s="362"/>
      <c r="W12" s="362"/>
      <c r="X12" s="362"/>
      <c r="Y12" s="362"/>
      <c r="Z12" s="362"/>
      <c r="AA12" s="362"/>
      <c r="AB12" s="362"/>
      <c r="AC12" s="357"/>
      <c r="AD12" s="357"/>
      <c r="AE12" s="357"/>
      <c r="AF12" s="357"/>
      <c r="AG12" s="357"/>
      <c r="AH12" s="357"/>
      <c r="AI12" s="357"/>
      <c r="AJ12" s="357"/>
      <c r="AK12" s="357"/>
      <c r="AL12" s="357"/>
      <c r="AM12" s="358"/>
      <c r="AN12" s="358"/>
      <c r="AO12" s="358"/>
      <c r="AP12" s="358"/>
      <c r="AQ12" s="358"/>
      <c r="AR12" s="358"/>
      <c r="AS12" s="358"/>
      <c r="AT12" s="358"/>
      <c r="AU12" s="1"/>
      <c r="AV12" s="1"/>
      <c r="AW12" s="1"/>
      <c r="AX12" s="1"/>
      <c r="AY12" s="1"/>
    </row>
    <row r="13" spans="1:51" s="6" customFormat="1" ht="15.65" customHeight="1" x14ac:dyDescent="0.35">
      <c r="A13" s="367"/>
      <c r="B13" s="368"/>
      <c r="C13" s="394"/>
      <c r="D13" s="395"/>
      <c r="E13" s="396"/>
      <c r="F13" s="397"/>
      <c r="G13" s="395"/>
      <c r="H13" s="396"/>
      <c r="I13" s="390">
        <v>90</v>
      </c>
      <c r="J13" s="390">
        <v>90</v>
      </c>
      <c r="K13" s="390">
        <v>90</v>
      </c>
      <c r="L13" s="390">
        <v>90</v>
      </c>
      <c r="M13" s="390">
        <v>90</v>
      </c>
      <c r="N13" s="390">
        <v>90</v>
      </c>
      <c r="O13" s="362"/>
      <c r="P13" s="362"/>
      <c r="Q13" s="366" t="s">
        <v>1809</v>
      </c>
      <c r="R13" s="362"/>
      <c r="S13" s="362"/>
      <c r="T13" s="362"/>
      <c r="U13" s="362"/>
      <c r="V13" s="362"/>
      <c r="W13" s="362"/>
      <c r="X13" s="362"/>
      <c r="Y13" s="362"/>
      <c r="Z13" s="362"/>
      <c r="AA13" s="362"/>
      <c r="AB13" s="362"/>
      <c r="AC13" s="357"/>
      <c r="AD13" s="357"/>
      <c r="AE13" s="357"/>
      <c r="AF13" s="357"/>
      <c r="AG13" s="357"/>
      <c r="AH13" s="357"/>
      <c r="AI13" s="357"/>
      <c r="AJ13" s="357"/>
      <c r="AK13" s="357"/>
      <c r="AL13" s="357"/>
      <c r="AM13" s="358"/>
      <c r="AN13" s="358"/>
      <c r="AO13" s="358"/>
      <c r="AP13" s="358"/>
      <c r="AQ13" s="358"/>
      <c r="AR13" s="358"/>
      <c r="AS13" s="358"/>
      <c r="AT13" s="358"/>
      <c r="AU13" s="1"/>
      <c r="AV13" s="1"/>
      <c r="AW13" s="1"/>
      <c r="AX13" s="1"/>
      <c r="AY13" s="1"/>
    </row>
    <row r="14" spans="1:51" s="6" customFormat="1" ht="15.65" customHeight="1" x14ac:dyDescent="0.35">
      <c r="A14" s="367"/>
      <c r="B14" s="368"/>
      <c r="C14" s="388"/>
      <c r="D14" s="388"/>
      <c r="E14" s="388"/>
      <c r="F14" s="389"/>
      <c r="G14" s="389"/>
      <c r="H14" s="390">
        <v>90</v>
      </c>
      <c r="I14" s="390">
        <v>90</v>
      </c>
      <c r="J14" s="390">
        <v>90</v>
      </c>
      <c r="K14" s="390">
        <v>90</v>
      </c>
      <c r="L14" s="390">
        <v>90</v>
      </c>
      <c r="M14" s="390">
        <v>90</v>
      </c>
      <c r="N14" s="390">
        <v>90</v>
      </c>
      <c r="O14" s="362"/>
      <c r="P14" s="362"/>
      <c r="Q14" s="366" t="s">
        <v>1810</v>
      </c>
      <c r="R14" s="362"/>
      <c r="S14" s="362"/>
      <c r="T14" s="362"/>
      <c r="U14" s="362"/>
      <c r="V14" s="362"/>
      <c r="W14" s="362"/>
      <c r="X14" s="362"/>
      <c r="Y14" s="362"/>
      <c r="Z14" s="362"/>
      <c r="AA14" s="362"/>
      <c r="AB14" s="362"/>
      <c r="AC14" s="357"/>
      <c r="AD14" s="357"/>
      <c r="AE14" s="357"/>
      <c r="AF14" s="357"/>
      <c r="AG14" s="357"/>
      <c r="AH14" s="357"/>
      <c r="AI14" s="357"/>
      <c r="AJ14" s="357"/>
      <c r="AK14" s="357"/>
      <c r="AL14" s="357"/>
      <c r="AM14" s="358"/>
      <c r="AN14" s="358"/>
      <c r="AO14" s="358"/>
      <c r="AP14" s="358"/>
      <c r="AQ14" s="358"/>
      <c r="AR14" s="358"/>
      <c r="AS14" s="358"/>
      <c r="AT14" s="358"/>
      <c r="AU14" s="1"/>
      <c r="AV14" s="1"/>
      <c r="AW14" s="1"/>
      <c r="AX14" s="1"/>
      <c r="AY14" s="1"/>
    </row>
    <row r="15" spans="1:51" s="6" customFormat="1" ht="15.65" customHeight="1" x14ac:dyDescent="0.35">
      <c r="A15" s="367"/>
      <c r="B15" s="368"/>
      <c r="C15" s="388"/>
      <c r="D15" s="388"/>
      <c r="E15" s="388"/>
      <c r="F15" s="389"/>
      <c r="G15" s="390">
        <v>90</v>
      </c>
      <c r="H15" s="390">
        <v>90</v>
      </c>
      <c r="I15" s="390">
        <v>90</v>
      </c>
      <c r="J15" s="390">
        <v>90</v>
      </c>
      <c r="K15" s="390">
        <v>90</v>
      </c>
      <c r="L15" s="390">
        <v>90</v>
      </c>
      <c r="M15" s="390">
        <v>90</v>
      </c>
      <c r="N15" s="390">
        <v>90</v>
      </c>
      <c r="O15" s="362"/>
      <c r="P15" s="362"/>
      <c r="Q15" s="362"/>
      <c r="R15" s="362"/>
      <c r="S15" s="362"/>
      <c r="T15" s="362"/>
      <c r="U15" s="362"/>
      <c r="V15" s="362"/>
      <c r="W15" s="362"/>
      <c r="X15" s="362"/>
      <c r="Y15" s="362"/>
      <c r="Z15" s="362"/>
      <c r="AA15" s="362"/>
      <c r="AB15" s="362"/>
      <c r="AC15" s="357"/>
      <c r="AD15" s="357"/>
      <c r="AE15" s="357"/>
      <c r="AF15" s="357"/>
      <c r="AG15" s="357"/>
      <c r="AH15" s="357"/>
      <c r="AI15" s="357"/>
      <c r="AJ15" s="357"/>
      <c r="AK15" s="357"/>
      <c r="AL15" s="357"/>
      <c r="AM15" s="358"/>
      <c r="AN15" s="358"/>
      <c r="AO15" s="358"/>
      <c r="AP15" s="358"/>
      <c r="AQ15" s="358"/>
      <c r="AR15" s="358"/>
      <c r="AS15" s="358"/>
      <c r="AT15" s="358"/>
      <c r="AU15" s="1"/>
      <c r="AV15" s="1"/>
      <c r="AW15" s="1"/>
      <c r="AX15" s="1"/>
      <c r="AY15" s="1"/>
    </row>
    <row r="16" spans="1:51" s="6" customFormat="1" ht="15.65" customHeight="1" x14ac:dyDescent="0.35">
      <c r="A16" s="367"/>
      <c r="B16" s="368"/>
      <c r="C16" s="388"/>
      <c r="D16" s="388"/>
      <c r="E16" s="388"/>
      <c r="F16" s="390">
        <v>90</v>
      </c>
      <c r="G16" s="390">
        <v>90</v>
      </c>
      <c r="H16" s="390">
        <v>90</v>
      </c>
      <c r="I16" s="390">
        <v>90</v>
      </c>
      <c r="J16" s="390">
        <v>90</v>
      </c>
      <c r="K16" s="390">
        <v>90</v>
      </c>
      <c r="L16" s="390">
        <v>90</v>
      </c>
      <c r="M16" s="390">
        <v>90</v>
      </c>
      <c r="N16" s="390">
        <v>90</v>
      </c>
      <c r="O16" s="362"/>
      <c r="P16" s="362"/>
      <c r="Q16" s="362"/>
      <c r="R16" s="362"/>
      <c r="S16" s="362"/>
      <c r="T16" s="362"/>
      <c r="U16" s="362"/>
      <c r="V16" s="362"/>
      <c r="W16" s="365" t="s">
        <v>1811</v>
      </c>
      <c r="X16" s="362"/>
      <c r="Y16" s="362"/>
      <c r="Z16" s="362"/>
      <c r="AA16" s="362"/>
      <c r="AB16" s="362"/>
      <c r="AC16" s="357"/>
      <c r="AD16" s="357"/>
      <c r="AE16" s="357"/>
      <c r="AF16" s="357"/>
      <c r="AG16" s="357"/>
      <c r="AH16" s="357"/>
      <c r="AI16" s="357"/>
      <c r="AJ16" s="357"/>
      <c r="AK16" s="357"/>
      <c r="AL16" s="357"/>
      <c r="AM16" s="358"/>
      <c r="AN16" s="358"/>
      <c r="AO16" s="358"/>
      <c r="AP16" s="358"/>
      <c r="AQ16" s="358"/>
      <c r="AR16" s="358"/>
      <c r="AS16" s="358"/>
      <c r="AT16" s="358"/>
      <c r="AU16" s="1"/>
      <c r="AV16" s="1"/>
      <c r="AW16" s="1"/>
      <c r="AX16" s="1"/>
      <c r="AY16" s="1"/>
    </row>
    <row r="17" spans="1:51" s="6" customFormat="1" ht="15.65" customHeight="1" x14ac:dyDescent="0.35">
      <c r="A17" s="367"/>
      <c r="B17" s="368"/>
      <c r="C17" s="388"/>
      <c r="D17" s="388"/>
      <c r="E17" s="390">
        <v>90</v>
      </c>
      <c r="F17" s="390">
        <v>90</v>
      </c>
      <c r="G17" s="390">
        <v>90</v>
      </c>
      <c r="H17" s="390">
        <v>90</v>
      </c>
      <c r="I17" s="390">
        <v>90</v>
      </c>
      <c r="J17" s="390">
        <v>90</v>
      </c>
      <c r="K17" s="390">
        <v>90</v>
      </c>
      <c r="L17" s="390">
        <v>90</v>
      </c>
      <c r="M17" s="390">
        <v>90</v>
      </c>
      <c r="N17" s="390">
        <v>90</v>
      </c>
      <c r="O17" s="362"/>
      <c r="P17" s="362"/>
      <c r="Q17" s="362"/>
      <c r="R17" s="362"/>
      <c r="S17" s="362"/>
      <c r="T17" s="362"/>
      <c r="U17" s="362"/>
      <c r="V17" s="362"/>
      <c r="W17" s="398" t="s">
        <v>1812</v>
      </c>
      <c r="X17" s="398" t="s">
        <v>1813</v>
      </c>
      <c r="Y17" s="398" t="s">
        <v>1814</v>
      </c>
      <c r="Z17" s="362"/>
      <c r="AA17" s="362"/>
      <c r="AB17" s="362"/>
      <c r="AC17" s="357"/>
      <c r="AD17" s="357"/>
      <c r="AE17" s="357"/>
      <c r="AF17" s="357"/>
      <c r="AG17" s="357"/>
      <c r="AH17" s="357"/>
      <c r="AI17" s="357"/>
      <c r="AJ17" s="357"/>
      <c r="AK17" s="357"/>
      <c r="AL17" s="357"/>
      <c r="AM17" s="358"/>
      <c r="AN17" s="358"/>
      <c r="AO17" s="358"/>
      <c r="AP17" s="358"/>
      <c r="AQ17" s="358"/>
      <c r="AR17" s="358"/>
      <c r="AS17" s="358"/>
      <c r="AT17" s="358"/>
      <c r="AU17" s="1"/>
      <c r="AV17" s="1"/>
      <c r="AW17" s="1"/>
      <c r="AX17" s="1"/>
      <c r="AY17" s="1"/>
    </row>
    <row r="18" spans="1:51" s="378" customFormat="1" ht="15.65" customHeight="1" x14ac:dyDescent="0.35">
      <c r="A18" s="367"/>
      <c r="B18" s="368"/>
      <c r="C18" s="388"/>
      <c r="D18" s="390">
        <v>90</v>
      </c>
      <c r="E18" s="390">
        <v>90</v>
      </c>
      <c r="F18" s="390">
        <v>90</v>
      </c>
      <c r="G18" s="390">
        <v>90</v>
      </c>
      <c r="H18" s="390">
        <v>90</v>
      </c>
      <c r="I18" s="390">
        <v>90</v>
      </c>
      <c r="J18" s="390">
        <v>90</v>
      </c>
      <c r="K18" s="390">
        <v>90</v>
      </c>
      <c r="L18" s="390">
        <v>90</v>
      </c>
      <c r="M18" s="390">
        <v>90</v>
      </c>
      <c r="N18" s="390">
        <v>90</v>
      </c>
      <c r="O18" s="362"/>
      <c r="P18" s="362"/>
      <c r="Q18" s="362"/>
      <c r="R18" s="362"/>
      <c r="S18" s="362"/>
      <c r="T18" s="362"/>
      <c r="U18" s="362"/>
      <c r="V18" s="362"/>
      <c r="W18" s="399">
        <v>0.5</v>
      </c>
      <c r="X18" s="400">
        <v>9</v>
      </c>
      <c r="Y18" s="401">
        <f>X18/12*W18</f>
        <v>0.375</v>
      </c>
      <c r="Z18" s="362"/>
      <c r="AA18" s="362"/>
      <c r="AB18" s="362"/>
      <c r="AC18" s="357"/>
      <c r="AD18" s="357"/>
      <c r="AE18" s="357"/>
      <c r="AF18" s="357"/>
      <c r="AG18" s="357"/>
      <c r="AH18" s="357"/>
      <c r="AI18" s="357"/>
      <c r="AJ18" s="357"/>
      <c r="AK18" s="357"/>
      <c r="AL18" s="357"/>
      <c r="AM18" s="358"/>
      <c r="AN18" s="358"/>
      <c r="AO18" s="358"/>
      <c r="AP18" s="358"/>
      <c r="AQ18" s="358"/>
      <c r="AR18" s="358"/>
      <c r="AS18" s="358"/>
      <c r="AT18" s="358"/>
      <c r="AU18" s="367"/>
      <c r="AV18" s="367"/>
      <c r="AW18" s="367"/>
      <c r="AX18" s="367"/>
      <c r="AY18" s="367"/>
    </row>
    <row r="19" spans="1:51" s="402" customFormat="1" ht="15.65" customHeight="1" x14ac:dyDescent="0.35">
      <c r="A19" s="367"/>
      <c r="B19" s="368"/>
      <c r="C19" s="390">
        <v>90</v>
      </c>
      <c r="D19" s="390">
        <v>90</v>
      </c>
      <c r="E19" s="390">
        <v>90</v>
      </c>
      <c r="F19" s="390">
        <v>90</v>
      </c>
      <c r="G19" s="390">
        <v>90</v>
      </c>
      <c r="H19" s="390">
        <v>90</v>
      </c>
      <c r="I19" s="390">
        <v>90</v>
      </c>
      <c r="J19" s="390">
        <v>90</v>
      </c>
      <c r="K19" s="390">
        <v>90</v>
      </c>
      <c r="L19" s="390">
        <v>90</v>
      </c>
      <c r="M19" s="390">
        <v>90</v>
      </c>
      <c r="N19" s="390">
        <v>90</v>
      </c>
      <c r="O19" s="362"/>
      <c r="P19" s="362"/>
      <c r="Q19" s="362"/>
      <c r="R19" s="362"/>
      <c r="S19" s="362"/>
      <c r="T19" s="362"/>
      <c r="U19" s="362"/>
      <c r="V19" s="362"/>
      <c r="W19" s="399">
        <v>0.9</v>
      </c>
      <c r="X19" s="400">
        <v>3</v>
      </c>
      <c r="Y19" s="401">
        <f>X19/12*W19</f>
        <v>0.22500000000000001</v>
      </c>
      <c r="Z19" s="362"/>
      <c r="AA19" s="362"/>
      <c r="AB19" s="362"/>
      <c r="AC19" s="357"/>
      <c r="AD19" s="357"/>
      <c r="AE19" s="357"/>
      <c r="AF19" s="357"/>
      <c r="AG19" s="357"/>
      <c r="AH19" s="357"/>
      <c r="AI19" s="357"/>
      <c r="AJ19" s="357"/>
      <c r="AK19" s="357"/>
      <c r="AL19" s="357"/>
      <c r="AM19" s="358"/>
      <c r="AN19" s="358"/>
      <c r="AO19" s="358"/>
      <c r="AP19" s="358"/>
      <c r="AQ19" s="358"/>
      <c r="AR19" s="358"/>
      <c r="AS19" s="358"/>
      <c r="AT19" s="358"/>
      <c r="AU19" s="8"/>
      <c r="AV19" s="8"/>
      <c r="AW19" s="8"/>
      <c r="AX19" s="8"/>
      <c r="AY19" s="8"/>
    </row>
    <row r="20" spans="1:51" s="402" customFormat="1" ht="15" x14ac:dyDescent="0.35">
      <c r="A20" s="367"/>
      <c r="B20" s="368"/>
      <c r="C20" s="368"/>
      <c r="D20" s="368"/>
      <c r="E20" s="368"/>
      <c r="F20" s="368"/>
      <c r="G20" s="368"/>
      <c r="H20" s="368"/>
      <c r="I20" s="368"/>
      <c r="J20" s="368"/>
      <c r="K20" s="368"/>
      <c r="L20" s="368"/>
      <c r="M20" s="368"/>
      <c r="N20" s="368"/>
      <c r="O20" s="368"/>
      <c r="P20" s="368"/>
      <c r="Q20" s="368"/>
      <c r="R20" s="362"/>
      <c r="S20" s="362"/>
      <c r="T20" s="362"/>
      <c r="U20" s="362"/>
      <c r="V20" s="362"/>
      <c r="W20" s="362"/>
      <c r="X20" s="362"/>
      <c r="Y20" s="497">
        <f>SUM(Y18:Y19)</f>
        <v>0.6</v>
      </c>
      <c r="Z20" s="362"/>
      <c r="AA20" s="362"/>
      <c r="AB20" s="362"/>
      <c r="AC20" s="357"/>
      <c r="AD20" s="357"/>
      <c r="AE20" s="357"/>
      <c r="AF20" s="357"/>
      <c r="AG20" s="357"/>
      <c r="AH20" s="357"/>
      <c r="AI20" s="357"/>
      <c r="AJ20" s="357"/>
      <c r="AK20" s="357"/>
      <c r="AL20" s="357"/>
      <c r="AM20" s="358"/>
      <c r="AN20" s="358"/>
      <c r="AO20" s="358"/>
      <c r="AP20" s="358"/>
      <c r="AQ20" s="358"/>
      <c r="AR20" s="358"/>
      <c r="AS20" s="358"/>
      <c r="AT20" s="358"/>
      <c r="AU20" s="8"/>
      <c r="AV20" s="8"/>
      <c r="AW20" s="8"/>
      <c r="AX20" s="8"/>
      <c r="AY20" s="8"/>
    </row>
    <row r="21" spans="1:51" s="402" customFormat="1" ht="15" x14ac:dyDescent="0.35">
      <c r="A21" s="367" t="s">
        <v>1815</v>
      </c>
      <c r="B21" s="403">
        <v>1200</v>
      </c>
      <c r="C21" s="404">
        <f>$B$21/12</f>
        <v>100</v>
      </c>
      <c r="D21" s="404">
        <f t="shared" ref="D21:M21" si="0">$B$21/12</f>
        <v>100</v>
      </c>
      <c r="E21" s="404">
        <f t="shared" si="0"/>
        <v>100</v>
      </c>
      <c r="F21" s="404">
        <f t="shared" si="0"/>
        <v>100</v>
      </c>
      <c r="G21" s="404">
        <f t="shared" si="0"/>
        <v>100</v>
      </c>
      <c r="H21" s="404">
        <f t="shared" si="0"/>
        <v>100</v>
      </c>
      <c r="I21" s="404">
        <f t="shared" si="0"/>
        <v>100</v>
      </c>
      <c r="J21" s="404">
        <f t="shared" si="0"/>
        <v>100</v>
      </c>
      <c r="K21" s="404">
        <f t="shared" si="0"/>
        <v>100</v>
      </c>
      <c r="L21" s="404">
        <f t="shared" si="0"/>
        <v>100</v>
      </c>
      <c r="M21" s="404">
        <f t="shared" si="0"/>
        <v>100</v>
      </c>
      <c r="N21" s="404">
        <f>$B$21/12</f>
        <v>100</v>
      </c>
      <c r="O21" s="362"/>
      <c r="P21" s="362"/>
      <c r="Q21" s="362"/>
      <c r="R21" s="362"/>
      <c r="S21" s="362"/>
      <c r="T21" s="362"/>
      <c r="U21" s="362"/>
      <c r="V21" s="362"/>
      <c r="W21" s="362"/>
      <c r="X21" s="362"/>
      <c r="Y21" s="362"/>
      <c r="Z21" s="362"/>
      <c r="AA21" s="362"/>
      <c r="AB21" s="362"/>
      <c r="AC21" s="357"/>
      <c r="AD21" s="357"/>
      <c r="AE21" s="357"/>
      <c r="AF21" s="357"/>
      <c r="AG21" s="357"/>
      <c r="AH21" s="357"/>
      <c r="AI21" s="357"/>
      <c r="AJ21" s="357"/>
      <c r="AK21" s="357"/>
      <c r="AL21" s="357"/>
      <c r="AM21" s="358"/>
      <c r="AN21" s="358"/>
      <c r="AO21" s="358"/>
      <c r="AP21" s="358"/>
      <c r="AQ21" s="358"/>
      <c r="AR21" s="358"/>
      <c r="AS21" s="358"/>
      <c r="AT21" s="358"/>
      <c r="AU21" s="8"/>
      <c r="AV21" s="8"/>
      <c r="AW21" s="8"/>
      <c r="AX21" s="8"/>
      <c r="AY21" s="8"/>
    </row>
    <row r="22" spans="1:51" s="402" customFormat="1" ht="15" x14ac:dyDescent="0.35">
      <c r="A22" s="367" t="s">
        <v>1816</v>
      </c>
      <c r="B22" s="405">
        <v>0.9</v>
      </c>
      <c r="C22" s="406"/>
      <c r="D22" s="406"/>
      <c r="E22" s="406"/>
      <c r="F22" s="406"/>
      <c r="G22" s="406"/>
      <c r="H22" s="406"/>
      <c r="I22" s="406"/>
      <c r="J22" s="406"/>
      <c r="K22" s="406"/>
      <c r="L22" s="406"/>
      <c r="M22" s="406"/>
      <c r="N22" s="406"/>
      <c r="O22" s="362"/>
      <c r="P22" s="362"/>
      <c r="Q22" s="362"/>
      <c r="R22" s="362"/>
      <c r="S22" s="362"/>
      <c r="T22" s="362"/>
      <c r="U22" s="362"/>
      <c r="V22" s="362"/>
      <c r="W22" s="362"/>
      <c r="X22" s="362"/>
      <c r="Y22" s="362"/>
      <c r="Z22" s="362"/>
      <c r="AA22" s="362"/>
      <c r="AB22" s="362"/>
      <c r="AC22" s="357"/>
      <c r="AD22" s="357"/>
      <c r="AE22" s="357"/>
      <c r="AF22" s="357"/>
      <c r="AG22" s="357"/>
      <c r="AH22" s="357"/>
      <c r="AI22" s="357"/>
      <c r="AJ22" s="357"/>
      <c r="AK22" s="357"/>
      <c r="AL22" s="357"/>
      <c r="AM22" s="358"/>
      <c r="AN22" s="358"/>
      <c r="AO22" s="358"/>
      <c r="AP22" s="358"/>
      <c r="AQ22" s="358"/>
      <c r="AR22" s="358"/>
      <c r="AS22" s="358"/>
      <c r="AT22" s="358"/>
      <c r="AU22" s="8"/>
      <c r="AV22" s="8"/>
      <c r="AW22" s="8"/>
      <c r="AX22" s="8"/>
      <c r="AY22" s="8"/>
    </row>
    <row r="23" spans="1:51" s="6" customFormat="1" ht="14.15" x14ac:dyDescent="0.35">
      <c r="A23" s="367" t="s">
        <v>1817</v>
      </c>
      <c r="B23" s="368"/>
      <c r="C23" s="407">
        <f>SUM(C8:C19)</f>
        <v>90</v>
      </c>
      <c r="D23" s="407">
        <f t="shared" ref="D23:N23" si="1">SUM(D8:D19)</f>
        <v>180</v>
      </c>
      <c r="E23" s="407">
        <f t="shared" si="1"/>
        <v>270</v>
      </c>
      <c r="F23" s="407">
        <f t="shared" si="1"/>
        <v>360</v>
      </c>
      <c r="G23" s="407">
        <f t="shared" si="1"/>
        <v>450</v>
      </c>
      <c r="H23" s="407">
        <f t="shared" si="1"/>
        <v>540</v>
      </c>
      <c r="I23" s="407">
        <f t="shared" si="1"/>
        <v>630</v>
      </c>
      <c r="J23" s="407">
        <f t="shared" si="1"/>
        <v>720</v>
      </c>
      <c r="K23" s="407">
        <f t="shared" si="1"/>
        <v>810</v>
      </c>
      <c r="L23" s="407">
        <f t="shared" si="1"/>
        <v>900</v>
      </c>
      <c r="M23" s="407">
        <f t="shared" si="1"/>
        <v>990</v>
      </c>
      <c r="N23" s="408">
        <f t="shared" si="1"/>
        <v>1080</v>
      </c>
      <c r="O23" s="409" t="s">
        <v>1818</v>
      </c>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1"/>
      <c r="AR23" s="1"/>
      <c r="AS23" s="1"/>
      <c r="AT23" s="1"/>
      <c r="AU23" s="1"/>
      <c r="AV23" s="1"/>
      <c r="AW23" s="1"/>
      <c r="AX23" s="1"/>
      <c r="AY23" s="1"/>
    </row>
    <row r="24" spans="1:51" ht="15" x14ac:dyDescent="0.35">
      <c r="A24" s="367" t="s">
        <v>1819</v>
      </c>
      <c r="B24" s="368"/>
      <c r="C24" s="410">
        <f>C23/$B$21</f>
        <v>7.4999999999999997E-2</v>
      </c>
      <c r="D24" s="410">
        <f t="shared" ref="D24:N24" si="2">D23/$B$21</f>
        <v>0.15</v>
      </c>
      <c r="E24" s="410">
        <f t="shared" si="2"/>
        <v>0.22500000000000001</v>
      </c>
      <c r="F24" s="410">
        <f t="shared" si="2"/>
        <v>0.3</v>
      </c>
      <c r="G24" s="410">
        <f t="shared" si="2"/>
        <v>0.375</v>
      </c>
      <c r="H24" s="410">
        <f t="shared" si="2"/>
        <v>0.45</v>
      </c>
      <c r="I24" s="410">
        <f t="shared" si="2"/>
        <v>0.52500000000000002</v>
      </c>
      <c r="J24" s="410">
        <f t="shared" si="2"/>
        <v>0.6</v>
      </c>
      <c r="K24" s="410">
        <f t="shared" si="2"/>
        <v>0.67500000000000004</v>
      </c>
      <c r="L24" s="410">
        <f t="shared" si="2"/>
        <v>0.75</v>
      </c>
      <c r="M24" s="410">
        <f t="shared" si="2"/>
        <v>0.82499999999999996</v>
      </c>
      <c r="N24" s="410">
        <f t="shared" si="2"/>
        <v>0.9</v>
      </c>
      <c r="O24" s="409" t="s">
        <v>1820</v>
      </c>
      <c r="P24" s="362"/>
      <c r="Q24" s="362"/>
      <c r="R24" s="362"/>
      <c r="S24" s="362"/>
      <c r="T24" s="362"/>
      <c r="U24" s="362"/>
      <c r="V24" s="362"/>
      <c r="W24" s="362"/>
      <c r="X24" s="362"/>
      <c r="Y24" s="362"/>
      <c r="Z24" s="362"/>
      <c r="AA24" s="362"/>
      <c r="AB24" s="411"/>
      <c r="AC24" s="412"/>
      <c r="AD24" s="412"/>
      <c r="AE24" s="412"/>
      <c r="AF24" s="412"/>
      <c r="AG24" s="412"/>
      <c r="AH24" s="412"/>
      <c r="AI24" s="412"/>
      <c r="AJ24" s="412"/>
      <c r="AK24" s="412"/>
      <c r="AL24" s="412"/>
      <c r="AM24" s="412"/>
      <c r="AN24" s="412"/>
      <c r="AO24" s="412"/>
      <c r="AP24" s="412"/>
      <c r="AQ24" s="358"/>
      <c r="AR24" s="358"/>
      <c r="AS24" s="358"/>
      <c r="AT24" s="358"/>
      <c r="AU24" s="358"/>
      <c r="AV24" s="358"/>
      <c r="AW24" s="358"/>
      <c r="AX24" s="358"/>
      <c r="AY24" s="358"/>
    </row>
    <row r="25" spans="1:51" ht="15" x14ac:dyDescent="0.35">
      <c r="A25" s="413"/>
      <c r="B25" s="368"/>
      <c r="C25" s="362"/>
      <c r="D25" s="414"/>
      <c r="E25" s="414"/>
      <c r="F25" s="415"/>
      <c r="G25" s="415"/>
      <c r="H25" s="415"/>
      <c r="I25" s="362"/>
      <c r="J25" s="362"/>
      <c r="K25" s="362"/>
      <c r="L25" s="362"/>
      <c r="M25" s="362"/>
      <c r="N25" s="416" t="s">
        <v>1821</v>
      </c>
      <c r="O25" s="1"/>
      <c r="P25" s="362"/>
      <c r="Q25" s="362"/>
      <c r="R25" s="362"/>
      <c r="S25" s="362"/>
      <c r="T25" s="362"/>
      <c r="U25" s="362"/>
      <c r="V25" s="362"/>
      <c r="W25" s="362"/>
      <c r="X25" s="362"/>
      <c r="Y25" s="362"/>
      <c r="Z25" s="362"/>
      <c r="AA25" s="362"/>
      <c r="AB25" s="362"/>
      <c r="AC25" s="357"/>
      <c r="AD25" s="417"/>
      <c r="AE25" s="357"/>
      <c r="AF25" s="357"/>
      <c r="AG25" s="357"/>
      <c r="AH25" s="357"/>
      <c r="AI25" s="357"/>
      <c r="AJ25" s="357"/>
      <c r="AK25" s="357"/>
      <c r="AL25" s="357"/>
      <c r="AM25" s="357"/>
      <c r="AN25" s="357"/>
      <c r="AO25" s="357"/>
      <c r="AP25" s="417"/>
      <c r="AQ25" s="358"/>
      <c r="AR25" s="358"/>
      <c r="AS25" s="358"/>
      <c r="AT25" s="358"/>
      <c r="AU25" s="358"/>
      <c r="AV25" s="358"/>
      <c r="AW25" s="358"/>
      <c r="AX25" s="358"/>
      <c r="AY25" s="358"/>
    </row>
    <row r="26" spans="1:51" ht="15" x14ac:dyDescent="0.35">
      <c r="A26" s="413"/>
      <c r="B26" s="368"/>
      <c r="C26" s="362"/>
      <c r="D26" s="414"/>
      <c r="E26" s="414"/>
      <c r="F26" s="415"/>
      <c r="G26" s="415"/>
      <c r="H26" s="415"/>
      <c r="I26" s="362"/>
      <c r="J26" s="362"/>
      <c r="K26" s="362"/>
      <c r="L26" s="362"/>
      <c r="M26" s="362"/>
      <c r="N26" s="418"/>
      <c r="O26" s="362"/>
      <c r="P26" s="362"/>
      <c r="Q26" s="362"/>
      <c r="R26" s="362"/>
      <c r="S26" s="362"/>
      <c r="T26" s="362"/>
      <c r="U26" s="362"/>
      <c r="V26" s="362"/>
      <c r="W26" s="362"/>
      <c r="X26" s="362"/>
      <c r="Y26" s="362"/>
      <c r="Z26" s="362"/>
      <c r="AA26" s="362"/>
      <c r="AB26" s="362"/>
      <c r="AC26" s="357"/>
      <c r="AD26" s="419"/>
      <c r="AE26" s="357"/>
      <c r="AF26" s="357"/>
      <c r="AG26" s="357"/>
      <c r="AH26" s="357"/>
      <c r="AI26" s="357"/>
      <c r="AJ26" s="357"/>
      <c r="AK26" s="357"/>
      <c r="AL26" s="357"/>
      <c r="AM26" s="357"/>
      <c r="AN26" s="357"/>
      <c r="AO26" s="357"/>
      <c r="AP26" s="419"/>
      <c r="AQ26" s="358"/>
      <c r="AR26" s="358"/>
      <c r="AS26" s="358"/>
      <c r="AT26" s="358"/>
      <c r="AU26" s="358"/>
      <c r="AV26" s="358"/>
      <c r="AW26" s="358"/>
      <c r="AX26" s="358"/>
      <c r="AY26" s="358"/>
    </row>
    <row r="27" spans="1:51" x14ac:dyDescent="0.4">
      <c r="A27" s="413"/>
      <c r="B27" s="415"/>
      <c r="C27" s="362"/>
      <c r="D27" s="414"/>
      <c r="E27" s="414"/>
      <c r="F27" s="415"/>
      <c r="G27" s="415"/>
      <c r="H27" s="415"/>
      <c r="I27" s="362"/>
      <c r="J27" s="362"/>
      <c r="K27" s="362"/>
      <c r="L27" s="362"/>
      <c r="M27" s="418" t="s">
        <v>1822</v>
      </c>
      <c r="N27" s="420">
        <f>ROUNDUP((C23+D23+E23+F23+G23+H23+I23+J23+K23+L23+M23+N23)/(12*1200),1)</f>
        <v>0.5</v>
      </c>
      <c r="O27" s="365"/>
      <c r="P27" s="362"/>
      <c r="Q27" s="362"/>
      <c r="R27" s="362"/>
      <c r="S27" s="362"/>
      <c r="T27" s="362"/>
      <c r="U27" s="362"/>
      <c r="V27" s="362"/>
      <c r="W27" s="362"/>
      <c r="X27" s="362"/>
      <c r="Y27" s="362"/>
      <c r="Z27" s="362"/>
      <c r="AA27" s="362"/>
      <c r="AB27" s="362"/>
      <c r="AC27" s="357"/>
      <c r="AD27" s="421"/>
      <c r="AE27" s="357"/>
      <c r="AF27" s="357"/>
      <c r="AG27" s="357"/>
      <c r="AH27" s="357"/>
      <c r="AI27" s="357"/>
      <c r="AJ27" s="357"/>
      <c r="AK27" s="357"/>
      <c r="AL27" s="357"/>
      <c r="AM27" s="357"/>
      <c r="AN27" s="357"/>
      <c r="AO27" s="357"/>
      <c r="AP27" s="422"/>
      <c r="AQ27" s="358"/>
      <c r="AR27" s="358"/>
      <c r="AS27" s="358"/>
      <c r="AT27" s="358"/>
      <c r="AU27" s="358"/>
      <c r="AV27" s="358"/>
      <c r="AW27" s="358"/>
      <c r="AX27" s="358"/>
      <c r="AY27" s="358"/>
    </row>
    <row r="28" spans="1:51" x14ac:dyDescent="0.4">
      <c r="A28" s="413"/>
      <c r="B28" s="415"/>
      <c r="C28" s="362"/>
      <c r="D28" s="414"/>
      <c r="E28" s="414"/>
      <c r="F28" s="415"/>
      <c r="G28" s="415"/>
      <c r="H28" s="415"/>
      <c r="I28" s="362"/>
      <c r="J28" s="362"/>
      <c r="K28" s="362"/>
      <c r="L28" s="362"/>
      <c r="M28" s="362"/>
      <c r="N28" s="418"/>
      <c r="O28" s="362"/>
      <c r="P28" s="362"/>
      <c r="Q28" s="362"/>
      <c r="R28" s="362"/>
      <c r="S28" s="362"/>
      <c r="T28" s="362"/>
      <c r="U28" s="362"/>
      <c r="V28" s="362"/>
      <c r="W28" s="362"/>
      <c r="X28" s="362"/>
      <c r="Y28" s="362"/>
      <c r="Z28" s="362"/>
      <c r="AA28" s="362"/>
      <c r="AB28" s="362"/>
      <c r="AC28" s="357"/>
      <c r="AD28" s="423"/>
      <c r="AE28" s="357"/>
      <c r="AF28" s="357"/>
      <c r="AG28" s="357"/>
      <c r="AH28" s="357"/>
      <c r="AI28" s="357"/>
      <c r="AJ28" s="357"/>
      <c r="AK28" s="357"/>
      <c r="AL28" s="357"/>
      <c r="AM28" s="357"/>
      <c r="AN28" s="357"/>
      <c r="AO28" s="357"/>
      <c r="AP28" s="423"/>
      <c r="AQ28" s="358"/>
      <c r="AR28" s="358"/>
      <c r="AS28" s="358"/>
      <c r="AT28" s="358"/>
      <c r="AU28" s="358"/>
      <c r="AV28" s="358"/>
      <c r="AW28" s="358"/>
      <c r="AX28" s="358"/>
      <c r="AY28" s="358"/>
    </row>
    <row r="29" spans="1:51" x14ac:dyDescent="0.4">
      <c r="A29" s="413"/>
      <c r="B29" s="415"/>
      <c r="C29" s="362"/>
      <c r="D29" s="414"/>
      <c r="E29" s="414"/>
      <c r="F29" s="415"/>
      <c r="G29" s="415"/>
      <c r="H29" s="415"/>
      <c r="I29" s="362"/>
      <c r="J29" s="362"/>
      <c r="K29" s="362"/>
      <c r="L29" s="362"/>
      <c r="M29" s="362"/>
      <c r="N29" s="424" t="s">
        <v>1823</v>
      </c>
      <c r="O29" s="362"/>
      <c r="P29" s="362"/>
      <c r="Q29" s="362"/>
      <c r="R29" s="362"/>
      <c r="S29" s="362"/>
      <c r="T29" s="362"/>
      <c r="U29" s="362"/>
      <c r="V29" s="362"/>
      <c r="W29" s="362"/>
      <c r="X29" s="362"/>
      <c r="Y29" s="362"/>
      <c r="Z29" s="362"/>
      <c r="AA29" s="362"/>
      <c r="AB29" s="362"/>
      <c r="AC29" s="357"/>
      <c r="AD29" s="423"/>
      <c r="AE29" s="357"/>
      <c r="AF29" s="357"/>
      <c r="AG29" s="357"/>
      <c r="AH29" s="357"/>
      <c r="AI29" s="357"/>
      <c r="AJ29" s="357"/>
      <c r="AK29" s="357"/>
      <c r="AL29" s="357"/>
      <c r="AM29" s="357"/>
      <c r="AN29" s="357"/>
      <c r="AO29" s="357"/>
      <c r="AP29" s="423"/>
      <c r="AQ29" s="358"/>
      <c r="AR29" s="358"/>
      <c r="AS29" s="358"/>
      <c r="AT29" s="358"/>
      <c r="AU29" s="358"/>
      <c r="AV29" s="358"/>
      <c r="AW29" s="358"/>
      <c r="AX29" s="358"/>
      <c r="AY29" s="358"/>
    </row>
    <row r="30" spans="1:51" x14ac:dyDescent="0.35">
      <c r="A30" s="413"/>
      <c r="B30" s="415"/>
      <c r="C30" s="362"/>
      <c r="D30" s="414"/>
      <c r="E30" s="414"/>
      <c r="F30" s="415"/>
      <c r="G30" s="415"/>
      <c r="H30" s="415"/>
      <c r="I30" s="362"/>
      <c r="J30" s="362"/>
      <c r="K30" s="362"/>
      <c r="L30" s="362"/>
      <c r="M30" s="362"/>
      <c r="N30" s="418" t="s">
        <v>1824</v>
      </c>
      <c r="O30" s="362"/>
      <c r="P30" s="362"/>
      <c r="Q30" s="362"/>
      <c r="R30" s="362"/>
      <c r="S30" s="362"/>
      <c r="T30" s="362"/>
      <c r="U30" s="362"/>
      <c r="V30" s="362"/>
      <c r="W30" s="362"/>
      <c r="X30" s="362"/>
      <c r="Y30" s="362"/>
      <c r="Z30" s="362"/>
      <c r="AA30" s="362"/>
      <c r="AB30" s="362"/>
      <c r="AC30" s="357"/>
      <c r="AD30" s="421"/>
      <c r="AE30" s="357"/>
      <c r="AF30" s="357"/>
      <c r="AG30" s="357"/>
      <c r="AH30" s="357"/>
      <c r="AI30" s="357"/>
      <c r="AJ30" s="357"/>
      <c r="AK30" s="357"/>
      <c r="AL30" s="357"/>
      <c r="AM30" s="357"/>
      <c r="AN30" s="357"/>
      <c r="AO30" s="357"/>
      <c r="AP30" s="422"/>
      <c r="AQ30" s="358"/>
      <c r="AR30" s="358"/>
      <c r="AS30" s="358"/>
      <c r="AT30" s="358"/>
      <c r="AU30" s="358"/>
      <c r="AV30" s="358"/>
      <c r="AW30" s="358"/>
      <c r="AX30" s="358"/>
      <c r="AY30" s="358"/>
    </row>
    <row r="31" spans="1:51" s="427" customFormat="1" x14ac:dyDescent="0.35">
      <c r="A31" s="425"/>
      <c r="B31" s="368"/>
      <c r="C31" s="1"/>
      <c r="D31" s="51"/>
      <c r="E31" s="51"/>
      <c r="F31" s="51"/>
      <c r="G31" s="51"/>
      <c r="H31" s="51"/>
      <c r="I31" s="51"/>
      <c r="J31" s="51"/>
      <c r="K31" s="51"/>
      <c r="L31" s="51"/>
      <c r="M31" s="51"/>
      <c r="N31" s="418" t="s">
        <v>1825</v>
      </c>
      <c r="O31" s="368"/>
      <c r="P31" s="368"/>
      <c r="Q31" s="368"/>
      <c r="R31" s="368"/>
      <c r="S31" s="368"/>
      <c r="T31" s="368"/>
      <c r="U31" s="368"/>
      <c r="V31" s="368"/>
      <c r="W31" s="368"/>
      <c r="X31" s="368"/>
      <c r="Y31" s="368"/>
      <c r="Z31" s="368"/>
      <c r="AA31" s="368"/>
      <c r="AB31" s="368"/>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row>
    <row r="32" spans="1:51" s="427" customFormat="1" x14ac:dyDescent="0.35">
      <c r="A32" s="425"/>
      <c r="B32" s="368"/>
      <c r="C32" s="1"/>
      <c r="D32" s="51"/>
      <c r="E32" s="51"/>
      <c r="F32" s="51"/>
      <c r="G32" s="51"/>
      <c r="H32" s="51"/>
      <c r="I32" s="51"/>
      <c r="J32" s="51"/>
      <c r="K32" s="51"/>
      <c r="L32" s="51"/>
      <c r="M32" s="51"/>
      <c r="N32" s="418" t="s">
        <v>1826</v>
      </c>
      <c r="O32" s="368"/>
      <c r="P32" s="368"/>
      <c r="Q32" s="368"/>
      <c r="R32" s="368"/>
      <c r="S32" s="368"/>
      <c r="T32" s="368"/>
      <c r="U32" s="368"/>
      <c r="V32" s="368"/>
      <c r="W32" s="368"/>
      <c r="X32" s="368"/>
      <c r="Y32" s="368"/>
      <c r="Z32" s="368"/>
      <c r="AA32" s="368"/>
      <c r="AB32" s="368"/>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row>
    <row r="33" spans="1:5" s="427" customFormat="1" x14ac:dyDescent="0.35">
      <c r="A33" s="428"/>
      <c r="C33" s="359"/>
      <c r="D33" s="429"/>
      <c r="E33" s="429"/>
    </row>
    <row r="34" spans="1:5" s="427" customFormat="1" x14ac:dyDescent="0.35">
      <c r="A34" s="428"/>
      <c r="C34" s="359"/>
      <c r="D34" s="429"/>
      <c r="E34" s="429"/>
    </row>
    <row r="35" spans="1:5" s="427" customFormat="1" x14ac:dyDescent="0.35">
      <c r="A35" s="428"/>
      <c r="C35" s="359"/>
      <c r="D35" s="429"/>
      <c r="E35" s="429"/>
    </row>
    <row r="36" spans="1:5" s="427" customFormat="1" x14ac:dyDescent="0.35">
      <c r="A36" s="428"/>
      <c r="C36" s="359"/>
      <c r="D36" s="429"/>
      <c r="E36" s="429"/>
    </row>
    <row r="37" spans="1:5" s="427" customFormat="1" x14ac:dyDescent="0.35">
      <c r="A37" s="428"/>
      <c r="C37" s="359"/>
      <c r="D37" s="429"/>
      <c r="E37" s="429"/>
    </row>
    <row r="38" spans="1:5" s="427" customFormat="1" x14ac:dyDescent="0.35">
      <c r="A38" s="428"/>
      <c r="C38" s="359"/>
      <c r="D38" s="429"/>
      <c r="E38" s="429"/>
    </row>
    <row r="39" spans="1:5" s="427" customFormat="1" x14ac:dyDescent="0.35">
      <c r="A39" s="428"/>
      <c r="C39" s="359"/>
      <c r="D39" s="429"/>
      <c r="E39" s="429"/>
    </row>
    <row r="40" spans="1:5" s="427" customFormat="1" x14ac:dyDescent="0.35">
      <c r="A40" s="428"/>
      <c r="C40" s="359"/>
      <c r="D40" s="429"/>
      <c r="E40" s="429"/>
    </row>
    <row r="41" spans="1:5" s="427" customFormat="1" x14ac:dyDescent="0.35">
      <c r="A41" s="428"/>
      <c r="C41" s="359"/>
      <c r="D41" s="429"/>
      <c r="E41" s="429"/>
    </row>
    <row r="42" spans="1:5" s="427" customFormat="1" x14ac:dyDescent="0.35">
      <c r="A42" s="428"/>
      <c r="C42" s="359"/>
      <c r="D42" s="429"/>
      <c r="E42" s="429"/>
    </row>
    <row r="43" spans="1:5" s="427" customFormat="1" x14ac:dyDescent="0.35">
      <c r="A43" s="428"/>
      <c r="C43" s="359"/>
      <c r="D43" s="429"/>
      <c r="E43" s="429"/>
    </row>
    <row r="44" spans="1:5" s="427" customFormat="1" x14ac:dyDescent="0.35">
      <c r="A44" s="428"/>
      <c r="C44" s="359"/>
      <c r="D44" s="429"/>
      <c r="E44" s="429"/>
    </row>
    <row r="45" spans="1:5" s="427" customFormat="1" x14ac:dyDescent="0.35">
      <c r="A45" s="428"/>
      <c r="C45" s="359"/>
      <c r="D45" s="429"/>
      <c r="E45" s="429"/>
    </row>
    <row r="46" spans="1:5" s="427" customFormat="1" x14ac:dyDescent="0.35">
      <c r="A46" s="428"/>
      <c r="C46" s="359"/>
      <c r="D46" s="429"/>
      <c r="E46" s="429"/>
    </row>
    <row r="47" spans="1:5" s="427" customFormat="1" x14ac:dyDescent="0.35">
      <c r="A47" s="428"/>
      <c r="C47" s="359"/>
      <c r="D47" s="429"/>
      <c r="E47" s="429"/>
    </row>
    <row r="48" spans="1:5" s="427" customFormat="1" x14ac:dyDescent="0.35">
      <c r="A48" s="428"/>
      <c r="C48" s="359"/>
      <c r="D48" s="429"/>
      <c r="E48" s="429"/>
    </row>
    <row r="49" spans="1:5" s="427" customFormat="1" x14ac:dyDescent="0.35">
      <c r="A49" s="428"/>
      <c r="C49" s="359"/>
      <c r="D49" s="429"/>
      <c r="E49" s="429"/>
    </row>
    <row r="50" spans="1:5" s="427" customFormat="1" x14ac:dyDescent="0.35">
      <c r="A50" s="428"/>
      <c r="C50" s="359"/>
      <c r="D50" s="429"/>
      <c r="E50" s="429"/>
    </row>
    <row r="51" spans="1:5" s="427" customFormat="1" x14ac:dyDescent="0.35">
      <c r="A51" s="428"/>
      <c r="C51" s="359"/>
      <c r="D51" s="429"/>
      <c r="E51" s="429"/>
    </row>
    <row r="52" spans="1:5" s="427" customFormat="1" x14ac:dyDescent="0.35">
      <c r="A52" s="428"/>
      <c r="C52" s="359"/>
      <c r="D52" s="429"/>
      <c r="E52" s="429"/>
    </row>
    <row r="53" spans="1:5" s="427" customFormat="1" x14ac:dyDescent="0.35">
      <c r="A53" s="428"/>
      <c r="C53" s="359"/>
      <c r="D53" s="429"/>
      <c r="E53" s="429"/>
    </row>
    <row r="54" spans="1:5" s="427" customFormat="1" x14ac:dyDescent="0.35">
      <c r="A54" s="428"/>
      <c r="C54" s="359"/>
      <c r="D54" s="429"/>
      <c r="E54" s="429"/>
    </row>
    <row r="55" spans="1:5" s="427" customFormat="1" x14ac:dyDescent="0.35">
      <c r="A55" s="428"/>
      <c r="C55" s="359"/>
      <c r="D55" s="429"/>
      <c r="E55" s="429"/>
    </row>
    <row r="56" spans="1:5" s="427" customFormat="1" x14ac:dyDescent="0.35">
      <c r="A56" s="428"/>
      <c r="C56" s="359"/>
      <c r="D56" s="429"/>
      <c r="E56" s="429"/>
    </row>
    <row r="57" spans="1:5" s="427" customFormat="1" x14ac:dyDescent="0.35">
      <c r="A57" s="428"/>
      <c r="C57" s="359"/>
      <c r="D57" s="429"/>
      <c r="E57" s="429"/>
    </row>
    <row r="58" spans="1:5" s="427" customFormat="1" x14ac:dyDescent="0.35">
      <c r="A58" s="428"/>
      <c r="C58" s="359"/>
      <c r="D58" s="429"/>
      <c r="E58" s="429"/>
    </row>
    <row r="59" spans="1:5" s="427" customFormat="1" x14ac:dyDescent="0.35">
      <c r="A59" s="428"/>
      <c r="C59" s="359"/>
      <c r="D59" s="429"/>
      <c r="E59" s="429"/>
    </row>
    <row r="60" spans="1:5" s="427" customFormat="1" x14ac:dyDescent="0.35">
      <c r="A60" s="428"/>
      <c r="C60" s="359"/>
      <c r="D60" s="429"/>
      <c r="E60" s="429"/>
    </row>
    <row r="61" spans="1:5" s="427" customFormat="1" x14ac:dyDescent="0.35">
      <c r="A61" s="428"/>
      <c r="C61" s="359"/>
      <c r="D61" s="429"/>
      <c r="E61" s="429"/>
    </row>
    <row r="62" spans="1:5" s="427" customFormat="1" x14ac:dyDescent="0.35">
      <c r="A62" s="428"/>
      <c r="C62" s="359"/>
      <c r="D62" s="429"/>
      <c r="E62" s="429"/>
    </row>
    <row r="63" spans="1:5" s="427" customFormat="1" x14ac:dyDescent="0.35">
      <c r="A63" s="428"/>
      <c r="C63" s="359"/>
      <c r="D63" s="429"/>
      <c r="E63" s="429"/>
    </row>
    <row r="64" spans="1:5" s="427" customFormat="1" x14ac:dyDescent="0.35">
      <c r="A64" s="428"/>
      <c r="C64" s="359"/>
      <c r="D64" s="429"/>
      <c r="E64" s="429"/>
    </row>
    <row r="65" spans="1:5" s="427" customFormat="1" x14ac:dyDescent="0.35">
      <c r="A65" s="428"/>
      <c r="C65" s="359"/>
      <c r="D65" s="429"/>
      <c r="E65" s="429"/>
    </row>
    <row r="66" spans="1:5" s="427" customFormat="1" x14ac:dyDescent="0.35">
      <c r="A66" s="428"/>
      <c r="C66" s="359"/>
      <c r="D66" s="429"/>
      <c r="E66" s="429"/>
    </row>
    <row r="67" spans="1:5" s="427" customFormat="1" x14ac:dyDescent="0.35">
      <c r="A67" s="428"/>
      <c r="C67" s="359"/>
      <c r="D67" s="429"/>
      <c r="E67" s="429"/>
    </row>
    <row r="68" spans="1:5" s="427" customFormat="1" x14ac:dyDescent="0.35">
      <c r="A68" s="428"/>
      <c r="C68" s="359"/>
      <c r="D68" s="429"/>
      <c r="E68" s="429"/>
    </row>
    <row r="69" spans="1:5" s="427" customFormat="1" x14ac:dyDescent="0.35">
      <c r="A69" s="428"/>
      <c r="C69" s="359"/>
      <c r="D69" s="429"/>
      <c r="E69" s="429"/>
    </row>
    <row r="70" spans="1:5" s="427" customFormat="1" x14ac:dyDescent="0.35">
      <c r="A70" s="428"/>
      <c r="C70" s="359"/>
      <c r="D70" s="429"/>
      <c r="E70" s="429"/>
    </row>
    <row r="71" spans="1:5" s="427" customFormat="1" x14ac:dyDescent="0.35">
      <c r="A71" s="428"/>
      <c r="C71" s="359"/>
      <c r="D71" s="429"/>
      <c r="E71" s="429"/>
    </row>
    <row r="72" spans="1:5" s="427" customFormat="1" x14ac:dyDescent="0.35">
      <c r="A72" s="428"/>
      <c r="C72" s="359"/>
      <c r="D72" s="429"/>
      <c r="E72" s="429"/>
    </row>
    <row r="73" spans="1:5" s="427" customFormat="1" x14ac:dyDescent="0.35">
      <c r="A73" s="428"/>
      <c r="C73" s="359"/>
      <c r="D73" s="429"/>
      <c r="E73" s="429"/>
    </row>
    <row r="74" spans="1:5" s="427" customFormat="1" x14ac:dyDescent="0.35">
      <c r="A74" s="428"/>
      <c r="C74" s="359"/>
      <c r="D74" s="429"/>
      <c r="E74" s="429"/>
    </row>
    <row r="75" spans="1:5" s="427" customFormat="1" x14ac:dyDescent="0.35">
      <c r="A75" s="428"/>
      <c r="C75" s="359"/>
      <c r="D75" s="429"/>
      <c r="E75" s="429"/>
    </row>
    <row r="76" spans="1:5" s="427" customFormat="1" x14ac:dyDescent="0.35">
      <c r="A76" s="428"/>
      <c r="C76" s="359"/>
      <c r="D76" s="429"/>
      <c r="E76" s="429"/>
    </row>
    <row r="77" spans="1:5" s="427" customFormat="1" x14ac:dyDescent="0.35">
      <c r="A77" s="428"/>
      <c r="C77" s="359"/>
      <c r="D77" s="429"/>
      <c r="E77" s="429"/>
    </row>
    <row r="78" spans="1:5" s="427" customFormat="1" x14ac:dyDescent="0.35">
      <c r="A78" s="428"/>
      <c r="C78" s="359"/>
      <c r="D78" s="429"/>
      <c r="E78" s="429"/>
    </row>
    <row r="79" spans="1:5" s="427" customFormat="1" x14ac:dyDescent="0.35">
      <c r="A79" s="428"/>
      <c r="C79" s="359"/>
      <c r="D79" s="429"/>
      <c r="E79" s="429"/>
    </row>
    <row r="80" spans="1:5" s="427" customFormat="1" x14ac:dyDescent="0.35">
      <c r="A80" s="428"/>
      <c r="C80" s="359"/>
      <c r="D80" s="429"/>
      <c r="E80" s="429"/>
    </row>
    <row r="81" spans="1:5" s="427" customFormat="1" x14ac:dyDescent="0.35">
      <c r="A81" s="428"/>
      <c r="C81" s="359"/>
      <c r="D81" s="429"/>
      <c r="E81" s="429"/>
    </row>
    <row r="82" spans="1:5" s="427" customFormat="1" x14ac:dyDescent="0.35">
      <c r="A82" s="428"/>
      <c r="C82" s="359"/>
      <c r="D82" s="429"/>
      <c r="E82" s="429"/>
    </row>
    <row r="83" spans="1:5" s="427" customFormat="1" x14ac:dyDescent="0.35">
      <c r="A83" s="428"/>
      <c r="C83" s="359"/>
      <c r="D83" s="429"/>
      <c r="E83" s="429"/>
    </row>
    <row r="84" spans="1:5" s="427" customFormat="1" x14ac:dyDescent="0.35">
      <c r="A84" s="428"/>
      <c r="C84" s="359"/>
      <c r="D84" s="429"/>
      <c r="E84" s="429"/>
    </row>
    <row r="85" spans="1:5" s="427" customFormat="1" x14ac:dyDescent="0.35">
      <c r="A85" s="428"/>
      <c r="C85" s="359"/>
      <c r="D85" s="429"/>
      <c r="E85" s="429"/>
    </row>
    <row r="86" spans="1:5" s="427" customFormat="1" x14ac:dyDescent="0.35">
      <c r="A86" s="428"/>
      <c r="C86" s="359"/>
      <c r="D86" s="429"/>
      <c r="E86" s="429"/>
    </row>
    <row r="87" spans="1:5" s="427" customFormat="1" x14ac:dyDescent="0.35">
      <c r="A87" s="428"/>
      <c r="C87" s="359"/>
      <c r="D87" s="429"/>
      <c r="E87" s="429"/>
    </row>
    <row r="88" spans="1:5" s="427" customFormat="1" x14ac:dyDescent="0.35">
      <c r="A88" s="428"/>
      <c r="C88" s="359"/>
      <c r="D88" s="429"/>
      <c r="E88" s="429"/>
    </row>
    <row r="89" spans="1:5" s="427" customFormat="1" x14ac:dyDescent="0.35">
      <c r="A89" s="428"/>
      <c r="C89" s="359"/>
      <c r="D89" s="429"/>
      <c r="E89" s="429"/>
    </row>
    <row r="90" spans="1:5" s="427" customFormat="1" x14ac:dyDescent="0.35">
      <c r="A90" s="428"/>
      <c r="C90" s="359"/>
      <c r="D90" s="429"/>
      <c r="E90" s="429"/>
    </row>
    <row r="91" spans="1:5" s="427" customFormat="1" x14ac:dyDescent="0.35">
      <c r="A91" s="428"/>
      <c r="C91" s="359"/>
      <c r="D91" s="429"/>
      <c r="E91" s="429"/>
    </row>
    <row r="92" spans="1:5" s="427" customFormat="1" x14ac:dyDescent="0.35">
      <c r="A92" s="428"/>
      <c r="C92" s="359"/>
      <c r="D92" s="429"/>
      <c r="E92" s="429"/>
    </row>
    <row r="93" spans="1:5" s="427" customFormat="1" x14ac:dyDescent="0.35">
      <c r="A93" s="428"/>
      <c r="C93" s="359"/>
      <c r="D93" s="429"/>
      <c r="E93" s="429"/>
    </row>
    <row r="94" spans="1:5" s="427" customFormat="1" x14ac:dyDescent="0.35">
      <c r="A94" s="428"/>
      <c r="C94" s="359"/>
      <c r="D94" s="429"/>
      <c r="E94" s="429"/>
    </row>
    <row r="95" spans="1:5" s="427" customFormat="1" x14ac:dyDescent="0.35">
      <c r="A95" s="428"/>
      <c r="C95" s="359"/>
      <c r="D95" s="429"/>
      <c r="E95" s="429"/>
    </row>
    <row r="96" spans="1:5" s="427" customFormat="1" x14ac:dyDescent="0.35">
      <c r="A96" s="428"/>
      <c r="C96" s="359"/>
      <c r="D96" s="429"/>
      <c r="E96" s="429"/>
    </row>
    <row r="97" spans="1:5" s="427" customFormat="1" x14ac:dyDescent="0.35">
      <c r="A97" s="428"/>
      <c r="C97" s="359"/>
      <c r="D97" s="429"/>
      <c r="E97" s="429"/>
    </row>
    <row r="98" spans="1:5" s="427" customFormat="1" x14ac:dyDescent="0.35">
      <c r="A98" s="428"/>
      <c r="C98" s="359"/>
      <c r="D98" s="429"/>
      <c r="E98" s="429"/>
    </row>
    <row r="99" spans="1:5" s="427" customFormat="1" x14ac:dyDescent="0.35">
      <c r="A99" s="428"/>
      <c r="C99" s="359"/>
      <c r="D99" s="429"/>
      <c r="E99" s="429"/>
    </row>
    <row r="100" spans="1:5" s="427" customFormat="1" x14ac:dyDescent="0.35">
      <c r="A100" s="428"/>
      <c r="C100" s="359"/>
      <c r="D100" s="429"/>
      <c r="E100" s="429"/>
    </row>
    <row r="101" spans="1:5" s="427" customFormat="1" x14ac:dyDescent="0.35">
      <c r="A101" s="428"/>
      <c r="C101" s="359"/>
      <c r="D101" s="429"/>
      <c r="E101" s="429"/>
    </row>
    <row r="102" spans="1:5" s="427" customFormat="1" x14ac:dyDescent="0.35">
      <c r="A102" s="428"/>
      <c r="C102" s="359"/>
      <c r="D102" s="429"/>
      <c r="E102" s="429"/>
    </row>
    <row r="103" spans="1:5" s="427" customFormat="1" x14ac:dyDescent="0.35">
      <c r="A103" s="428"/>
      <c r="C103" s="359"/>
      <c r="D103" s="429"/>
      <c r="E103" s="429"/>
    </row>
    <row r="104" spans="1:5" s="427" customFormat="1" x14ac:dyDescent="0.35">
      <c r="A104" s="428"/>
      <c r="C104" s="359"/>
      <c r="D104" s="429"/>
      <c r="E104" s="429"/>
    </row>
    <row r="105" spans="1:5" s="427" customFormat="1" x14ac:dyDescent="0.35">
      <c r="A105" s="428"/>
      <c r="C105" s="359"/>
      <c r="D105" s="429"/>
      <c r="E105" s="429"/>
    </row>
    <row r="106" spans="1:5" s="427" customFormat="1" x14ac:dyDescent="0.35">
      <c r="A106" s="428"/>
      <c r="C106" s="359"/>
      <c r="D106" s="429"/>
      <c r="E106" s="429"/>
    </row>
    <row r="107" spans="1:5" s="427" customFormat="1" x14ac:dyDescent="0.35">
      <c r="A107" s="428"/>
      <c r="C107" s="359"/>
      <c r="D107" s="429"/>
      <c r="E107" s="429"/>
    </row>
    <row r="108" spans="1:5" s="427" customFormat="1" x14ac:dyDescent="0.35">
      <c r="A108" s="428"/>
      <c r="C108" s="359"/>
      <c r="D108" s="429"/>
      <c r="E108" s="429"/>
    </row>
    <row r="109" spans="1:5" s="427" customFormat="1" x14ac:dyDescent="0.35">
      <c r="A109" s="428"/>
      <c r="C109" s="359"/>
      <c r="D109" s="429"/>
      <c r="E109" s="429"/>
    </row>
    <row r="110" spans="1:5" s="427" customFormat="1" x14ac:dyDescent="0.35">
      <c r="A110" s="428"/>
      <c r="C110" s="359"/>
      <c r="D110" s="429"/>
      <c r="E110" s="429"/>
    </row>
    <row r="111" spans="1:5" s="427" customFormat="1" x14ac:dyDescent="0.35">
      <c r="A111" s="428"/>
      <c r="C111" s="359"/>
      <c r="D111" s="429"/>
      <c r="E111" s="429"/>
    </row>
    <row r="112" spans="1:5" s="427" customFormat="1" x14ac:dyDescent="0.35">
      <c r="A112" s="428"/>
      <c r="C112" s="359"/>
      <c r="D112" s="429"/>
      <c r="E112" s="429"/>
    </row>
    <row r="113" spans="1:5" s="427" customFormat="1" x14ac:dyDescent="0.35">
      <c r="A113" s="428"/>
      <c r="C113" s="359"/>
      <c r="D113" s="429"/>
      <c r="E113" s="429"/>
    </row>
    <row r="114" spans="1:5" s="427" customFormat="1" x14ac:dyDescent="0.35">
      <c r="A114" s="428"/>
      <c r="C114" s="359"/>
      <c r="D114" s="429"/>
      <c r="E114" s="429"/>
    </row>
    <row r="115" spans="1:5" s="427" customFormat="1" x14ac:dyDescent="0.35">
      <c r="A115" s="428"/>
      <c r="C115" s="359"/>
      <c r="D115" s="429"/>
      <c r="E115" s="429"/>
    </row>
    <row r="116" spans="1:5" s="427" customFormat="1" x14ac:dyDescent="0.35">
      <c r="A116" s="428"/>
      <c r="C116" s="359"/>
      <c r="D116" s="429"/>
      <c r="E116" s="429"/>
    </row>
    <row r="117" spans="1:5" s="427" customFormat="1" x14ac:dyDescent="0.35">
      <c r="A117" s="428"/>
      <c r="C117" s="359"/>
      <c r="D117" s="429"/>
      <c r="E117" s="429"/>
    </row>
    <row r="118" spans="1:5" s="427" customFormat="1" x14ac:dyDescent="0.35">
      <c r="A118" s="428"/>
      <c r="C118" s="359"/>
      <c r="D118" s="429"/>
      <c r="E118" s="429"/>
    </row>
    <row r="119" spans="1:5" s="427" customFormat="1" x14ac:dyDescent="0.35">
      <c r="A119" s="428"/>
      <c r="C119" s="359"/>
      <c r="D119" s="429"/>
      <c r="E119" s="429"/>
    </row>
    <row r="120" spans="1:5" s="427" customFormat="1" x14ac:dyDescent="0.35">
      <c r="A120" s="428"/>
      <c r="C120" s="359"/>
      <c r="D120" s="429"/>
      <c r="E120" s="429"/>
    </row>
    <row r="121" spans="1:5" s="427" customFormat="1" x14ac:dyDescent="0.35">
      <c r="A121" s="428"/>
      <c r="C121" s="359"/>
      <c r="D121" s="429"/>
      <c r="E121" s="429"/>
    </row>
    <row r="122" spans="1:5" s="427" customFormat="1" x14ac:dyDescent="0.35">
      <c r="A122" s="428"/>
      <c r="C122" s="359"/>
      <c r="D122" s="429"/>
      <c r="E122" s="429"/>
    </row>
    <row r="123" spans="1:5" s="427" customFormat="1" x14ac:dyDescent="0.35">
      <c r="A123" s="428"/>
      <c r="C123" s="359"/>
      <c r="D123" s="429"/>
      <c r="E123" s="429"/>
    </row>
    <row r="124" spans="1:5" s="427" customFormat="1" x14ac:dyDescent="0.35">
      <c r="A124" s="428"/>
      <c r="C124" s="359"/>
      <c r="D124" s="429"/>
      <c r="E124" s="429"/>
    </row>
    <row r="125" spans="1:5" s="427" customFormat="1" x14ac:dyDescent="0.35">
      <c r="A125" s="428"/>
      <c r="C125" s="359"/>
      <c r="D125" s="429"/>
      <c r="E125" s="429"/>
    </row>
    <row r="126" spans="1:5" s="427" customFormat="1" x14ac:dyDescent="0.35">
      <c r="A126" s="428"/>
      <c r="C126" s="359"/>
      <c r="D126" s="429"/>
      <c r="E126" s="429"/>
    </row>
    <row r="127" spans="1:5" s="427" customFormat="1" x14ac:dyDescent="0.35">
      <c r="A127" s="428"/>
      <c r="C127" s="359"/>
      <c r="D127" s="429"/>
      <c r="E127" s="429"/>
    </row>
    <row r="128" spans="1:5" s="427" customFormat="1" x14ac:dyDescent="0.35">
      <c r="A128" s="428"/>
      <c r="C128" s="359"/>
      <c r="D128" s="429"/>
      <c r="E128" s="429"/>
    </row>
    <row r="129" spans="1:5" s="427" customFormat="1" x14ac:dyDescent="0.35">
      <c r="A129" s="428"/>
      <c r="C129" s="359"/>
      <c r="D129" s="429"/>
      <c r="E129" s="429"/>
    </row>
    <row r="130" spans="1:5" s="427" customFormat="1" x14ac:dyDescent="0.35">
      <c r="A130" s="428"/>
      <c r="C130" s="359"/>
      <c r="D130" s="429"/>
      <c r="E130" s="429"/>
    </row>
    <row r="131" spans="1:5" s="427" customFormat="1" x14ac:dyDescent="0.35">
      <c r="A131" s="428"/>
      <c r="C131" s="359"/>
      <c r="D131" s="429"/>
      <c r="E131" s="429"/>
    </row>
    <row r="132" spans="1:5" s="427" customFormat="1" x14ac:dyDescent="0.35">
      <c r="A132" s="428"/>
      <c r="C132" s="359"/>
      <c r="D132" s="429"/>
      <c r="E132" s="429"/>
    </row>
    <row r="133" spans="1:5" s="427" customFormat="1" x14ac:dyDescent="0.35">
      <c r="A133" s="428"/>
      <c r="C133" s="359"/>
      <c r="D133" s="429"/>
      <c r="E133" s="429"/>
    </row>
    <row r="134" spans="1:5" s="427" customFormat="1" x14ac:dyDescent="0.35">
      <c r="A134" s="428"/>
      <c r="C134" s="359"/>
      <c r="D134" s="429"/>
      <c r="E134" s="429"/>
    </row>
    <row r="135" spans="1:5" s="427" customFormat="1" x14ac:dyDescent="0.35">
      <c r="A135" s="428"/>
      <c r="C135" s="359"/>
      <c r="D135" s="429"/>
      <c r="E135" s="429"/>
    </row>
    <row r="136" spans="1:5" s="427" customFormat="1" x14ac:dyDescent="0.35">
      <c r="A136" s="428"/>
      <c r="C136" s="359"/>
      <c r="D136" s="429"/>
      <c r="E136" s="429"/>
    </row>
    <row r="137" spans="1:5" s="427" customFormat="1" x14ac:dyDescent="0.35">
      <c r="A137" s="428"/>
      <c r="C137" s="359"/>
      <c r="D137" s="429"/>
      <c r="E137" s="429"/>
    </row>
    <row r="138" spans="1:5" s="427" customFormat="1" x14ac:dyDescent="0.35">
      <c r="A138" s="428"/>
      <c r="C138" s="359"/>
      <c r="D138" s="429"/>
      <c r="E138" s="429"/>
    </row>
    <row r="139" spans="1:5" s="427" customFormat="1" x14ac:dyDescent="0.35">
      <c r="A139" s="428"/>
      <c r="C139" s="359"/>
      <c r="D139" s="429"/>
      <c r="E139" s="429"/>
    </row>
    <row r="140" spans="1:5" s="427" customFormat="1" x14ac:dyDescent="0.35">
      <c r="A140" s="428"/>
      <c r="C140" s="359"/>
      <c r="D140" s="429"/>
      <c r="E140" s="429"/>
    </row>
    <row r="141" spans="1:5" s="427" customFormat="1" x14ac:dyDescent="0.35">
      <c r="A141" s="428"/>
      <c r="C141" s="359"/>
      <c r="D141" s="429"/>
      <c r="E141" s="429"/>
    </row>
    <row r="142" spans="1:5" s="427" customFormat="1" x14ac:dyDescent="0.35">
      <c r="A142" s="428"/>
      <c r="C142" s="359"/>
      <c r="D142" s="429"/>
      <c r="E142" s="429"/>
    </row>
    <row r="143" spans="1:5" s="427" customFormat="1" x14ac:dyDescent="0.35">
      <c r="A143" s="428"/>
      <c r="C143" s="359"/>
      <c r="D143" s="429"/>
      <c r="E143" s="429"/>
    </row>
    <row r="144" spans="1:5" s="427" customFormat="1" x14ac:dyDescent="0.35">
      <c r="A144" s="428"/>
      <c r="C144" s="359"/>
      <c r="D144" s="429"/>
      <c r="E144" s="429"/>
    </row>
    <row r="145" spans="1:5" s="427" customFormat="1" x14ac:dyDescent="0.35">
      <c r="A145" s="428"/>
      <c r="C145" s="359"/>
      <c r="D145" s="429"/>
      <c r="E145" s="429"/>
    </row>
    <row r="146" spans="1:5" s="427" customFormat="1" x14ac:dyDescent="0.35">
      <c r="A146" s="428"/>
      <c r="C146" s="359"/>
      <c r="D146" s="429"/>
      <c r="E146" s="429"/>
    </row>
    <row r="147" spans="1:5" s="427" customFormat="1" x14ac:dyDescent="0.35">
      <c r="A147" s="428"/>
      <c r="C147" s="359"/>
      <c r="D147" s="429"/>
      <c r="E147" s="429"/>
    </row>
    <row r="148" spans="1:5" s="427" customFormat="1" x14ac:dyDescent="0.35">
      <c r="A148" s="428"/>
      <c r="C148" s="359"/>
      <c r="D148" s="429"/>
      <c r="E148" s="429"/>
    </row>
    <row r="149" spans="1:5" s="427" customFormat="1" x14ac:dyDescent="0.35">
      <c r="A149" s="428"/>
      <c r="C149" s="359"/>
      <c r="D149" s="429"/>
      <c r="E149" s="429"/>
    </row>
    <row r="150" spans="1:5" s="427" customFormat="1" x14ac:dyDescent="0.35">
      <c r="A150" s="428"/>
      <c r="C150" s="359"/>
      <c r="D150" s="429"/>
      <c r="E150" s="429"/>
    </row>
    <row r="151" spans="1:5" s="427" customFormat="1" x14ac:dyDescent="0.35">
      <c r="A151" s="428"/>
      <c r="C151" s="359"/>
      <c r="D151" s="429"/>
      <c r="E151" s="429"/>
    </row>
    <row r="152" spans="1:5" s="427" customFormat="1" x14ac:dyDescent="0.35">
      <c r="A152" s="428"/>
      <c r="C152" s="359"/>
      <c r="D152" s="429"/>
      <c r="E152" s="429"/>
    </row>
    <row r="153" spans="1:5" s="427" customFormat="1" x14ac:dyDescent="0.35">
      <c r="A153" s="428"/>
      <c r="C153" s="359"/>
      <c r="D153" s="429"/>
      <c r="E153" s="429"/>
    </row>
    <row r="154" spans="1:5" s="427" customFormat="1" x14ac:dyDescent="0.35">
      <c r="A154" s="428"/>
      <c r="C154" s="359"/>
      <c r="D154" s="429"/>
      <c r="E154" s="429"/>
    </row>
    <row r="155" spans="1:5" s="427" customFormat="1" x14ac:dyDescent="0.35">
      <c r="A155" s="428"/>
      <c r="C155" s="359"/>
      <c r="D155" s="429"/>
      <c r="E155" s="429"/>
    </row>
    <row r="156" spans="1:5" s="427" customFormat="1" x14ac:dyDescent="0.35">
      <c r="A156" s="428"/>
      <c r="C156" s="359"/>
      <c r="D156" s="429"/>
      <c r="E156" s="429"/>
    </row>
    <row r="157" spans="1:5" s="427" customFormat="1" x14ac:dyDescent="0.35">
      <c r="A157" s="428"/>
      <c r="C157" s="359"/>
      <c r="D157" s="429"/>
      <c r="E157" s="429"/>
    </row>
    <row r="158" spans="1:5" s="427" customFormat="1" x14ac:dyDescent="0.35">
      <c r="A158" s="428"/>
      <c r="C158" s="359"/>
      <c r="D158" s="429"/>
      <c r="E158" s="429"/>
    </row>
    <row r="159" spans="1:5" s="427" customFormat="1" x14ac:dyDescent="0.35">
      <c r="A159" s="428"/>
      <c r="C159" s="359"/>
      <c r="D159" s="429"/>
      <c r="E159" s="429"/>
    </row>
    <row r="160" spans="1:5" s="427" customFormat="1" x14ac:dyDescent="0.35">
      <c r="A160" s="428"/>
      <c r="C160" s="359"/>
      <c r="D160" s="429"/>
      <c r="E160" s="429"/>
    </row>
    <row r="161" spans="1:5" s="427" customFormat="1" x14ac:dyDescent="0.35">
      <c r="A161" s="428"/>
      <c r="C161" s="359"/>
      <c r="D161" s="429"/>
      <c r="E161" s="429"/>
    </row>
    <row r="162" spans="1:5" s="427" customFormat="1" x14ac:dyDescent="0.35">
      <c r="A162" s="428"/>
      <c r="C162" s="359"/>
      <c r="D162" s="429"/>
      <c r="E162" s="429"/>
    </row>
    <row r="163" spans="1:5" s="427" customFormat="1" x14ac:dyDescent="0.35">
      <c r="A163" s="428"/>
      <c r="C163" s="359"/>
      <c r="D163" s="429"/>
      <c r="E163" s="429"/>
    </row>
    <row r="164" spans="1:5" s="427" customFormat="1" x14ac:dyDescent="0.35">
      <c r="A164" s="428"/>
      <c r="C164" s="359"/>
      <c r="D164" s="429"/>
      <c r="E164" s="429"/>
    </row>
    <row r="165" spans="1:5" s="427" customFormat="1" x14ac:dyDescent="0.35">
      <c r="A165" s="428"/>
      <c r="C165" s="359"/>
      <c r="D165" s="429"/>
      <c r="E165" s="429"/>
    </row>
    <row r="166" spans="1:5" s="427" customFormat="1" x14ac:dyDescent="0.35">
      <c r="A166" s="428"/>
      <c r="C166" s="359"/>
      <c r="D166" s="429"/>
      <c r="E166" s="429"/>
    </row>
    <row r="167" spans="1:5" s="427" customFormat="1" x14ac:dyDescent="0.35">
      <c r="A167" s="428"/>
      <c r="C167" s="359"/>
      <c r="D167" s="429"/>
      <c r="E167" s="429"/>
    </row>
    <row r="168" spans="1:5" s="427" customFormat="1" x14ac:dyDescent="0.35">
      <c r="A168" s="428"/>
      <c r="C168" s="359"/>
      <c r="D168" s="429"/>
      <c r="E168" s="429"/>
    </row>
    <row r="169" spans="1:5" s="427" customFormat="1" x14ac:dyDescent="0.35">
      <c r="A169" s="428"/>
      <c r="C169" s="359"/>
      <c r="D169" s="429"/>
      <c r="E169" s="429"/>
    </row>
    <row r="170" spans="1:5" s="427" customFormat="1" x14ac:dyDescent="0.35">
      <c r="A170" s="428"/>
      <c r="C170" s="359"/>
      <c r="D170" s="429"/>
      <c r="E170" s="429"/>
    </row>
    <row r="171" spans="1:5" s="427" customFormat="1" x14ac:dyDescent="0.35">
      <c r="A171" s="428"/>
      <c r="C171" s="359"/>
      <c r="D171" s="429"/>
      <c r="E171" s="429"/>
    </row>
    <row r="172" spans="1:5" s="427" customFormat="1" x14ac:dyDescent="0.35">
      <c r="A172" s="428"/>
      <c r="C172" s="359"/>
      <c r="D172" s="429"/>
      <c r="E172" s="429"/>
    </row>
    <row r="173" spans="1:5" s="427" customFormat="1" x14ac:dyDescent="0.35">
      <c r="A173" s="428"/>
      <c r="C173" s="359"/>
      <c r="D173" s="429"/>
      <c r="E173" s="429"/>
    </row>
    <row r="174" spans="1:5" s="427" customFormat="1" x14ac:dyDescent="0.35">
      <c r="A174" s="428"/>
      <c r="C174" s="359"/>
      <c r="D174" s="429"/>
      <c r="E174" s="429"/>
    </row>
    <row r="175" spans="1:5" s="427" customFormat="1" x14ac:dyDescent="0.35">
      <c r="A175" s="428"/>
      <c r="C175" s="359"/>
      <c r="D175" s="429"/>
      <c r="E175" s="429"/>
    </row>
    <row r="176" spans="1:5" s="427" customFormat="1" x14ac:dyDescent="0.35">
      <c r="A176" s="428"/>
      <c r="C176" s="359"/>
      <c r="D176" s="429"/>
      <c r="E176" s="429"/>
    </row>
    <row r="177" spans="1:5" s="427" customFormat="1" x14ac:dyDescent="0.35">
      <c r="A177" s="428"/>
      <c r="C177" s="359"/>
      <c r="D177" s="429"/>
      <c r="E177" s="429"/>
    </row>
    <row r="178" spans="1:5" s="427" customFormat="1" x14ac:dyDescent="0.35">
      <c r="A178" s="428"/>
      <c r="C178" s="359"/>
      <c r="D178" s="429"/>
      <c r="E178" s="429"/>
    </row>
    <row r="179" spans="1:5" s="427" customFormat="1" x14ac:dyDescent="0.35">
      <c r="A179" s="428"/>
      <c r="C179" s="359"/>
      <c r="D179" s="429"/>
      <c r="E179" s="429"/>
    </row>
    <row r="180" spans="1:5" s="427" customFormat="1" x14ac:dyDescent="0.35">
      <c r="A180" s="428"/>
      <c r="C180" s="359"/>
      <c r="D180" s="429"/>
      <c r="E180" s="429"/>
    </row>
    <row r="181" spans="1:5" s="427" customFormat="1" x14ac:dyDescent="0.35">
      <c r="A181" s="428"/>
      <c r="C181" s="359"/>
      <c r="D181" s="429"/>
      <c r="E181" s="429"/>
    </row>
    <row r="182" spans="1:5" s="427" customFormat="1" x14ac:dyDescent="0.35">
      <c r="A182" s="428"/>
      <c r="C182" s="359"/>
      <c r="D182" s="429"/>
      <c r="E182" s="429"/>
    </row>
    <row r="183" spans="1:5" s="427" customFormat="1" x14ac:dyDescent="0.35">
      <c r="A183" s="428"/>
      <c r="C183" s="359"/>
      <c r="D183" s="429"/>
      <c r="E183" s="429"/>
    </row>
    <row r="184" spans="1:5" s="427" customFormat="1" x14ac:dyDescent="0.35">
      <c r="A184" s="428"/>
      <c r="C184" s="359"/>
      <c r="D184" s="429"/>
      <c r="E184" s="429"/>
    </row>
    <row r="185" spans="1:5" s="427" customFormat="1" x14ac:dyDescent="0.35">
      <c r="A185" s="428"/>
      <c r="C185" s="359"/>
      <c r="D185" s="429"/>
      <c r="E185" s="429"/>
    </row>
    <row r="186" spans="1:5" s="427" customFormat="1" x14ac:dyDescent="0.35">
      <c r="A186" s="428"/>
      <c r="C186" s="359"/>
      <c r="D186" s="429"/>
      <c r="E186" s="429"/>
    </row>
    <row r="187" spans="1:5" s="427" customFormat="1" x14ac:dyDescent="0.35">
      <c r="A187" s="428"/>
      <c r="C187" s="359"/>
      <c r="D187" s="429"/>
      <c r="E187" s="429"/>
    </row>
    <row r="188" spans="1:5" s="427" customFormat="1" x14ac:dyDescent="0.35">
      <c r="A188" s="428"/>
      <c r="C188" s="359"/>
      <c r="D188" s="429"/>
      <c r="E188" s="429"/>
    </row>
    <row r="189" spans="1:5" s="427" customFormat="1" x14ac:dyDescent="0.35">
      <c r="A189" s="428"/>
      <c r="C189" s="359"/>
      <c r="D189" s="429"/>
      <c r="E189" s="429"/>
    </row>
    <row r="190" spans="1:5" s="427" customFormat="1" x14ac:dyDescent="0.35">
      <c r="A190" s="428"/>
      <c r="C190" s="359"/>
      <c r="D190" s="429"/>
      <c r="E190" s="429"/>
    </row>
    <row r="191" spans="1:5" s="427" customFormat="1" x14ac:dyDescent="0.35">
      <c r="A191" s="428"/>
      <c r="C191" s="359"/>
      <c r="D191" s="429"/>
      <c r="E191" s="429"/>
    </row>
    <row r="192" spans="1:5" s="427" customFormat="1" x14ac:dyDescent="0.35">
      <c r="A192" s="428"/>
      <c r="C192" s="359"/>
      <c r="D192" s="429"/>
      <c r="E192" s="429"/>
    </row>
    <row r="193" spans="1:5" s="427" customFormat="1" x14ac:dyDescent="0.35">
      <c r="A193" s="428"/>
      <c r="C193" s="359"/>
      <c r="D193" s="429"/>
      <c r="E193" s="429"/>
    </row>
    <row r="194" spans="1:5" s="427" customFormat="1" x14ac:dyDescent="0.35">
      <c r="A194" s="428"/>
      <c r="C194" s="359"/>
      <c r="D194" s="429"/>
      <c r="E194" s="429"/>
    </row>
    <row r="195" spans="1:5" s="427" customFormat="1" x14ac:dyDescent="0.35">
      <c r="A195" s="428"/>
      <c r="C195" s="359"/>
      <c r="D195" s="429"/>
      <c r="E195" s="429"/>
    </row>
    <row r="196" spans="1:5" s="427" customFormat="1" x14ac:dyDescent="0.35">
      <c r="A196" s="428"/>
      <c r="C196" s="359"/>
      <c r="D196" s="429"/>
      <c r="E196" s="429"/>
    </row>
    <row r="197" spans="1:5" s="427" customFormat="1" x14ac:dyDescent="0.35">
      <c r="A197" s="428"/>
      <c r="C197" s="359"/>
      <c r="D197" s="429"/>
      <c r="E197" s="429"/>
    </row>
    <row r="198" spans="1:5" s="427" customFormat="1" x14ac:dyDescent="0.35">
      <c r="A198" s="428"/>
      <c r="C198" s="359"/>
      <c r="D198" s="429"/>
      <c r="E198" s="429"/>
    </row>
    <row r="199" spans="1:5" s="427" customFormat="1" x14ac:dyDescent="0.35">
      <c r="A199" s="428"/>
      <c r="C199" s="359"/>
      <c r="D199" s="429"/>
      <c r="E199" s="429"/>
    </row>
    <row r="200" spans="1:5" s="427" customFormat="1" x14ac:dyDescent="0.35">
      <c r="A200" s="428"/>
      <c r="C200" s="359"/>
      <c r="D200" s="429"/>
      <c r="E200" s="429"/>
    </row>
    <row r="201" spans="1:5" s="427" customFormat="1" x14ac:dyDescent="0.35">
      <c r="A201" s="428"/>
      <c r="C201" s="359"/>
      <c r="D201" s="429"/>
      <c r="E201" s="429"/>
    </row>
    <row r="202" spans="1:5" s="427" customFormat="1" x14ac:dyDescent="0.35">
      <c r="A202" s="428"/>
      <c r="C202" s="359"/>
      <c r="D202" s="429"/>
      <c r="E202" s="429"/>
    </row>
    <row r="203" spans="1:5" s="427" customFormat="1" x14ac:dyDescent="0.35">
      <c r="A203" s="428"/>
      <c r="C203" s="359"/>
      <c r="D203" s="429"/>
      <c r="E203" s="429"/>
    </row>
    <row r="204" spans="1:5" s="427" customFormat="1" x14ac:dyDescent="0.35">
      <c r="A204" s="428"/>
      <c r="C204" s="359"/>
      <c r="D204" s="429"/>
      <c r="E204" s="429"/>
    </row>
    <row r="205" spans="1:5" s="427" customFormat="1" x14ac:dyDescent="0.35">
      <c r="A205" s="428"/>
      <c r="C205" s="359"/>
      <c r="D205" s="429"/>
      <c r="E205" s="429"/>
    </row>
    <row r="206" spans="1:5" s="427" customFormat="1" x14ac:dyDescent="0.35">
      <c r="A206" s="428"/>
      <c r="C206" s="359"/>
      <c r="D206" s="429"/>
      <c r="E206" s="429"/>
    </row>
    <row r="207" spans="1:5" s="427" customFormat="1" x14ac:dyDescent="0.35">
      <c r="A207" s="428"/>
      <c r="C207" s="359"/>
      <c r="D207" s="429"/>
      <c r="E207" s="429"/>
    </row>
    <row r="208" spans="1:5" s="427" customFormat="1" x14ac:dyDescent="0.35">
      <c r="A208" s="428"/>
      <c r="C208" s="359"/>
      <c r="D208" s="429"/>
      <c r="E208" s="429"/>
    </row>
    <row r="209" spans="1:5" s="427" customFormat="1" x14ac:dyDescent="0.35">
      <c r="A209" s="428"/>
      <c r="C209" s="359"/>
      <c r="D209" s="429"/>
      <c r="E209" s="429"/>
    </row>
    <row r="210" spans="1:5" s="427" customFormat="1" x14ac:dyDescent="0.35">
      <c r="A210" s="428"/>
      <c r="C210" s="359"/>
      <c r="D210" s="429"/>
      <c r="E210" s="429"/>
    </row>
    <row r="211" spans="1:5" s="427" customFormat="1" x14ac:dyDescent="0.35">
      <c r="A211" s="428"/>
      <c r="C211" s="359"/>
      <c r="D211" s="429"/>
      <c r="E211" s="429"/>
    </row>
    <row r="212" spans="1:5" s="427" customFormat="1" x14ac:dyDescent="0.35">
      <c r="A212" s="428"/>
      <c r="C212" s="359"/>
      <c r="D212" s="429"/>
      <c r="E212" s="429"/>
    </row>
    <row r="213" spans="1:5" s="427" customFormat="1" x14ac:dyDescent="0.35">
      <c r="A213" s="428"/>
      <c r="C213" s="359"/>
      <c r="D213" s="429"/>
      <c r="E213" s="429"/>
    </row>
    <row r="214" spans="1:5" s="427" customFormat="1" x14ac:dyDescent="0.35">
      <c r="A214" s="428"/>
      <c r="C214" s="359"/>
      <c r="D214" s="429"/>
      <c r="E214" s="429"/>
    </row>
    <row r="215" spans="1:5" s="427" customFormat="1" x14ac:dyDescent="0.35">
      <c r="A215" s="428"/>
      <c r="C215" s="359"/>
      <c r="D215" s="429"/>
      <c r="E215" s="429"/>
    </row>
    <row r="216" spans="1:5" s="427" customFormat="1" x14ac:dyDescent="0.35">
      <c r="A216" s="428"/>
      <c r="C216" s="359"/>
      <c r="D216" s="429"/>
      <c r="E216" s="429"/>
    </row>
    <row r="217" spans="1:5" s="427" customFormat="1" x14ac:dyDescent="0.35">
      <c r="A217" s="428"/>
      <c r="C217" s="359"/>
      <c r="D217" s="429"/>
      <c r="E217" s="429"/>
    </row>
    <row r="218" spans="1:5" s="427" customFormat="1" x14ac:dyDescent="0.35">
      <c r="A218" s="428"/>
      <c r="C218" s="359"/>
      <c r="D218" s="429"/>
      <c r="E218" s="429"/>
    </row>
    <row r="219" spans="1:5" s="427" customFormat="1" x14ac:dyDescent="0.35">
      <c r="A219" s="428"/>
      <c r="C219" s="359"/>
      <c r="D219" s="429"/>
      <c r="E219" s="429"/>
    </row>
    <row r="220" spans="1:5" s="427" customFormat="1" x14ac:dyDescent="0.35">
      <c r="A220" s="428"/>
      <c r="C220" s="359"/>
      <c r="D220" s="429"/>
      <c r="E220" s="429"/>
    </row>
    <row r="221" spans="1:5" s="427" customFormat="1" x14ac:dyDescent="0.35">
      <c r="A221" s="428"/>
      <c r="C221" s="359"/>
      <c r="D221" s="429"/>
      <c r="E221" s="429"/>
    </row>
    <row r="222" spans="1:5" s="427" customFormat="1" x14ac:dyDescent="0.35">
      <c r="A222" s="428"/>
      <c r="C222" s="359"/>
      <c r="D222" s="429"/>
      <c r="E222" s="429"/>
    </row>
    <row r="223" spans="1:5" s="427" customFormat="1" x14ac:dyDescent="0.35">
      <c r="A223" s="428"/>
      <c r="C223" s="359"/>
      <c r="D223" s="429"/>
      <c r="E223" s="429"/>
    </row>
    <row r="224" spans="1:5" s="427" customFormat="1" x14ac:dyDescent="0.35">
      <c r="A224" s="428"/>
      <c r="C224" s="359"/>
      <c r="D224" s="429"/>
      <c r="E224" s="429"/>
    </row>
    <row r="225" spans="1:5" s="427" customFormat="1" x14ac:dyDescent="0.35">
      <c r="A225" s="428"/>
      <c r="C225" s="359"/>
      <c r="D225" s="429"/>
      <c r="E225" s="429"/>
    </row>
    <row r="226" spans="1:5" s="427" customFormat="1" x14ac:dyDescent="0.35">
      <c r="A226" s="428"/>
      <c r="C226" s="359"/>
      <c r="D226" s="429"/>
      <c r="E226" s="429"/>
    </row>
    <row r="227" spans="1:5" s="427" customFormat="1" x14ac:dyDescent="0.35">
      <c r="A227" s="428"/>
      <c r="C227" s="359"/>
      <c r="D227" s="429"/>
      <c r="E227" s="429"/>
    </row>
    <row r="228" spans="1:5" s="427" customFormat="1" x14ac:dyDescent="0.35">
      <c r="A228" s="428"/>
      <c r="C228" s="359"/>
      <c r="D228" s="429"/>
      <c r="E228" s="429"/>
    </row>
    <row r="229" spans="1:5" s="427" customFormat="1" x14ac:dyDescent="0.35">
      <c r="A229" s="428"/>
      <c r="C229" s="359"/>
      <c r="D229" s="429"/>
      <c r="E229" s="429"/>
    </row>
    <row r="230" spans="1:5" s="427" customFormat="1" x14ac:dyDescent="0.35">
      <c r="A230" s="428"/>
      <c r="C230" s="359"/>
      <c r="D230" s="429"/>
      <c r="E230" s="429"/>
    </row>
    <row r="231" spans="1:5" s="427" customFormat="1" x14ac:dyDescent="0.35">
      <c r="A231" s="428"/>
      <c r="C231" s="359"/>
      <c r="D231" s="429"/>
      <c r="E231" s="429"/>
    </row>
    <row r="232" spans="1:5" s="427" customFormat="1" x14ac:dyDescent="0.35">
      <c r="A232" s="428"/>
      <c r="C232" s="359"/>
      <c r="D232" s="429"/>
      <c r="E232" s="429"/>
    </row>
    <row r="233" spans="1:5" s="427" customFormat="1" x14ac:dyDescent="0.35">
      <c r="A233" s="428"/>
      <c r="C233" s="359"/>
      <c r="D233" s="429"/>
      <c r="E233" s="429"/>
    </row>
    <row r="234" spans="1:5" s="427" customFormat="1" x14ac:dyDescent="0.35">
      <c r="A234" s="428"/>
      <c r="C234" s="359"/>
      <c r="D234" s="429"/>
      <c r="E234" s="429"/>
    </row>
    <row r="235" spans="1:5" s="427" customFormat="1" x14ac:dyDescent="0.35">
      <c r="A235" s="428"/>
      <c r="C235" s="359"/>
      <c r="D235" s="429"/>
      <c r="E235" s="429"/>
    </row>
    <row r="236" spans="1:5" s="427" customFormat="1" x14ac:dyDescent="0.35">
      <c r="A236" s="428"/>
      <c r="C236" s="359"/>
      <c r="D236" s="429"/>
      <c r="E236" s="429"/>
    </row>
    <row r="237" spans="1:5" s="427" customFormat="1" x14ac:dyDescent="0.35">
      <c r="A237" s="428"/>
      <c r="C237" s="359"/>
      <c r="D237" s="429"/>
      <c r="E237" s="429"/>
    </row>
    <row r="238" spans="1:5" s="427" customFormat="1" x14ac:dyDescent="0.35">
      <c r="A238" s="428"/>
      <c r="C238" s="359"/>
      <c r="D238" s="429"/>
      <c r="E238" s="429"/>
    </row>
    <row r="239" spans="1:5" s="427" customFormat="1" x14ac:dyDescent="0.35">
      <c r="A239" s="428"/>
      <c r="C239" s="359"/>
      <c r="D239" s="429"/>
      <c r="E239" s="429"/>
    </row>
    <row r="240" spans="1:5" s="427" customFormat="1" x14ac:dyDescent="0.35">
      <c r="A240" s="428"/>
      <c r="C240" s="359"/>
      <c r="D240" s="429"/>
      <c r="E240" s="429"/>
    </row>
    <row r="241" spans="1:5" s="427" customFormat="1" x14ac:dyDescent="0.35">
      <c r="A241" s="428"/>
      <c r="C241" s="359"/>
      <c r="D241" s="429"/>
      <c r="E241" s="429"/>
    </row>
    <row r="242" spans="1:5" s="427" customFormat="1" x14ac:dyDescent="0.35">
      <c r="A242" s="428"/>
      <c r="C242" s="359"/>
      <c r="D242" s="429"/>
      <c r="E242" s="429"/>
    </row>
    <row r="243" spans="1:5" s="427" customFormat="1" x14ac:dyDescent="0.35">
      <c r="A243" s="428"/>
      <c r="C243" s="359"/>
      <c r="D243" s="429"/>
      <c r="E243" s="429"/>
    </row>
    <row r="244" spans="1:5" s="427" customFormat="1" x14ac:dyDescent="0.35">
      <c r="A244" s="428"/>
      <c r="C244" s="359"/>
      <c r="D244" s="429"/>
      <c r="E244" s="429"/>
    </row>
    <row r="245" spans="1:5" s="427" customFormat="1" x14ac:dyDescent="0.35">
      <c r="A245" s="428"/>
      <c r="C245" s="359"/>
      <c r="D245" s="429"/>
      <c r="E245" s="429"/>
    </row>
    <row r="246" spans="1:5" s="427" customFormat="1" x14ac:dyDescent="0.35">
      <c r="A246" s="428"/>
      <c r="C246" s="359"/>
      <c r="D246" s="429"/>
      <c r="E246" s="429"/>
    </row>
    <row r="247" spans="1:5" s="427" customFormat="1" x14ac:dyDescent="0.35">
      <c r="A247" s="428"/>
      <c r="C247" s="359"/>
      <c r="D247" s="429"/>
      <c r="E247" s="429"/>
    </row>
    <row r="248" spans="1:5" s="427" customFormat="1" x14ac:dyDescent="0.35">
      <c r="A248" s="428"/>
      <c r="C248" s="359"/>
      <c r="D248" s="429"/>
      <c r="E248" s="429"/>
    </row>
    <row r="249" spans="1:5" s="427" customFormat="1" x14ac:dyDescent="0.35">
      <c r="A249" s="428"/>
      <c r="C249" s="359"/>
      <c r="D249" s="429"/>
      <c r="E249" s="429"/>
    </row>
    <row r="250" spans="1:5" s="427" customFormat="1" x14ac:dyDescent="0.35">
      <c r="A250" s="428"/>
      <c r="C250" s="359"/>
      <c r="D250" s="429"/>
      <c r="E250" s="429"/>
    </row>
    <row r="251" spans="1:5" s="427" customFormat="1" x14ac:dyDescent="0.35">
      <c r="A251" s="428"/>
      <c r="C251" s="359"/>
      <c r="D251" s="429"/>
      <c r="E251" s="429"/>
    </row>
    <row r="252" spans="1:5" s="427" customFormat="1" x14ac:dyDescent="0.35">
      <c r="A252" s="428"/>
      <c r="C252" s="359"/>
      <c r="D252" s="429"/>
      <c r="E252" s="429"/>
    </row>
    <row r="253" spans="1:5" s="427" customFormat="1" x14ac:dyDescent="0.35">
      <c r="A253" s="428"/>
      <c r="C253" s="359"/>
      <c r="D253" s="429"/>
      <c r="E253" s="429"/>
    </row>
    <row r="254" spans="1:5" s="427" customFormat="1" x14ac:dyDescent="0.35">
      <c r="A254" s="428"/>
      <c r="C254" s="359"/>
      <c r="D254" s="429"/>
      <c r="E254" s="429"/>
    </row>
    <row r="255" spans="1:5" s="427" customFormat="1" x14ac:dyDescent="0.35">
      <c r="A255" s="428"/>
      <c r="C255" s="359"/>
      <c r="D255" s="429"/>
      <c r="E255" s="429"/>
    </row>
    <row r="256" spans="1:5" s="427" customFormat="1" x14ac:dyDescent="0.35">
      <c r="A256" s="428"/>
      <c r="C256" s="359"/>
      <c r="D256" s="429"/>
      <c r="E256" s="429"/>
    </row>
    <row r="257" spans="1:5" s="427" customFormat="1" x14ac:dyDescent="0.35">
      <c r="A257" s="428"/>
      <c r="C257" s="359"/>
      <c r="D257" s="429"/>
      <c r="E257" s="429"/>
    </row>
    <row r="258" spans="1:5" s="427" customFormat="1" x14ac:dyDescent="0.35">
      <c r="A258" s="428"/>
      <c r="C258" s="359"/>
      <c r="D258" s="429"/>
      <c r="E258" s="429"/>
    </row>
    <row r="259" spans="1:5" s="427" customFormat="1" x14ac:dyDescent="0.35">
      <c r="A259" s="428"/>
      <c r="C259" s="359"/>
      <c r="D259" s="429"/>
      <c r="E259" s="429"/>
    </row>
    <row r="260" spans="1:5" s="427" customFormat="1" x14ac:dyDescent="0.35">
      <c r="A260" s="428"/>
      <c r="C260" s="359"/>
      <c r="D260" s="429"/>
      <c r="E260" s="429"/>
    </row>
    <row r="261" spans="1:5" s="427" customFormat="1" x14ac:dyDescent="0.35">
      <c r="A261" s="428"/>
      <c r="C261" s="359"/>
      <c r="D261" s="429"/>
      <c r="E261" s="429"/>
    </row>
    <row r="262" spans="1:5" s="427" customFormat="1" x14ac:dyDescent="0.35">
      <c r="A262" s="428"/>
      <c r="C262" s="359"/>
      <c r="D262" s="429"/>
      <c r="E262" s="429"/>
    </row>
    <row r="263" spans="1:5" s="427" customFormat="1" x14ac:dyDescent="0.35">
      <c r="A263" s="428"/>
      <c r="C263" s="359"/>
      <c r="D263" s="429"/>
      <c r="E263" s="429"/>
    </row>
    <row r="264" spans="1:5" s="427" customFormat="1" x14ac:dyDescent="0.35">
      <c r="A264" s="428"/>
      <c r="C264" s="359"/>
      <c r="D264" s="429"/>
      <c r="E264" s="429"/>
    </row>
    <row r="265" spans="1:5" s="427" customFormat="1" x14ac:dyDescent="0.35">
      <c r="A265" s="428"/>
      <c r="C265" s="359"/>
      <c r="D265" s="429"/>
      <c r="E265" s="429"/>
    </row>
    <row r="266" spans="1:5" s="427" customFormat="1" x14ac:dyDescent="0.35">
      <c r="A266" s="428"/>
      <c r="C266" s="359"/>
      <c r="D266" s="429"/>
      <c r="E266" s="429"/>
    </row>
    <row r="267" spans="1:5" s="427" customFormat="1" x14ac:dyDescent="0.35">
      <c r="A267" s="428"/>
      <c r="C267" s="359"/>
      <c r="D267" s="429"/>
      <c r="E267" s="429"/>
    </row>
    <row r="268" spans="1:5" s="427" customFormat="1" x14ac:dyDescent="0.35">
      <c r="A268" s="428"/>
      <c r="C268" s="359"/>
      <c r="D268" s="429"/>
      <c r="E268" s="429"/>
    </row>
    <row r="269" spans="1:5" s="427" customFormat="1" x14ac:dyDescent="0.35">
      <c r="A269" s="428"/>
      <c r="C269" s="359"/>
      <c r="D269" s="429"/>
      <c r="E269" s="429"/>
    </row>
    <row r="270" spans="1:5" s="427" customFormat="1" x14ac:dyDescent="0.35">
      <c r="A270" s="428"/>
      <c r="C270" s="359"/>
      <c r="D270" s="429"/>
      <c r="E270" s="429"/>
    </row>
    <row r="271" spans="1:5" s="427" customFormat="1" x14ac:dyDescent="0.35">
      <c r="A271" s="428"/>
      <c r="C271" s="359"/>
      <c r="D271" s="429"/>
      <c r="E271" s="429"/>
    </row>
    <row r="272" spans="1:5" s="427" customFormat="1" x14ac:dyDescent="0.35">
      <c r="A272" s="428"/>
      <c r="C272" s="359"/>
      <c r="D272" s="429"/>
      <c r="E272" s="429"/>
    </row>
    <row r="273" spans="1:5" s="427" customFormat="1" x14ac:dyDescent="0.35">
      <c r="A273" s="428"/>
      <c r="C273" s="359"/>
      <c r="D273" s="429"/>
      <c r="E273" s="429"/>
    </row>
    <row r="274" spans="1:5" s="427" customFormat="1" x14ac:dyDescent="0.35">
      <c r="A274" s="428"/>
      <c r="C274" s="359"/>
      <c r="D274" s="429"/>
      <c r="E274" s="429"/>
    </row>
    <row r="275" spans="1:5" s="427" customFormat="1" x14ac:dyDescent="0.35">
      <c r="A275" s="428"/>
      <c r="C275" s="359"/>
      <c r="D275" s="429"/>
      <c r="E275" s="429"/>
    </row>
    <row r="276" spans="1:5" s="427" customFormat="1" x14ac:dyDescent="0.35">
      <c r="A276" s="428"/>
      <c r="C276" s="359"/>
      <c r="D276" s="429"/>
      <c r="E276" s="429"/>
    </row>
    <row r="277" spans="1:5" s="427" customFormat="1" x14ac:dyDescent="0.35">
      <c r="A277" s="428"/>
      <c r="C277" s="359"/>
      <c r="D277" s="429"/>
      <c r="E277" s="429"/>
    </row>
    <row r="278" spans="1:5" s="427" customFormat="1" x14ac:dyDescent="0.35">
      <c r="A278" s="428"/>
      <c r="C278" s="359"/>
      <c r="D278" s="429"/>
      <c r="E278" s="429"/>
    </row>
    <row r="279" spans="1:5" s="427" customFormat="1" x14ac:dyDescent="0.35">
      <c r="A279" s="428"/>
      <c r="C279" s="359"/>
      <c r="D279" s="429"/>
      <c r="E279" s="429"/>
    </row>
    <row r="280" spans="1:5" s="427" customFormat="1" x14ac:dyDescent="0.35">
      <c r="A280" s="428"/>
      <c r="C280" s="359"/>
      <c r="D280" s="429"/>
      <c r="E280" s="429"/>
    </row>
    <row r="281" spans="1:5" s="427" customFormat="1" x14ac:dyDescent="0.35">
      <c r="A281" s="428"/>
      <c r="C281" s="359"/>
      <c r="D281" s="429"/>
      <c r="E281" s="429"/>
    </row>
    <row r="282" spans="1:5" s="427" customFormat="1" x14ac:dyDescent="0.35">
      <c r="A282" s="428"/>
      <c r="C282" s="359"/>
      <c r="D282" s="429"/>
      <c r="E282" s="429"/>
    </row>
    <row r="283" spans="1:5" s="427" customFormat="1" x14ac:dyDescent="0.35">
      <c r="A283" s="428"/>
      <c r="C283" s="359"/>
      <c r="D283" s="429"/>
      <c r="E283" s="429"/>
    </row>
    <row r="284" spans="1:5" s="427" customFormat="1" x14ac:dyDescent="0.35">
      <c r="A284" s="428"/>
      <c r="C284" s="359"/>
      <c r="D284" s="429"/>
      <c r="E284" s="429"/>
    </row>
    <row r="285" spans="1:5" s="427" customFormat="1" x14ac:dyDescent="0.35">
      <c r="A285" s="428"/>
      <c r="C285" s="359"/>
      <c r="D285" s="429"/>
      <c r="E285" s="429"/>
    </row>
    <row r="286" spans="1:5" s="427" customFormat="1" x14ac:dyDescent="0.35">
      <c r="A286" s="428"/>
      <c r="C286" s="359"/>
      <c r="D286" s="429"/>
      <c r="E286" s="429"/>
    </row>
    <row r="287" spans="1:5" s="427" customFormat="1" x14ac:dyDescent="0.35">
      <c r="A287" s="428"/>
      <c r="C287" s="359"/>
      <c r="D287" s="429"/>
      <c r="E287" s="429"/>
    </row>
    <row r="288" spans="1:5" s="427" customFormat="1" x14ac:dyDescent="0.35">
      <c r="A288" s="428"/>
      <c r="C288" s="359"/>
      <c r="D288" s="429"/>
      <c r="E288" s="429"/>
    </row>
    <row r="289" spans="1:5" s="427" customFormat="1" x14ac:dyDescent="0.35">
      <c r="A289" s="428"/>
      <c r="C289" s="359"/>
      <c r="D289" s="429"/>
      <c r="E289" s="429"/>
    </row>
    <row r="290" spans="1:5" s="427" customFormat="1" x14ac:dyDescent="0.35">
      <c r="A290" s="428"/>
      <c r="C290" s="359"/>
      <c r="D290" s="429"/>
      <c r="E290" s="429"/>
    </row>
    <row r="291" spans="1:5" s="427" customFormat="1" x14ac:dyDescent="0.35">
      <c r="A291" s="428"/>
      <c r="C291" s="359"/>
      <c r="D291" s="429"/>
      <c r="E291" s="429"/>
    </row>
    <row r="292" spans="1:5" s="427" customFormat="1" x14ac:dyDescent="0.35">
      <c r="A292" s="428"/>
      <c r="C292" s="359"/>
      <c r="D292" s="429"/>
      <c r="E292" s="429"/>
    </row>
    <row r="293" spans="1:5" s="427" customFormat="1" x14ac:dyDescent="0.35">
      <c r="A293" s="428"/>
      <c r="C293" s="359"/>
      <c r="D293" s="429"/>
      <c r="E293" s="429"/>
    </row>
    <row r="294" spans="1:5" s="427" customFormat="1" x14ac:dyDescent="0.35">
      <c r="A294" s="428"/>
      <c r="C294" s="359"/>
      <c r="D294" s="429"/>
      <c r="E294" s="429"/>
    </row>
    <row r="295" spans="1:5" s="427" customFormat="1" x14ac:dyDescent="0.35">
      <c r="A295" s="428"/>
      <c r="C295" s="359"/>
      <c r="D295" s="429"/>
      <c r="E295" s="429"/>
    </row>
    <row r="296" spans="1:5" s="427" customFormat="1" x14ac:dyDescent="0.35">
      <c r="A296" s="428"/>
      <c r="C296" s="359"/>
      <c r="D296" s="429"/>
      <c r="E296" s="429"/>
    </row>
    <row r="297" spans="1:5" s="427" customFormat="1" x14ac:dyDescent="0.35">
      <c r="A297" s="428"/>
      <c r="C297" s="359"/>
      <c r="D297" s="429"/>
      <c r="E297" s="429"/>
    </row>
    <row r="298" spans="1:5" s="427" customFormat="1" x14ac:dyDescent="0.35">
      <c r="A298" s="428"/>
      <c r="C298" s="359"/>
      <c r="D298" s="429"/>
      <c r="E298" s="429"/>
    </row>
    <row r="299" spans="1:5" s="427" customFormat="1" x14ac:dyDescent="0.35">
      <c r="A299" s="428"/>
      <c r="C299" s="359"/>
      <c r="D299" s="429"/>
      <c r="E299" s="429"/>
    </row>
    <row r="300" spans="1:5" s="427" customFormat="1" x14ac:dyDescent="0.35">
      <c r="A300" s="428"/>
      <c r="C300" s="359"/>
      <c r="D300" s="429"/>
      <c r="E300" s="429"/>
    </row>
    <row r="301" spans="1:5" s="427" customFormat="1" x14ac:dyDescent="0.35">
      <c r="A301" s="428"/>
      <c r="C301" s="359"/>
      <c r="D301" s="429"/>
      <c r="E301" s="429"/>
    </row>
    <row r="302" spans="1:5" s="427" customFormat="1" x14ac:dyDescent="0.35">
      <c r="A302" s="428"/>
      <c r="C302" s="359"/>
      <c r="D302" s="429"/>
      <c r="E302" s="429"/>
    </row>
    <row r="303" spans="1:5" s="427" customFormat="1" x14ac:dyDescent="0.35">
      <c r="A303" s="428"/>
      <c r="C303" s="359"/>
      <c r="D303" s="429"/>
      <c r="E303" s="429"/>
    </row>
    <row r="304" spans="1:5" s="427" customFormat="1" x14ac:dyDescent="0.35">
      <c r="A304" s="428"/>
      <c r="C304" s="359"/>
      <c r="D304" s="429"/>
      <c r="E304" s="429"/>
    </row>
    <row r="305" spans="1:5" s="427" customFormat="1" x14ac:dyDescent="0.35">
      <c r="A305" s="428"/>
      <c r="C305" s="359"/>
      <c r="D305" s="429"/>
      <c r="E305" s="429"/>
    </row>
    <row r="306" spans="1:5" s="427" customFormat="1" x14ac:dyDescent="0.35">
      <c r="A306" s="428"/>
      <c r="C306" s="359"/>
      <c r="D306" s="429"/>
      <c r="E306" s="429"/>
    </row>
    <row r="307" spans="1:5" s="427" customFormat="1" x14ac:dyDescent="0.35">
      <c r="A307" s="428"/>
      <c r="C307" s="359"/>
      <c r="D307" s="429"/>
      <c r="E307" s="429"/>
    </row>
    <row r="308" spans="1:5" s="427" customFormat="1" x14ac:dyDescent="0.35">
      <c r="A308" s="428"/>
      <c r="C308" s="359"/>
      <c r="D308" s="429"/>
      <c r="E308" s="429"/>
    </row>
    <row r="309" spans="1:5" s="427" customFormat="1" x14ac:dyDescent="0.35">
      <c r="A309" s="428"/>
      <c r="C309" s="359"/>
      <c r="D309" s="429"/>
      <c r="E309" s="429"/>
    </row>
    <row r="310" spans="1:5" s="427" customFormat="1" x14ac:dyDescent="0.35">
      <c r="A310" s="428"/>
      <c r="C310" s="359"/>
      <c r="D310" s="429"/>
      <c r="E310" s="429"/>
    </row>
    <row r="311" spans="1:5" s="427" customFormat="1" x14ac:dyDescent="0.35">
      <c r="A311" s="428"/>
      <c r="C311" s="359"/>
      <c r="D311" s="429"/>
      <c r="E311" s="429"/>
    </row>
    <row r="312" spans="1:5" s="427" customFormat="1" x14ac:dyDescent="0.35">
      <c r="A312" s="428"/>
      <c r="C312" s="359"/>
      <c r="D312" s="429"/>
      <c r="E312" s="429"/>
    </row>
    <row r="313" spans="1:5" s="427" customFormat="1" x14ac:dyDescent="0.35">
      <c r="A313" s="428"/>
      <c r="C313" s="359"/>
      <c r="D313" s="429"/>
      <c r="E313" s="429"/>
    </row>
    <row r="314" spans="1:5" s="427" customFormat="1" x14ac:dyDescent="0.35">
      <c r="A314" s="428"/>
      <c r="C314" s="359"/>
      <c r="D314" s="429"/>
      <c r="E314" s="429"/>
    </row>
    <row r="315" spans="1:5" s="427" customFormat="1" x14ac:dyDescent="0.35">
      <c r="A315" s="428"/>
      <c r="C315" s="359"/>
      <c r="D315" s="429"/>
      <c r="E315" s="429"/>
    </row>
    <row r="316" spans="1:5" s="427" customFormat="1" x14ac:dyDescent="0.35">
      <c r="A316" s="428"/>
      <c r="C316" s="359"/>
      <c r="D316" s="429"/>
      <c r="E316" s="429"/>
    </row>
    <row r="317" spans="1:5" s="427" customFormat="1" x14ac:dyDescent="0.35">
      <c r="A317" s="428"/>
      <c r="C317" s="359"/>
      <c r="D317" s="429"/>
      <c r="E317" s="429"/>
    </row>
    <row r="318" spans="1:5" s="427" customFormat="1" x14ac:dyDescent="0.35">
      <c r="A318" s="428"/>
      <c r="C318" s="359"/>
      <c r="D318" s="429"/>
      <c r="E318" s="429"/>
    </row>
    <row r="319" spans="1:5" s="427" customFormat="1" x14ac:dyDescent="0.35">
      <c r="A319" s="428"/>
      <c r="C319" s="359"/>
      <c r="D319" s="429"/>
      <c r="E319" s="429"/>
    </row>
    <row r="320" spans="1:5" s="427" customFormat="1" x14ac:dyDescent="0.35">
      <c r="A320" s="428"/>
      <c r="C320" s="359"/>
      <c r="D320" s="429"/>
      <c r="E320" s="429"/>
    </row>
    <row r="321" spans="1:5" s="427" customFormat="1" x14ac:dyDescent="0.35">
      <c r="A321" s="428"/>
      <c r="C321" s="359"/>
      <c r="D321" s="429"/>
      <c r="E321" s="429"/>
    </row>
    <row r="322" spans="1:5" s="427" customFormat="1" x14ac:dyDescent="0.35">
      <c r="A322" s="428"/>
      <c r="C322" s="359"/>
      <c r="D322" s="429"/>
      <c r="E322" s="429"/>
    </row>
    <row r="323" spans="1:5" s="427" customFormat="1" x14ac:dyDescent="0.35">
      <c r="A323" s="428"/>
      <c r="C323" s="359"/>
      <c r="D323" s="429"/>
      <c r="E323" s="429"/>
    </row>
    <row r="324" spans="1:5" s="427" customFormat="1" x14ac:dyDescent="0.35">
      <c r="A324" s="428"/>
      <c r="C324" s="359"/>
      <c r="D324" s="429"/>
      <c r="E324" s="429"/>
    </row>
    <row r="325" spans="1:5" s="427" customFormat="1" x14ac:dyDescent="0.35">
      <c r="A325" s="428"/>
      <c r="C325" s="359"/>
      <c r="D325" s="429"/>
      <c r="E325" s="429"/>
    </row>
    <row r="326" spans="1:5" s="427" customFormat="1" x14ac:dyDescent="0.35">
      <c r="A326" s="428"/>
      <c r="C326" s="359"/>
      <c r="D326" s="429"/>
      <c r="E326" s="429"/>
    </row>
    <row r="327" spans="1:5" s="427" customFormat="1" x14ac:dyDescent="0.35">
      <c r="A327" s="428"/>
      <c r="C327" s="359"/>
      <c r="D327" s="429"/>
      <c r="E327" s="429"/>
    </row>
    <row r="328" spans="1:5" s="427" customFormat="1" x14ac:dyDescent="0.35">
      <c r="A328" s="428"/>
      <c r="C328" s="359"/>
      <c r="D328" s="429"/>
      <c r="E328" s="429"/>
    </row>
    <row r="329" spans="1:5" s="427" customFormat="1" x14ac:dyDescent="0.35">
      <c r="A329" s="428"/>
      <c r="C329" s="359"/>
      <c r="D329" s="429"/>
      <c r="E329" s="429"/>
    </row>
    <row r="330" spans="1:5" s="427" customFormat="1" x14ac:dyDescent="0.35">
      <c r="A330" s="428"/>
      <c r="C330" s="359"/>
      <c r="D330" s="429"/>
      <c r="E330" s="429"/>
    </row>
    <row r="331" spans="1:5" s="427" customFormat="1" x14ac:dyDescent="0.35">
      <c r="A331" s="428"/>
      <c r="C331" s="359"/>
      <c r="D331" s="429"/>
      <c r="E331" s="429"/>
    </row>
    <row r="332" spans="1:5" s="427" customFormat="1" x14ac:dyDescent="0.35">
      <c r="A332" s="428"/>
      <c r="C332" s="359"/>
      <c r="D332" s="429"/>
      <c r="E332" s="429"/>
    </row>
    <row r="333" spans="1:5" s="427" customFormat="1" x14ac:dyDescent="0.35">
      <c r="A333" s="428"/>
      <c r="C333" s="359"/>
      <c r="D333" s="429"/>
      <c r="E333" s="429"/>
    </row>
    <row r="334" spans="1:5" s="427" customFormat="1" x14ac:dyDescent="0.35">
      <c r="A334" s="428"/>
      <c r="C334" s="359"/>
      <c r="D334" s="429"/>
      <c r="E334" s="429"/>
    </row>
    <row r="335" spans="1:5" s="427" customFormat="1" x14ac:dyDescent="0.35">
      <c r="A335" s="428"/>
      <c r="C335" s="359"/>
      <c r="D335" s="429"/>
      <c r="E335" s="429"/>
    </row>
    <row r="336" spans="1:5" s="427" customFormat="1" x14ac:dyDescent="0.35">
      <c r="A336" s="428"/>
      <c r="C336" s="359"/>
      <c r="D336" s="429"/>
      <c r="E336" s="429"/>
    </row>
    <row r="337" spans="1:5" s="427" customFormat="1" x14ac:dyDescent="0.35">
      <c r="A337" s="428"/>
      <c r="C337" s="359"/>
      <c r="D337" s="429"/>
      <c r="E337" s="429"/>
    </row>
    <row r="338" spans="1:5" s="427" customFormat="1" x14ac:dyDescent="0.35">
      <c r="A338" s="428"/>
      <c r="C338" s="359"/>
      <c r="D338" s="429"/>
      <c r="E338" s="429"/>
    </row>
    <row r="339" spans="1:5" s="427" customFormat="1" x14ac:dyDescent="0.35">
      <c r="A339" s="428"/>
      <c r="C339" s="359"/>
      <c r="D339" s="429"/>
      <c r="E339" s="429"/>
    </row>
    <row r="340" spans="1:5" s="427" customFormat="1" x14ac:dyDescent="0.35">
      <c r="A340" s="428"/>
      <c r="C340" s="359"/>
      <c r="D340" s="429"/>
      <c r="E340" s="429"/>
    </row>
    <row r="341" spans="1:5" s="427" customFormat="1" x14ac:dyDescent="0.35">
      <c r="A341" s="428"/>
      <c r="C341" s="359"/>
      <c r="D341" s="429"/>
      <c r="E341" s="429"/>
    </row>
    <row r="342" spans="1:5" s="427" customFormat="1" x14ac:dyDescent="0.35">
      <c r="A342" s="428"/>
      <c r="C342" s="359"/>
      <c r="D342" s="429"/>
      <c r="E342" s="429"/>
    </row>
    <row r="343" spans="1:5" s="427" customFormat="1" x14ac:dyDescent="0.35">
      <c r="A343" s="428"/>
      <c r="C343" s="359"/>
      <c r="D343" s="429"/>
      <c r="E343" s="429"/>
    </row>
    <row r="344" spans="1:5" s="427" customFormat="1" x14ac:dyDescent="0.35">
      <c r="A344" s="428"/>
      <c r="C344" s="359"/>
      <c r="D344" s="429"/>
      <c r="E344" s="429"/>
    </row>
    <row r="345" spans="1:5" s="427" customFormat="1" x14ac:dyDescent="0.35">
      <c r="A345" s="428"/>
      <c r="C345" s="359"/>
      <c r="D345" s="429"/>
      <c r="E345" s="429"/>
    </row>
    <row r="346" spans="1:5" s="427" customFormat="1" x14ac:dyDescent="0.35">
      <c r="A346" s="428"/>
      <c r="C346" s="359"/>
      <c r="D346" s="429"/>
      <c r="E346" s="429"/>
    </row>
    <row r="347" spans="1:5" s="427" customFormat="1" x14ac:dyDescent="0.35">
      <c r="A347" s="428"/>
      <c r="C347" s="359"/>
      <c r="D347" s="429"/>
      <c r="E347" s="429"/>
    </row>
    <row r="348" spans="1:5" s="427" customFormat="1" x14ac:dyDescent="0.35">
      <c r="A348" s="428"/>
      <c r="C348" s="359"/>
      <c r="D348" s="429"/>
      <c r="E348" s="429"/>
    </row>
    <row r="349" spans="1:5" s="427" customFormat="1" x14ac:dyDescent="0.35">
      <c r="A349" s="428"/>
      <c r="C349" s="359"/>
      <c r="D349" s="429"/>
      <c r="E349" s="429"/>
    </row>
    <row r="350" spans="1:5" s="427" customFormat="1" x14ac:dyDescent="0.35">
      <c r="A350" s="428"/>
      <c r="C350" s="359"/>
      <c r="D350" s="429"/>
      <c r="E350" s="429"/>
    </row>
    <row r="351" spans="1:5" s="427" customFormat="1" x14ac:dyDescent="0.35">
      <c r="A351" s="428"/>
      <c r="C351" s="359"/>
      <c r="D351" s="429"/>
      <c r="E351" s="429"/>
    </row>
    <row r="352" spans="1:5" s="427" customFormat="1" x14ac:dyDescent="0.35">
      <c r="A352" s="428"/>
      <c r="C352" s="359"/>
      <c r="D352" s="429"/>
      <c r="E352" s="429"/>
    </row>
    <row r="353" spans="1:5" s="427" customFormat="1" x14ac:dyDescent="0.35">
      <c r="A353" s="428"/>
      <c r="C353" s="359"/>
      <c r="D353" s="429"/>
      <c r="E353" s="429"/>
    </row>
    <row r="354" spans="1:5" s="427" customFormat="1" x14ac:dyDescent="0.35">
      <c r="A354" s="428"/>
      <c r="C354" s="359"/>
      <c r="D354" s="429"/>
      <c r="E354" s="429"/>
    </row>
    <row r="355" spans="1:5" s="427" customFormat="1" x14ac:dyDescent="0.35">
      <c r="A355" s="428"/>
      <c r="C355" s="359"/>
      <c r="D355" s="429"/>
      <c r="E355" s="429"/>
    </row>
    <row r="356" spans="1:5" s="427" customFormat="1" x14ac:dyDescent="0.35">
      <c r="A356" s="428"/>
      <c r="C356" s="359"/>
      <c r="D356" s="429"/>
      <c r="E356" s="429"/>
    </row>
    <row r="357" spans="1:5" s="427" customFormat="1" x14ac:dyDescent="0.35">
      <c r="A357" s="428"/>
      <c r="C357" s="359"/>
      <c r="D357" s="429"/>
      <c r="E357" s="429"/>
    </row>
    <row r="358" spans="1:5" s="427" customFormat="1" x14ac:dyDescent="0.35">
      <c r="A358" s="428"/>
      <c r="C358" s="359"/>
      <c r="D358" s="429"/>
      <c r="E358" s="429"/>
    </row>
    <row r="359" spans="1:5" s="427" customFormat="1" x14ac:dyDescent="0.35">
      <c r="A359" s="428"/>
      <c r="C359" s="359"/>
      <c r="D359" s="429"/>
      <c r="E359" s="429"/>
    </row>
    <row r="360" spans="1:5" s="427" customFormat="1" x14ac:dyDescent="0.35">
      <c r="A360" s="428"/>
      <c r="C360" s="359"/>
      <c r="D360" s="429"/>
      <c r="E360" s="429"/>
    </row>
    <row r="361" spans="1:5" s="427" customFormat="1" x14ac:dyDescent="0.35">
      <c r="A361" s="428"/>
      <c r="C361" s="359"/>
      <c r="D361" s="429"/>
      <c r="E361" s="429"/>
    </row>
    <row r="362" spans="1:5" s="427" customFormat="1" x14ac:dyDescent="0.35">
      <c r="A362" s="428"/>
      <c r="C362" s="359"/>
      <c r="D362" s="429"/>
      <c r="E362" s="429"/>
    </row>
    <row r="363" spans="1:5" s="427" customFormat="1" x14ac:dyDescent="0.35">
      <c r="A363" s="428"/>
      <c r="C363" s="359"/>
      <c r="D363" s="429"/>
      <c r="E363" s="429"/>
    </row>
    <row r="364" spans="1:5" s="427" customFormat="1" x14ac:dyDescent="0.35">
      <c r="A364" s="428"/>
      <c r="C364" s="359"/>
      <c r="D364" s="429"/>
      <c r="E364" s="429"/>
    </row>
    <row r="365" spans="1:5" s="427" customFormat="1" x14ac:dyDescent="0.35">
      <c r="A365" s="428"/>
      <c r="C365" s="359"/>
      <c r="D365" s="429"/>
      <c r="E365" s="429"/>
    </row>
    <row r="366" spans="1:5" s="427" customFormat="1" x14ac:dyDescent="0.35">
      <c r="A366" s="428"/>
      <c r="C366" s="359"/>
      <c r="D366" s="429"/>
      <c r="E366" s="429"/>
    </row>
    <row r="367" spans="1:5" s="427" customFormat="1" x14ac:dyDescent="0.35">
      <c r="A367" s="428"/>
      <c r="C367" s="359"/>
      <c r="D367" s="429"/>
      <c r="E367" s="429"/>
    </row>
    <row r="368" spans="1:5" s="427" customFormat="1" x14ac:dyDescent="0.35">
      <c r="A368" s="428"/>
      <c r="C368" s="359"/>
      <c r="D368" s="429"/>
      <c r="E368" s="429"/>
    </row>
    <row r="369" spans="1:5" s="427" customFormat="1" x14ac:dyDescent="0.35">
      <c r="A369" s="428"/>
      <c r="C369" s="359"/>
      <c r="D369" s="429"/>
      <c r="E369" s="429"/>
    </row>
    <row r="370" spans="1:5" s="427" customFormat="1" x14ac:dyDescent="0.35">
      <c r="A370" s="428"/>
      <c r="C370" s="359"/>
      <c r="D370" s="429"/>
      <c r="E370" s="429"/>
    </row>
    <row r="371" spans="1:5" s="427" customFormat="1" x14ac:dyDescent="0.35">
      <c r="A371" s="428"/>
      <c r="C371" s="359"/>
      <c r="D371" s="429"/>
      <c r="E371" s="429"/>
    </row>
    <row r="372" spans="1:5" s="427" customFormat="1" x14ac:dyDescent="0.35">
      <c r="A372" s="428"/>
      <c r="C372" s="359"/>
      <c r="D372" s="429"/>
      <c r="E372" s="429"/>
    </row>
    <row r="373" spans="1:5" s="427" customFormat="1" x14ac:dyDescent="0.35">
      <c r="A373" s="428"/>
      <c r="C373" s="359"/>
      <c r="D373" s="429"/>
      <c r="E373" s="429"/>
    </row>
    <row r="374" spans="1:5" s="427" customFormat="1" x14ac:dyDescent="0.35">
      <c r="A374" s="428"/>
      <c r="C374" s="359"/>
      <c r="D374" s="429"/>
      <c r="E374" s="429"/>
    </row>
    <row r="375" spans="1:5" s="427" customFormat="1" x14ac:dyDescent="0.35">
      <c r="A375" s="428"/>
      <c r="C375" s="359"/>
      <c r="D375" s="429"/>
      <c r="E375" s="429"/>
    </row>
    <row r="376" spans="1:5" s="427" customFormat="1" x14ac:dyDescent="0.35">
      <c r="A376" s="428"/>
      <c r="C376" s="359"/>
      <c r="D376" s="429"/>
      <c r="E376" s="429"/>
    </row>
    <row r="377" spans="1:5" s="427" customFormat="1" x14ac:dyDescent="0.35">
      <c r="A377" s="428"/>
      <c r="C377" s="359"/>
      <c r="D377" s="429"/>
      <c r="E377" s="429"/>
    </row>
    <row r="378" spans="1:5" s="427" customFormat="1" x14ac:dyDescent="0.35">
      <c r="A378" s="428"/>
      <c r="C378" s="359"/>
      <c r="D378" s="429"/>
      <c r="E378" s="429"/>
    </row>
    <row r="379" spans="1:5" s="427" customFormat="1" x14ac:dyDescent="0.35">
      <c r="A379" s="428"/>
      <c r="C379" s="359"/>
      <c r="D379" s="429"/>
      <c r="E379" s="429"/>
    </row>
    <row r="380" spans="1:5" s="427" customFormat="1" x14ac:dyDescent="0.35">
      <c r="A380" s="428"/>
      <c r="C380" s="359"/>
      <c r="D380" s="429"/>
      <c r="E380" s="429"/>
    </row>
    <row r="381" spans="1:5" s="427" customFormat="1" x14ac:dyDescent="0.35">
      <c r="A381" s="428"/>
      <c r="C381" s="359"/>
      <c r="D381" s="429"/>
      <c r="E381" s="429"/>
    </row>
    <row r="382" spans="1:5" s="427" customFormat="1" x14ac:dyDescent="0.35">
      <c r="A382" s="428"/>
      <c r="C382" s="359"/>
      <c r="D382" s="429"/>
      <c r="E382" s="429"/>
    </row>
    <row r="383" spans="1:5" s="427" customFormat="1" x14ac:dyDescent="0.35">
      <c r="A383" s="428"/>
      <c r="C383" s="359"/>
      <c r="D383" s="429"/>
      <c r="E383" s="429"/>
    </row>
    <row r="384" spans="1:5" s="427" customFormat="1" x14ac:dyDescent="0.35">
      <c r="A384" s="428"/>
      <c r="C384" s="359"/>
      <c r="D384" s="429"/>
      <c r="E384" s="429"/>
    </row>
    <row r="385" spans="1:5" s="427" customFormat="1" x14ac:dyDescent="0.35">
      <c r="A385" s="428"/>
      <c r="C385" s="359"/>
      <c r="D385" s="429"/>
      <c r="E385" s="429"/>
    </row>
    <row r="386" spans="1:5" s="427" customFormat="1" x14ac:dyDescent="0.35">
      <c r="A386" s="428"/>
      <c r="C386" s="359"/>
      <c r="D386" s="429"/>
      <c r="E386" s="429"/>
    </row>
    <row r="387" spans="1:5" s="427" customFormat="1" x14ac:dyDescent="0.35">
      <c r="A387" s="428"/>
      <c r="C387" s="359"/>
      <c r="D387" s="429"/>
      <c r="E387" s="429"/>
    </row>
    <row r="388" spans="1:5" s="427" customFormat="1" x14ac:dyDescent="0.35">
      <c r="A388" s="428"/>
      <c r="C388" s="359"/>
      <c r="D388" s="429"/>
      <c r="E388" s="429"/>
    </row>
    <row r="389" spans="1:5" s="427" customFormat="1" x14ac:dyDescent="0.35">
      <c r="A389" s="428"/>
      <c r="C389" s="359"/>
      <c r="D389" s="429"/>
      <c r="E389" s="429"/>
    </row>
    <row r="390" spans="1:5" s="427" customFormat="1" x14ac:dyDescent="0.35">
      <c r="A390" s="428"/>
      <c r="C390" s="359"/>
      <c r="D390" s="429"/>
      <c r="E390" s="429"/>
    </row>
    <row r="391" spans="1:5" s="427" customFormat="1" x14ac:dyDescent="0.35">
      <c r="A391" s="428"/>
      <c r="C391" s="359"/>
      <c r="D391" s="429"/>
      <c r="E391" s="429"/>
    </row>
    <row r="392" spans="1:5" s="427" customFormat="1" x14ac:dyDescent="0.35">
      <c r="A392" s="428"/>
      <c r="C392" s="359"/>
      <c r="D392" s="429"/>
      <c r="E392" s="429"/>
    </row>
    <row r="393" spans="1:5" s="427" customFormat="1" x14ac:dyDescent="0.35">
      <c r="A393" s="428"/>
      <c r="C393" s="359"/>
      <c r="D393" s="429"/>
      <c r="E393" s="429"/>
    </row>
    <row r="394" spans="1:5" s="427" customFormat="1" x14ac:dyDescent="0.35">
      <c r="A394" s="428"/>
      <c r="C394" s="359"/>
      <c r="D394" s="429"/>
      <c r="E394" s="429"/>
    </row>
    <row r="395" spans="1:5" s="427" customFormat="1" x14ac:dyDescent="0.35">
      <c r="A395" s="428"/>
      <c r="C395" s="359"/>
      <c r="D395" s="429"/>
      <c r="E395" s="429"/>
    </row>
    <row r="396" spans="1:5" s="427" customFormat="1" x14ac:dyDescent="0.35">
      <c r="A396" s="428"/>
      <c r="C396" s="359"/>
      <c r="D396" s="429"/>
      <c r="E396" s="429"/>
    </row>
    <row r="397" spans="1:5" s="427" customFormat="1" x14ac:dyDescent="0.35">
      <c r="A397" s="428"/>
      <c r="C397" s="359"/>
      <c r="D397" s="429"/>
      <c r="E397" s="429"/>
    </row>
    <row r="398" spans="1:5" s="427" customFormat="1" x14ac:dyDescent="0.35">
      <c r="A398" s="428"/>
      <c r="C398" s="359"/>
      <c r="D398" s="429"/>
      <c r="E398" s="429"/>
    </row>
    <row r="399" spans="1:5" s="427" customFormat="1" x14ac:dyDescent="0.35">
      <c r="A399" s="428"/>
      <c r="C399" s="359"/>
      <c r="D399" s="429"/>
      <c r="E399" s="429"/>
    </row>
    <row r="400" spans="1:5" s="427" customFormat="1" x14ac:dyDescent="0.35">
      <c r="A400" s="428"/>
      <c r="C400" s="359"/>
      <c r="D400" s="429"/>
      <c r="E400" s="429"/>
    </row>
    <row r="401" spans="1:5" s="427" customFormat="1" x14ac:dyDescent="0.35">
      <c r="A401" s="428"/>
      <c r="C401" s="359"/>
      <c r="D401" s="429"/>
      <c r="E401" s="429"/>
    </row>
    <row r="402" spans="1:5" s="427" customFormat="1" x14ac:dyDescent="0.35">
      <c r="A402" s="428"/>
      <c r="C402" s="359"/>
      <c r="D402" s="429"/>
      <c r="E402" s="429"/>
    </row>
    <row r="403" spans="1:5" s="427" customFormat="1" x14ac:dyDescent="0.35">
      <c r="A403" s="428"/>
      <c r="C403" s="359"/>
      <c r="D403" s="429"/>
      <c r="E403" s="429"/>
    </row>
    <row r="404" spans="1:5" s="427" customFormat="1" x14ac:dyDescent="0.35">
      <c r="A404" s="428"/>
      <c r="C404" s="359"/>
      <c r="D404" s="429"/>
      <c r="E404" s="429"/>
    </row>
    <row r="405" spans="1:5" s="427" customFormat="1" x14ac:dyDescent="0.35">
      <c r="A405" s="428"/>
      <c r="C405" s="359"/>
      <c r="D405" s="429"/>
      <c r="E405" s="429"/>
    </row>
    <row r="406" spans="1:5" s="427" customFormat="1" x14ac:dyDescent="0.35">
      <c r="A406" s="428"/>
      <c r="C406" s="359"/>
      <c r="D406" s="429"/>
      <c r="E406" s="429"/>
    </row>
    <row r="407" spans="1:5" s="427" customFormat="1" x14ac:dyDescent="0.35">
      <c r="A407" s="428"/>
      <c r="C407" s="359"/>
      <c r="D407" s="429"/>
      <c r="E407" s="429"/>
    </row>
    <row r="408" spans="1:5" s="427" customFormat="1" x14ac:dyDescent="0.35">
      <c r="A408" s="428"/>
      <c r="C408" s="359"/>
      <c r="D408" s="429"/>
      <c r="E408" s="429"/>
    </row>
    <row r="409" spans="1:5" s="427" customFormat="1" x14ac:dyDescent="0.35">
      <c r="A409" s="428"/>
      <c r="C409" s="359"/>
      <c r="D409" s="429"/>
      <c r="E409" s="429"/>
    </row>
    <row r="410" spans="1:5" s="427" customFormat="1" x14ac:dyDescent="0.35">
      <c r="A410" s="428"/>
      <c r="C410" s="359"/>
      <c r="D410" s="429"/>
      <c r="E410" s="429"/>
    </row>
    <row r="411" spans="1:5" s="427" customFormat="1" x14ac:dyDescent="0.35">
      <c r="A411" s="428"/>
      <c r="C411" s="359"/>
      <c r="D411" s="429"/>
      <c r="E411" s="429"/>
    </row>
    <row r="412" spans="1:5" s="427" customFormat="1" x14ac:dyDescent="0.35">
      <c r="A412" s="428"/>
      <c r="C412" s="359"/>
      <c r="D412" s="429"/>
      <c r="E412" s="429"/>
    </row>
    <row r="413" spans="1:5" s="427" customFormat="1" x14ac:dyDescent="0.35">
      <c r="A413" s="428"/>
      <c r="C413" s="359"/>
      <c r="D413" s="429"/>
      <c r="E413" s="429"/>
    </row>
    <row r="414" spans="1:5" s="427" customFormat="1" x14ac:dyDescent="0.35">
      <c r="A414" s="428"/>
      <c r="C414" s="359"/>
      <c r="D414" s="429"/>
      <c r="E414" s="429"/>
    </row>
    <row r="415" spans="1:5" s="427" customFormat="1" x14ac:dyDescent="0.35">
      <c r="A415" s="428"/>
      <c r="C415" s="359"/>
      <c r="D415" s="429"/>
      <c r="E415" s="429"/>
    </row>
    <row r="416" spans="1:5" s="427" customFormat="1" x14ac:dyDescent="0.35">
      <c r="A416" s="428"/>
      <c r="C416" s="359"/>
      <c r="D416" s="429"/>
      <c r="E416" s="429"/>
    </row>
    <row r="417" spans="1:5" s="427" customFormat="1" x14ac:dyDescent="0.35">
      <c r="A417" s="428"/>
      <c r="C417" s="359"/>
      <c r="D417" s="429"/>
      <c r="E417" s="429"/>
    </row>
    <row r="418" spans="1:5" s="427" customFormat="1" x14ac:dyDescent="0.35">
      <c r="A418" s="428"/>
      <c r="C418" s="359"/>
      <c r="D418" s="429"/>
      <c r="E418" s="429"/>
    </row>
    <row r="419" spans="1:5" s="427" customFormat="1" x14ac:dyDescent="0.35">
      <c r="A419" s="428"/>
      <c r="C419" s="359"/>
      <c r="D419" s="429"/>
      <c r="E419" s="429"/>
    </row>
    <row r="420" spans="1:5" s="427" customFormat="1" x14ac:dyDescent="0.35">
      <c r="A420" s="428"/>
      <c r="C420" s="359"/>
      <c r="D420" s="429"/>
      <c r="E420" s="429"/>
    </row>
    <row r="421" spans="1:5" s="427" customFormat="1" x14ac:dyDescent="0.35">
      <c r="A421" s="428"/>
      <c r="C421" s="359"/>
      <c r="D421" s="429"/>
      <c r="E421" s="429"/>
    </row>
    <row r="422" spans="1:5" s="427" customFormat="1" x14ac:dyDescent="0.35">
      <c r="A422" s="428"/>
      <c r="C422" s="359"/>
      <c r="D422" s="429"/>
      <c r="E422" s="4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zoomScale="80" zoomScaleNormal="80" zoomScaleSheetLayoutView="80" workbookViewId="0">
      <selection activeCell="B8" sqref="B8"/>
    </sheetView>
  </sheetViews>
  <sheetFormatPr defaultRowHeight="14.5" x14ac:dyDescent="0.35"/>
  <cols>
    <col min="1" max="1" width="32.26953125" customWidth="1"/>
    <col min="2" max="2" width="150.26953125" customWidth="1"/>
    <col min="3" max="3" width="1.36328125" customWidth="1"/>
    <col min="8" max="8" width="31" customWidth="1"/>
  </cols>
  <sheetData>
    <row r="1" spans="1:2" x14ac:dyDescent="0.35">
      <c r="A1" s="152"/>
      <c r="B1" s="437"/>
    </row>
    <row r="2" spans="1:2" x14ac:dyDescent="0.35">
      <c r="A2" s="460"/>
      <c r="B2" s="463"/>
    </row>
    <row r="3" spans="1:2" ht="31" x14ac:dyDescent="0.7">
      <c r="A3" s="461" t="s">
        <v>1827</v>
      </c>
      <c r="B3" s="463"/>
    </row>
    <row r="4" spans="1:2" x14ac:dyDescent="0.35">
      <c r="A4" s="460"/>
      <c r="B4" s="463"/>
    </row>
    <row r="5" spans="1:2" x14ac:dyDescent="0.35">
      <c r="A5" s="143"/>
      <c r="B5" s="142"/>
    </row>
    <row r="6" spans="1:2" ht="31" x14ac:dyDescent="0.7">
      <c r="A6" s="462" t="s">
        <v>1828</v>
      </c>
      <c r="B6" s="142"/>
    </row>
    <row r="7" spans="1:2" ht="31" x14ac:dyDescent="0.35">
      <c r="A7" s="898" t="s">
        <v>2283</v>
      </c>
      <c r="B7" s="749"/>
    </row>
    <row r="8" spans="1:2" ht="31" x14ac:dyDescent="0.35">
      <c r="A8" s="898"/>
      <c r="B8" s="749"/>
    </row>
    <row r="9" spans="1:2" ht="31" x14ac:dyDescent="0.35">
      <c r="A9" s="898"/>
      <c r="B9" s="749"/>
    </row>
    <row r="10" spans="1:2" ht="26" x14ac:dyDescent="0.6">
      <c r="A10" s="899" t="s">
        <v>2105</v>
      </c>
      <c r="B10" s="749"/>
    </row>
    <row r="11" spans="1:2" ht="26" x14ac:dyDescent="0.6">
      <c r="A11" s="899" t="s">
        <v>2278</v>
      </c>
      <c r="B11" s="749"/>
    </row>
    <row r="12" spans="1:2" ht="21" x14ac:dyDescent="0.35">
      <c r="A12" s="900" t="s">
        <v>2280</v>
      </c>
      <c r="B12" s="749"/>
    </row>
    <row r="13" spans="1:2" ht="21" x14ac:dyDescent="0.5">
      <c r="A13" s="901" t="s">
        <v>2279</v>
      </c>
      <c r="B13" s="749"/>
    </row>
    <row r="14" spans="1:2" x14ac:dyDescent="0.35">
      <c r="A14" s="902"/>
      <c r="B14" s="903"/>
    </row>
    <row r="15" spans="1:2" ht="29" x14ac:dyDescent="0.35">
      <c r="A15" s="904" t="s">
        <v>1829</v>
      </c>
      <c r="B15" s="903" t="s">
        <v>1830</v>
      </c>
    </row>
    <row r="16" spans="1:2" x14ac:dyDescent="0.35">
      <c r="A16" s="905" t="s">
        <v>1831</v>
      </c>
      <c r="B16" s="906" t="s">
        <v>2106</v>
      </c>
    </row>
    <row r="17" spans="1:2" x14ac:dyDescent="0.35">
      <c r="A17" s="906" t="s">
        <v>2039</v>
      </c>
      <c r="B17" s="906" t="s">
        <v>2107</v>
      </c>
    </row>
    <row r="18" spans="1:2" x14ac:dyDescent="0.35">
      <c r="A18" s="905" t="s">
        <v>2040</v>
      </c>
      <c r="B18" s="906" t="s">
        <v>2108</v>
      </c>
    </row>
    <row r="19" spans="1:2" x14ac:dyDescent="0.35">
      <c r="A19" s="905" t="s">
        <v>1832</v>
      </c>
      <c r="B19" s="906" t="s">
        <v>2111</v>
      </c>
    </row>
    <row r="20" spans="1:2" x14ac:dyDescent="0.35">
      <c r="A20" s="905" t="s">
        <v>1833</v>
      </c>
      <c r="B20" s="906" t="s">
        <v>2109</v>
      </c>
    </row>
    <row r="21" spans="1:2" x14ac:dyDescent="0.35">
      <c r="A21" s="905" t="s">
        <v>1834</v>
      </c>
      <c r="B21" s="906" t="s">
        <v>2110</v>
      </c>
    </row>
    <row r="22" spans="1:2" x14ac:dyDescent="0.35">
      <c r="A22" s="905" t="s">
        <v>1835</v>
      </c>
      <c r="B22" s="906" t="s">
        <v>2277</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heetViews>
  <sheetFormatPr defaultRowHeight="14.5" x14ac:dyDescent="0.35"/>
  <cols>
    <col min="1" max="1" width="3.7265625" customWidth="1"/>
    <col min="2" max="2" width="20.54296875" customWidth="1"/>
    <col min="3" max="3" width="3.7265625" customWidth="1"/>
    <col min="4" max="4" width="20.54296875" customWidth="1"/>
    <col min="5" max="5" width="3.7265625" customWidth="1"/>
    <col min="6" max="6" width="20.54296875" customWidth="1"/>
    <col min="7" max="7" width="3.7265625" customWidth="1"/>
    <col min="8" max="8" width="20.54296875" customWidth="1"/>
    <col min="9" max="9" width="3.7265625" customWidth="1"/>
    <col min="10" max="10" width="20.54296875" customWidth="1"/>
    <col min="11" max="11" width="3.7265625" customWidth="1"/>
  </cols>
  <sheetData>
    <row r="2" spans="1:11" ht="26" x14ac:dyDescent="0.6">
      <c r="A2" s="607" t="s">
        <v>1837</v>
      </c>
      <c r="B2" s="219"/>
      <c r="C2" s="219"/>
      <c r="D2" s="219"/>
      <c r="E2" s="219"/>
      <c r="F2" s="219"/>
      <c r="G2" s="219"/>
      <c r="H2" s="219"/>
      <c r="I2" s="219"/>
      <c r="J2" s="219"/>
      <c r="K2" s="608"/>
    </row>
    <row r="4" spans="1:11" x14ac:dyDescent="0.35">
      <c r="A4" s="173" t="s">
        <v>2041</v>
      </c>
      <c r="B4" s="470"/>
      <c r="C4" s="470"/>
      <c r="D4" s="173"/>
      <c r="E4" s="470"/>
      <c r="F4" s="470"/>
      <c r="G4" s="470"/>
      <c r="H4" s="470"/>
      <c r="I4" s="470"/>
      <c r="J4" s="470"/>
      <c r="K4" s="555"/>
    </row>
    <row r="5" spans="1:11" x14ac:dyDescent="0.35">
      <c r="A5" s="177" t="s">
        <v>2042</v>
      </c>
      <c r="B5" s="172"/>
      <c r="C5" s="172"/>
      <c r="D5" s="177"/>
      <c r="E5" s="172"/>
      <c r="F5" s="172"/>
      <c r="G5" s="172"/>
      <c r="H5" s="172"/>
      <c r="I5" s="172"/>
      <c r="J5" s="172"/>
      <c r="K5" s="178"/>
    </row>
    <row r="6" spans="1:11" x14ac:dyDescent="0.35">
      <c r="A6" s="175" t="s">
        <v>2043</v>
      </c>
      <c r="B6" s="174"/>
      <c r="C6" s="174"/>
      <c r="D6" s="175"/>
      <c r="E6" s="174"/>
      <c r="F6" s="174"/>
      <c r="G6" s="174"/>
      <c r="H6" s="174"/>
      <c r="I6" s="174"/>
      <c r="J6" s="174"/>
      <c r="K6" s="176"/>
    </row>
    <row r="8" spans="1:11" x14ac:dyDescent="0.35">
      <c r="A8" s="173"/>
      <c r="B8" s="470"/>
      <c r="C8" s="470"/>
      <c r="D8" s="470"/>
      <c r="E8" s="470"/>
      <c r="F8" s="470"/>
      <c r="G8" s="470"/>
      <c r="H8" s="470"/>
      <c r="I8" s="470"/>
      <c r="J8" s="470"/>
      <c r="K8" s="555"/>
    </row>
    <row r="9" spans="1:11" ht="31" x14ac:dyDescent="0.35">
      <c r="A9" s="177"/>
      <c r="B9" s="554" t="s">
        <v>1838</v>
      </c>
      <c r="C9" s="233"/>
      <c r="D9" s="217" t="s">
        <v>2090</v>
      </c>
      <c r="E9" s="609"/>
      <c r="F9" s="217" t="s">
        <v>7</v>
      </c>
      <c r="G9" s="609"/>
      <c r="H9" s="217" t="s">
        <v>2050</v>
      </c>
      <c r="I9" s="609"/>
      <c r="J9" s="217" t="s">
        <v>2044</v>
      </c>
      <c r="K9" s="233"/>
    </row>
    <row r="10" spans="1:11" x14ac:dyDescent="0.35">
      <c r="A10" s="177"/>
      <c r="B10" s="172"/>
      <c r="C10" s="172"/>
      <c r="D10" s="172"/>
      <c r="E10" s="172"/>
      <c r="F10" s="172"/>
      <c r="G10" s="172"/>
      <c r="H10" s="172"/>
      <c r="I10" s="172"/>
      <c r="J10" s="172"/>
      <c r="K10" s="178"/>
    </row>
    <row r="11" spans="1:11" ht="225" customHeight="1" x14ac:dyDescent="0.35">
      <c r="A11" s="177"/>
      <c r="B11" s="215" t="s">
        <v>2048</v>
      </c>
      <c r="C11" s="235"/>
      <c r="D11" s="606" t="s">
        <v>2045</v>
      </c>
      <c r="E11" s="234"/>
      <c r="F11" s="215" t="s">
        <v>2046</v>
      </c>
      <c r="G11" s="234"/>
      <c r="H11" s="216" t="s">
        <v>2047</v>
      </c>
      <c r="I11" s="234"/>
      <c r="J11" s="215" t="s">
        <v>2049</v>
      </c>
      <c r="K11" s="235"/>
    </row>
    <row r="12" spans="1:11" x14ac:dyDescent="0.35">
      <c r="A12" s="175"/>
      <c r="B12" s="174"/>
      <c r="C12" s="174"/>
      <c r="D12" s="174"/>
      <c r="E12" s="174"/>
      <c r="F12" s="174"/>
      <c r="G12" s="174"/>
      <c r="H12" s="174"/>
      <c r="I12" s="174"/>
      <c r="J12" s="174"/>
      <c r="K12" s="176"/>
    </row>
    <row r="15" spans="1:11" x14ac:dyDescent="0.35">
      <c r="A15" s="173"/>
      <c r="B15" s="470"/>
      <c r="C15" s="470"/>
      <c r="D15" s="470"/>
      <c r="E15" s="470"/>
      <c r="F15" s="470"/>
      <c r="G15" s="470"/>
      <c r="H15" s="470"/>
      <c r="I15" s="470"/>
      <c r="J15" s="470"/>
      <c r="K15" s="555"/>
    </row>
    <row r="16" spans="1:11" x14ac:dyDescent="0.35">
      <c r="A16" s="177" t="s">
        <v>1839</v>
      </c>
      <c r="B16" s="172"/>
      <c r="C16" s="172"/>
      <c r="D16" s="172"/>
      <c r="E16" s="172"/>
      <c r="F16" s="172"/>
      <c r="G16" s="172"/>
      <c r="H16" s="172"/>
      <c r="I16" s="172"/>
      <c r="J16" s="172"/>
      <c r="K16" s="178"/>
    </row>
    <row r="17" spans="1:11" x14ac:dyDescent="0.35">
      <c r="A17" s="236" t="s">
        <v>1840</v>
      </c>
      <c r="B17" s="172"/>
      <c r="C17" s="172"/>
      <c r="D17" s="172"/>
      <c r="E17" s="172"/>
      <c r="F17" s="172"/>
      <c r="G17" s="172"/>
      <c r="H17" s="172"/>
      <c r="I17" s="172"/>
      <c r="J17" s="172"/>
      <c r="K17" s="178"/>
    </row>
    <row r="18" spans="1:11" x14ac:dyDescent="0.35">
      <c r="A18" s="237" t="s">
        <v>1841</v>
      </c>
      <c r="B18" s="172"/>
      <c r="C18" s="172"/>
      <c r="D18" s="172"/>
      <c r="E18" s="172"/>
      <c r="F18" s="172"/>
      <c r="G18" s="172"/>
      <c r="H18" s="172"/>
      <c r="I18" s="172"/>
      <c r="J18" s="172"/>
      <c r="K18" s="178"/>
    </row>
    <row r="19" spans="1:11" x14ac:dyDescent="0.35">
      <c r="A19" s="238" t="s">
        <v>1842</v>
      </c>
      <c r="B19" s="172"/>
      <c r="C19" s="172"/>
      <c r="D19" s="172"/>
      <c r="E19" s="172"/>
      <c r="F19" s="172"/>
      <c r="G19" s="172"/>
      <c r="H19" s="172"/>
      <c r="I19" s="172"/>
      <c r="J19" s="172"/>
      <c r="K19" s="178"/>
    </row>
    <row r="20" spans="1:11" x14ac:dyDescent="0.35">
      <c r="A20" s="237" t="s">
        <v>1843</v>
      </c>
      <c r="B20" s="172"/>
      <c r="C20" s="172"/>
      <c r="D20" s="172"/>
      <c r="E20" s="172"/>
      <c r="F20" s="172"/>
      <c r="G20" s="172"/>
      <c r="H20" s="172"/>
      <c r="I20" s="172"/>
      <c r="J20" s="172"/>
      <c r="K20" s="178"/>
    </row>
    <row r="21" spans="1:11" x14ac:dyDescent="0.35">
      <c r="A21" s="237" t="s">
        <v>1844</v>
      </c>
      <c r="B21" s="172"/>
      <c r="C21" s="172"/>
      <c r="D21" s="172"/>
      <c r="E21" s="172"/>
      <c r="F21" s="172"/>
      <c r="G21" s="172"/>
      <c r="H21" s="172"/>
      <c r="I21" s="172"/>
      <c r="J21" s="172"/>
      <c r="K21" s="178"/>
    </row>
    <row r="22" spans="1:11" x14ac:dyDescent="0.35">
      <c r="A22" s="177"/>
      <c r="B22" s="172"/>
      <c r="C22" s="172"/>
      <c r="D22" s="172"/>
      <c r="E22" s="172"/>
      <c r="F22" s="172"/>
      <c r="G22" s="172"/>
      <c r="H22" s="172"/>
      <c r="I22" s="172"/>
      <c r="J22" s="172"/>
      <c r="K22" s="178"/>
    </row>
    <row r="23" spans="1:11" x14ac:dyDescent="0.35">
      <c r="A23" s="239" t="s">
        <v>1845</v>
      </c>
      <c r="B23" s="172"/>
      <c r="C23" s="172"/>
      <c r="D23" s="172"/>
      <c r="E23" s="172"/>
      <c r="F23" s="172"/>
      <c r="G23" s="172"/>
      <c r="H23" s="172"/>
      <c r="I23" s="172"/>
      <c r="J23" s="172"/>
      <c r="K23" s="178"/>
    </row>
    <row r="24" spans="1:11" x14ac:dyDescent="0.35">
      <c r="A24" s="175"/>
      <c r="B24" s="174"/>
      <c r="C24" s="174"/>
      <c r="D24" s="174"/>
      <c r="E24" s="174"/>
      <c r="F24" s="174"/>
      <c r="G24" s="174"/>
      <c r="H24" s="174"/>
      <c r="I24" s="174"/>
      <c r="J24" s="174"/>
      <c r="K24" s="176"/>
    </row>
  </sheetData>
  <sheetProtection algorithmName="SHA-512" hashValue="h8yZYENPff4ChzyyWC7DQbl/ghrKzbSrNK3J3aCNK8WNo1Elp+Na9RZPAUBNSpjTzb1eNWLvYF11yyRgTJT50g==" saltValue="DFnQ+zZMI481mAiB0t41K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65"/>
  <sheetViews>
    <sheetView showGridLines="0" zoomScale="80" zoomScaleNormal="80" zoomScaleSheetLayoutView="80" workbookViewId="0"/>
  </sheetViews>
  <sheetFormatPr defaultColWidth="8.7265625" defaultRowHeight="14.5" x14ac:dyDescent="0.35"/>
  <cols>
    <col min="1" max="1" width="63.36328125" style="1" customWidth="1"/>
    <col min="2" max="3" width="12.1796875" style="1" customWidth="1"/>
    <col min="4" max="6" width="12.1796875" customWidth="1"/>
    <col min="7" max="7" width="3.7265625" customWidth="1"/>
    <col min="8" max="8" width="11.7265625" style="1" customWidth="1"/>
    <col min="9" max="12" width="11.54296875" customWidth="1"/>
    <col min="17" max="17" width="1.81640625" customWidth="1"/>
  </cols>
  <sheetData>
    <row r="1" spans="1:33" ht="30" customHeight="1" x14ac:dyDescent="0.35">
      <c r="A1" s="266" t="s">
        <v>2283</v>
      </c>
      <c r="B1" s="266"/>
      <c r="C1" s="131"/>
      <c r="D1" s="128"/>
      <c r="E1" s="128"/>
      <c r="F1" s="128"/>
      <c r="G1" s="128"/>
      <c r="H1" s="266"/>
      <c r="I1" s="128"/>
    </row>
    <row r="2" spans="1:33" ht="30" customHeight="1" x14ac:dyDescent="0.35">
      <c r="A2" s="218" t="s">
        <v>2249</v>
      </c>
      <c r="B2" s="584"/>
      <c r="C2" s="584"/>
      <c r="D2" s="584"/>
      <c r="E2" s="584"/>
      <c r="F2" s="584"/>
      <c r="G2" s="584"/>
      <c r="H2" s="584"/>
      <c r="I2" s="584"/>
      <c r="J2" s="584"/>
      <c r="K2" s="584"/>
      <c r="L2" s="584"/>
      <c r="M2" s="584"/>
      <c r="N2" s="584"/>
      <c r="O2" s="584"/>
      <c r="P2" s="584"/>
    </row>
    <row r="3" spans="1:33" x14ac:dyDescent="0.35">
      <c r="A3" s="117" t="s">
        <v>1855</v>
      </c>
      <c r="B3" s="117"/>
      <c r="C3" s="117"/>
      <c r="D3" s="557"/>
      <c r="E3" s="557"/>
      <c r="F3" s="557"/>
      <c r="G3" s="557"/>
      <c r="H3" s="117"/>
      <c r="I3" s="128"/>
    </row>
    <row r="4" spans="1:33" ht="29" x14ac:dyDescent="0.35">
      <c r="A4" s="193" t="s">
        <v>1913</v>
      </c>
      <c r="B4" s="319"/>
      <c r="C4" s="619" t="s">
        <v>2062</v>
      </c>
      <c r="D4" s="516" t="s">
        <v>2058</v>
      </c>
      <c r="E4" s="516" t="s">
        <v>2059</v>
      </c>
      <c r="F4" s="516" t="s">
        <v>2060</v>
      </c>
      <c r="H4" s="133"/>
      <c r="I4" s="128"/>
    </row>
    <row r="5" spans="1:33" s="133" customFormat="1" x14ac:dyDescent="0.35">
      <c r="A5" s="148" t="s">
        <v>1915</v>
      </c>
      <c r="B5" s="703"/>
      <c r="C5" s="115">
        <f>'Population and treatments'!I54</f>
        <v>1121.2977182803825</v>
      </c>
      <c r="D5" s="115">
        <f>'Population and treatments'!J54</f>
        <v>1121.2977182803825</v>
      </c>
      <c r="E5" s="115">
        <f>'Population and treatments'!K54</f>
        <v>1121.2977182803825</v>
      </c>
      <c r="F5" s="115">
        <f>'Population and treatments'!L54</f>
        <v>1121.2977182803825</v>
      </c>
      <c r="G5"/>
      <c r="H5" s="512"/>
      <c r="I5"/>
      <c r="J5"/>
    </row>
    <row r="6" spans="1:33" x14ac:dyDescent="0.35">
      <c r="A6" s="194" t="s">
        <v>2204</v>
      </c>
      <c r="B6" s="704"/>
      <c r="C6" s="262">
        <f>'Population and treatments'!D51</f>
        <v>0</v>
      </c>
      <c r="D6" s="262">
        <f>'Population and treatments'!E51</f>
        <v>0.15</v>
      </c>
      <c r="E6" s="262">
        <f>'Population and treatments'!F51</f>
        <v>0.2</v>
      </c>
      <c r="F6" s="262">
        <f>'Population and treatments'!G51</f>
        <v>0.25</v>
      </c>
      <c r="H6" s="577"/>
    </row>
    <row r="7" spans="1:33" x14ac:dyDescent="0.35">
      <c r="A7" s="148" t="s">
        <v>2205</v>
      </c>
      <c r="B7" s="703"/>
      <c r="C7" s="115">
        <f>C5*C6</f>
        <v>0</v>
      </c>
      <c r="D7" s="115">
        <f>D5*D6</f>
        <v>168.19465774205736</v>
      </c>
      <c r="E7" s="115">
        <f>E5*E6</f>
        <v>224.25954365607652</v>
      </c>
      <c r="F7" s="115">
        <f>F5*F6</f>
        <v>280.32442957009562</v>
      </c>
      <c r="H7" s="512"/>
    </row>
    <row r="8" spans="1:33" ht="14.75" customHeight="1" x14ac:dyDescent="0.35">
      <c r="A8" s="184"/>
      <c r="B8" s="184"/>
      <c r="C8" s="184"/>
      <c r="D8" s="120"/>
      <c r="E8" s="120"/>
      <c r="F8" s="120"/>
      <c r="H8" s="184"/>
      <c r="I8" s="120"/>
    </row>
    <row r="9" spans="1:33" s="182" customFormat="1" x14ac:dyDescent="0.35">
      <c r="A9" s="203" t="s">
        <v>1991</v>
      </c>
      <c r="B9" s="527"/>
      <c r="C9" s="201"/>
      <c r="D9" s="158"/>
      <c r="E9" s="158"/>
      <c r="F9" s="578"/>
      <c r="G9"/>
      <c r="H9" s="576"/>
      <c r="I9" s="120"/>
      <c r="J9"/>
      <c r="K9"/>
      <c r="O9" s="120"/>
      <c r="P9" s="120"/>
      <c r="Q9" s="120"/>
      <c r="R9" s="120"/>
      <c r="S9" s="120"/>
      <c r="T9" s="120"/>
    </row>
    <row r="10" spans="1:33" s="182" customFormat="1" ht="43.5" x14ac:dyDescent="0.35">
      <c r="A10" s="203" t="s">
        <v>2057</v>
      </c>
      <c r="B10" s="706"/>
      <c r="C10" s="619" t="s">
        <v>2062</v>
      </c>
      <c r="D10" s="516" t="s">
        <v>2058</v>
      </c>
      <c r="E10" s="516" t="s">
        <v>2059</v>
      </c>
      <c r="F10" s="516" t="s">
        <v>2060</v>
      </c>
      <c r="G10"/>
      <c r="H10" s="591" t="s">
        <v>2022</v>
      </c>
      <c r="I10" s="619" t="s">
        <v>2062</v>
      </c>
      <c r="J10" s="516" t="s">
        <v>2058</v>
      </c>
      <c r="K10" s="516" t="s">
        <v>2059</v>
      </c>
      <c r="L10" s="516" t="s">
        <v>2060</v>
      </c>
      <c r="O10" s="120"/>
      <c r="P10" s="120"/>
      <c r="Q10" s="120"/>
      <c r="R10" s="120"/>
      <c r="S10" s="120"/>
      <c r="T10" s="120"/>
    </row>
    <row r="11" spans="1:33" s="182" customFormat="1" x14ac:dyDescent="0.35">
      <c r="A11" s="211" t="str">
        <f>'Population and treatments'!B58</f>
        <v>People having amivantamab plus lazertinib  - year 1 of treatment</v>
      </c>
      <c r="B11" s="707"/>
      <c r="C11" s="202">
        <f>'Population and treatments'!I58</f>
        <v>0</v>
      </c>
      <c r="D11" s="202">
        <f>'Population and treatments'!J58</f>
        <v>168.19465774205736</v>
      </c>
      <c r="E11" s="202">
        <f>'Population and treatments'!K58</f>
        <v>224.25954365607652</v>
      </c>
      <c r="F11" s="202">
        <f>'Population and treatments'!L58</f>
        <v>280.32442957009562</v>
      </c>
      <c r="G11"/>
      <c r="H11" s="561">
        <f>'Unit costs'!B17</f>
        <v>0</v>
      </c>
      <c r="I11" s="205">
        <f>C11*$H11/1000</f>
        <v>0</v>
      </c>
      <c r="J11" s="205">
        <f t="shared" ref="J11:J18" si="0">D11*$H11/1000</f>
        <v>0</v>
      </c>
      <c r="K11" s="205">
        <f t="shared" ref="K11:K18" si="1">E11*$H11/1000</f>
        <v>0</v>
      </c>
      <c r="L11" s="205">
        <f t="shared" ref="L11:L18" si="2">F11*$H11/1000</f>
        <v>0</v>
      </c>
      <c r="M11" s="741"/>
      <c r="N11" s="757"/>
      <c r="O11" s="757"/>
      <c r="P11" s="757"/>
      <c r="Q11" s="120"/>
      <c r="R11" s="120"/>
      <c r="S11" s="120"/>
      <c r="U11" s="200"/>
      <c r="V11" s="200"/>
      <c r="W11" s="200"/>
      <c r="X11" s="200"/>
      <c r="Y11" s="200"/>
      <c r="Z11" s="200"/>
      <c r="AB11" s="200"/>
      <c r="AC11" s="200"/>
      <c r="AD11" s="200"/>
      <c r="AE11" s="200"/>
      <c r="AF11" s="200"/>
      <c r="AG11" s="200"/>
    </row>
    <row r="12" spans="1:33" s="182" customFormat="1" x14ac:dyDescent="0.35">
      <c r="A12" s="211" t="str">
        <f>'Population and treatments'!B59</f>
        <v>People having amivantamab plus lazertinib  - year 2 of treatment</v>
      </c>
      <c r="B12" s="707"/>
      <c r="C12" s="202">
        <f>'Population and treatments'!I59</f>
        <v>0</v>
      </c>
      <c r="D12" s="202">
        <f>'Population and treatments'!J59</f>
        <v>0</v>
      </c>
      <c r="E12" s="202">
        <f>'Population and treatments'!K59</f>
        <v>168.19465774205736</v>
      </c>
      <c r="F12" s="202">
        <f>'Population and treatments'!L59</f>
        <v>224.25954365607652</v>
      </c>
      <c r="G12"/>
      <c r="H12" s="561">
        <f>'Unit costs'!C17</f>
        <v>0</v>
      </c>
      <c r="I12" s="205">
        <f t="shared" ref="I12:I18" si="3">C12*$H12/1000</f>
        <v>0</v>
      </c>
      <c r="J12" s="205">
        <f t="shared" si="0"/>
        <v>0</v>
      </c>
      <c r="K12" s="205">
        <f t="shared" si="1"/>
        <v>0</v>
      </c>
      <c r="L12" s="205">
        <f t="shared" si="2"/>
        <v>0</v>
      </c>
      <c r="N12" s="120"/>
      <c r="O12" s="120"/>
      <c r="P12" s="120"/>
      <c r="Q12" s="120"/>
      <c r="R12" s="120"/>
      <c r="S12" s="120"/>
      <c r="U12" s="200"/>
      <c r="V12" s="200"/>
      <c r="W12" s="200"/>
      <c r="X12" s="200"/>
      <c r="Y12" s="200"/>
      <c r="Z12" s="200"/>
      <c r="AB12" s="200"/>
      <c r="AC12" s="200"/>
      <c r="AD12" s="200"/>
      <c r="AE12" s="200"/>
      <c r="AF12" s="200"/>
      <c r="AG12" s="200"/>
    </row>
    <row r="13" spans="1:33" s="182" customFormat="1" x14ac:dyDescent="0.35">
      <c r="A13" s="211" t="str">
        <f>'Population and treatments'!B60</f>
        <v>People having amivantamab plus lazertinib  - year 3 of treatment</v>
      </c>
      <c r="B13" s="707"/>
      <c r="C13" s="202">
        <f>'Population and treatments'!I60</f>
        <v>0</v>
      </c>
      <c r="D13" s="202">
        <f>'Population and treatments'!J60</f>
        <v>0</v>
      </c>
      <c r="E13" s="202">
        <f>'Population and treatments'!K60</f>
        <v>0</v>
      </c>
      <c r="F13" s="202">
        <f>'Population and treatments'!L60</f>
        <v>168.19465774205736</v>
      </c>
      <c r="G13"/>
      <c r="H13" s="561">
        <f>'Unit costs'!D17</f>
        <v>0</v>
      </c>
      <c r="I13" s="205">
        <f t="shared" si="3"/>
        <v>0</v>
      </c>
      <c r="J13" s="205">
        <f t="shared" si="0"/>
        <v>0</v>
      </c>
      <c r="K13" s="205">
        <f t="shared" si="1"/>
        <v>0</v>
      </c>
      <c r="L13" s="205">
        <f t="shared" si="2"/>
        <v>0</v>
      </c>
      <c r="N13" s="120"/>
      <c r="O13" s="120"/>
      <c r="P13" s="120"/>
      <c r="Q13" s="120"/>
      <c r="R13" s="120"/>
      <c r="S13" s="120"/>
      <c r="U13" s="200"/>
      <c r="V13" s="200"/>
      <c r="W13" s="200"/>
      <c r="X13" s="200"/>
      <c r="Y13" s="200"/>
      <c r="Z13" s="200"/>
      <c r="AB13" s="200"/>
      <c r="AC13" s="200"/>
      <c r="AD13" s="200"/>
      <c r="AE13" s="200"/>
      <c r="AF13" s="200"/>
      <c r="AG13" s="200"/>
    </row>
    <row r="14" spans="1:33" s="182" customFormat="1" x14ac:dyDescent="0.35">
      <c r="A14" s="211" t="str">
        <f>'Population and treatments'!B61</f>
        <v>People having osimertinib alone - year 1 of treatment</v>
      </c>
      <c r="B14" s="707"/>
      <c r="C14" s="202">
        <f>'Population and treatments'!I61</f>
        <v>740.05649406505233</v>
      </c>
      <c r="D14" s="202">
        <f>'Population and treatments'!J61</f>
        <v>515.79695040897593</v>
      </c>
      <c r="E14" s="202">
        <f>'Population and treatments'!K61</f>
        <v>403.66717858093773</v>
      </c>
      <c r="F14" s="202">
        <f>'Population and treatments'!L61</f>
        <v>291.53740675289947</v>
      </c>
      <c r="G14"/>
      <c r="H14" s="205">
        <f>'Unit costs'!B18</f>
        <v>0</v>
      </c>
      <c r="I14" s="205">
        <f t="shared" si="3"/>
        <v>0</v>
      </c>
      <c r="J14" s="205">
        <f t="shared" si="0"/>
        <v>0</v>
      </c>
      <c r="K14" s="205">
        <f t="shared" si="1"/>
        <v>0</v>
      </c>
      <c r="L14" s="205">
        <f t="shared" si="2"/>
        <v>0</v>
      </c>
      <c r="N14" s="120"/>
      <c r="O14" s="120"/>
      <c r="P14" s="120"/>
      <c r="Q14" s="120"/>
      <c r="R14" s="120"/>
      <c r="S14" s="120"/>
      <c r="U14" s="200"/>
      <c r="V14" s="200"/>
      <c r="W14" s="200"/>
      <c r="X14" s="200"/>
      <c r="Y14" s="200"/>
      <c r="Z14" s="200"/>
      <c r="AB14" s="200"/>
      <c r="AC14" s="200"/>
      <c r="AD14" s="200"/>
      <c r="AE14" s="200"/>
      <c r="AF14" s="200"/>
      <c r="AG14" s="200"/>
    </row>
    <row r="15" spans="1:33" s="182" customFormat="1" x14ac:dyDescent="0.35">
      <c r="A15" s="211" t="str">
        <f>'Population and treatments'!B62</f>
        <v>People having osimertinib alone - year 2 of treatment</v>
      </c>
      <c r="B15" s="707"/>
      <c r="C15" s="202">
        <f>'Population and treatments'!I62</f>
        <v>740.05649406505233</v>
      </c>
      <c r="D15" s="202">
        <f>'Population and treatments'!J62</f>
        <v>740.05649406505233</v>
      </c>
      <c r="E15" s="202">
        <f>'Population and treatments'!K62</f>
        <v>515.79695040897593</v>
      </c>
      <c r="F15" s="202">
        <f>'Population and treatments'!L62</f>
        <v>403.66717858093773</v>
      </c>
      <c r="G15"/>
      <c r="H15" s="205">
        <f>'Unit costs'!C18</f>
        <v>0</v>
      </c>
      <c r="I15" s="205">
        <f t="shared" si="3"/>
        <v>0</v>
      </c>
      <c r="J15" s="205">
        <f t="shared" si="0"/>
        <v>0</v>
      </c>
      <c r="K15" s="205">
        <f t="shared" si="1"/>
        <v>0</v>
      </c>
      <c r="L15" s="205">
        <f t="shared" si="2"/>
        <v>0</v>
      </c>
      <c r="N15" s="120"/>
      <c r="O15" s="120"/>
      <c r="P15" s="120"/>
      <c r="Q15" s="120"/>
      <c r="R15" s="120"/>
      <c r="S15" s="120"/>
      <c r="U15" s="200"/>
      <c r="V15" s="200"/>
      <c r="W15" s="200"/>
      <c r="X15" s="200"/>
      <c r="Y15" s="200"/>
      <c r="Z15" s="200"/>
      <c r="AB15" s="200"/>
      <c r="AC15" s="200"/>
      <c r="AD15" s="200"/>
      <c r="AE15" s="200"/>
      <c r="AF15" s="200"/>
      <c r="AG15" s="200"/>
    </row>
    <row r="16" spans="1:33" s="182" customFormat="1" x14ac:dyDescent="0.35">
      <c r="A16" s="211" t="str">
        <f>'Population and treatments'!B63</f>
        <v>People having osimertinib alone - year 3 of treatment</v>
      </c>
      <c r="B16" s="707"/>
      <c r="C16" s="202">
        <f>'Population and treatments'!I63</f>
        <v>740.05649406505233</v>
      </c>
      <c r="D16" s="202">
        <f>'Population and treatments'!J63</f>
        <v>740.05649406505233</v>
      </c>
      <c r="E16" s="202">
        <f>'Population and treatments'!K63</f>
        <v>740.05649406505233</v>
      </c>
      <c r="F16" s="202">
        <f>'Population and treatments'!L63</f>
        <v>515.79695040897593</v>
      </c>
      <c r="G16"/>
      <c r="H16" s="205">
        <f>'Unit costs'!D18</f>
        <v>0</v>
      </c>
      <c r="I16" s="205">
        <f t="shared" si="3"/>
        <v>0</v>
      </c>
      <c r="J16" s="205">
        <f t="shared" si="0"/>
        <v>0</v>
      </c>
      <c r="K16" s="205">
        <f t="shared" si="1"/>
        <v>0</v>
      </c>
      <c r="L16" s="205">
        <f t="shared" si="2"/>
        <v>0</v>
      </c>
      <c r="N16" s="120"/>
      <c r="O16" s="120"/>
      <c r="P16" s="120"/>
      <c r="Q16" s="120"/>
      <c r="R16" s="120"/>
      <c r="S16" s="120"/>
      <c r="U16" s="200"/>
      <c r="V16" s="200"/>
      <c r="W16" s="200"/>
      <c r="X16" s="200"/>
      <c r="Y16" s="200"/>
      <c r="Z16" s="200"/>
      <c r="AB16" s="200"/>
      <c r="AC16" s="200"/>
      <c r="AD16" s="200"/>
      <c r="AE16" s="200"/>
      <c r="AF16" s="200"/>
      <c r="AG16" s="200"/>
    </row>
    <row r="17" spans="1:33" s="182" customFormat="1" x14ac:dyDescent="0.35">
      <c r="A17" s="211" t="str">
        <f>'Population and treatments'!B64</f>
        <v>People having osimertinib plus chemotherapy - year 1 of treatment</v>
      </c>
      <c r="B17" s="707"/>
      <c r="C17" s="202">
        <f>'Population and treatments'!I64</f>
        <v>381.24122421533008</v>
      </c>
      <c r="D17" s="202">
        <f>'Population and treatments'!J64</f>
        <v>437.30611012934918</v>
      </c>
      <c r="E17" s="202">
        <f>'Population and treatments'!K64</f>
        <v>493.37099604336828</v>
      </c>
      <c r="F17" s="202">
        <f>'Population and treatments'!L64</f>
        <v>549.43588195738744</v>
      </c>
      <c r="G17"/>
      <c r="H17" s="560">
        <f>'Unit costs'!B19</f>
        <v>2957.1349523809522</v>
      </c>
      <c r="I17" s="205">
        <f t="shared" si="3"/>
        <v>1127.381749415656</v>
      </c>
      <c r="J17" s="205">
        <f t="shared" si="0"/>
        <v>1293.1731831532522</v>
      </c>
      <c r="K17" s="205">
        <f t="shared" si="1"/>
        <v>1458.9646168908489</v>
      </c>
      <c r="L17" s="205">
        <f t="shared" si="2"/>
        <v>1624.7560506284453</v>
      </c>
      <c r="N17" s="120"/>
      <c r="O17" s="120"/>
      <c r="P17" s="120"/>
      <c r="Q17" s="120"/>
      <c r="R17" s="120"/>
      <c r="S17" s="120"/>
      <c r="U17" s="200"/>
      <c r="V17" s="200"/>
      <c r="W17" s="200"/>
      <c r="X17" s="200"/>
      <c r="Y17" s="200"/>
      <c r="Z17" s="200"/>
      <c r="AB17" s="200"/>
      <c r="AC17" s="200"/>
      <c r="AD17" s="200"/>
      <c r="AE17" s="200"/>
      <c r="AF17" s="200"/>
      <c r="AG17" s="200"/>
    </row>
    <row r="18" spans="1:33" s="182" customFormat="1" x14ac:dyDescent="0.35">
      <c r="A18" s="211" t="str">
        <f>'Population and treatments'!B65</f>
        <v>People having osimertinib plus chemotherapy  - year 2 of treatment</v>
      </c>
      <c r="B18" s="707"/>
      <c r="C18" s="202">
        <f>'Population and treatments'!I65</f>
        <v>381.24122421533008</v>
      </c>
      <c r="D18" s="202">
        <f>'Population and treatments'!J65</f>
        <v>381.24122421533008</v>
      </c>
      <c r="E18" s="202">
        <f>'Population and treatments'!K65</f>
        <v>437.30611012934918</v>
      </c>
      <c r="F18" s="202">
        <f>'Population and treatments'!L65</f>
        <v>493.37099604336828</v>
      </c>
      <c r="G18"/>
      <c r="H18" s="560">
        <f>'Unit costs'!C19</f>
        <v>1057.5780285714284</v>
      </c>
      <c r="I18" s="205">
        <f t="shared" si="3"/>
        <v>403.19234231580668</v>
      </c>
      <c r="J18" s="205">
        <f t="shared" si="0"/>
        <v>403.19234231580668</v>
      </c>
      <c r="K18" s="205">
        <f t="shared" si="1"/>
        <v>462.48533383283706</v>
      </c>
      <c r="L18" s="205">
        <f t="shared" si="2"/>
        <v>521.77832534986737</v>
      </c>
      <c r="N18" s="120"/>
      <c r="O18" s="120"/>
      <c r="P18" s="120"/>
      <c r="Q18" s="120"/>
      <c r="R18" s="120"/>
      <c r="S18" s="120"/>
      <c r="U18" s="200"/>
      <c r="V18" s="200"/>
      <c r="W18" s="200"/>
      <c r="X18" s="200"/>
      <c r="Y18" s="200"/>
      <c r="Z18" s="200"/>
      <c r="AB18" s="200"/>
      <c r="AC18" s="200"/>
      <c r="AD18" s="200"/>
      <c r="AE18" s="200"/>
      <c r="AF18" s="200"/>
      <c r="AG18" s="200"/>
    </row>
    <row r="19" spans="1:33" s="182" customFormat="1" x14ac:dyDescent="0.35">
      <c r="A19" s="211" t="str">
        <f>'Population and treatments'!B66</f>
        <v>People having osimertinib plus chemotherapy - year 3 of treatment</v>
      </c>
      <c r="B19" s="707"/>
      <c r="C19" s="202">
        <f>'Population and treatments'!I66</f>
        <v>381.24122421533008</v>
      </c>
      <c r="D19" s="202">
        <f>'Population and treatments'!J66</f>
        <v>381.24122421533008</v>
      </c>
      <c r="E19" s="202">
        <f>'Population and treatments'!K66</f>
        <v>381.24122421533008</v>
      </c>
      <c r="F19" s="202">
        <f>'Population and treatments'!L66</f>
        <v>437.30611012934918</v>
      </c>
      <c r="G19"/>
      <c r="H19" s="560">
        <f>'Unit costs'!D19</f>
        <v>0</v>
      </c>
      <c r="I19" s="205">
        <f t="shared" ref="I19" si="4">C19*$H19/1000</f>
        <v>0</v>
      </c>
      <c r="J19" s="205">
        <f t="shared" ref="J19" si="5">D19*$H19/1000</f>
        <v>0</v>
      </c>
      <c r="K19" s="205">
        <f t="shared" ref="K19" si="6">E19*$H19/1000</f>
        <v>0</v>
      </c>
      <c r="L19" s="205">
        <f t="shared" ref="L19" si="7">F19*$H19/1000</f>
        <v>0</v>
      </c>
      <c r="N19" s="120"/>
      <c r="O19" s="120"/>
      <c r="P19" s="120"/>
      <c r="Q19" s="120"/>
      <c r="R19" s="120"/>
      <c r="S19" s="120"/>
      <c r="U19" s="200"/>
      <c r="V19" s="200"/>
      <c r="W19" s="200"/>
      <c r="X19" s="200"/>
      <c r="Y19" s="200"/>
      <c r="Z19" s="200"/>
      <c r="AB19" s="200"/>
      <c r="AC19" s="200"/>
      <c r="AD19" s="200"/>
      <c r="AE19" s="200"/>
      <c r="AF19" s="200"/>
      <c r="AG19" s="200"/>
    </row>
    <row r="20" spans="1:33" s="182" customFormat="1" x14ac:dyDescent="0.35">
      <c r="A20" s="705" t="s">
        <v>2011</v>
      </c>
      <c r="B20" s="708"/>
      <c r="C20" s="159">
        <f>SUM(C11:C19)</f>
        <v>3363.893154841147</v>
      </c>
      <c r="D20" s="159">
        <f>SUM(D11:D19)</f>
        <v>3363.8931548411474</v>
      </c>
      <c r="E20" s="159">
        <f>SUM(E11:E19)</f>
        <v>3363.8931548411479</v>
      </c>
      <c r="F20" s="159">
        <f>SUM(F11:F19)</f>
        <v>3363.8931548411474</v>
      </c>
      <c r="G20"/>
      <c r="H20" s="559"/>
      <c r="I20" s="206">
        <f>SUM(I11:I19)</f>
        <v>1530.5740917314627</v>
      </c>
      <c r="J20" s="206">
        <f>SUM(J11:J19)</f>
        <v>1696.3655254690589</v>
      </c>
      <c r="K20" s="206">
        <f>SUM(K11:K19)</f>
        <v>1921.449950723686</v>
      </c>
      <c r="L20" s="206">
        <f>SUM(L11:L19)</f>
        <v>2146.5343759783127</v>
      </c>
      <c r="N20" s="120"/>
      <c r="O20" s="120"/>
      <c r="P20" s="120"/>
      <c r="Q20" s="120"/>
      <c r="R20" s="120"/>
      <c r="S20" s="120"/>
      <c r="U20" s="200"/>
      <c r="V20" s="200"/>
      <c r="W20" s="200"/>
      <c r="X20" s="200"/>
      <c r="Y20" s="200"/>
      <c r="Z20" s="200"/>
      <c r="AB20" s="200"/>
      <c r="AC20" s="200"/>
      <c r="AD20" s="200"/>
      <c r="AE20" s="200"/>
      <c r="AF20" s="200"/>
      <c r="AG20" s="200"/>
    </row>
    <row r="21" spans="1:33" x14ac:dyDescent="0.35">
      <c r="A21" s="197"/>
      <c r="B21" s="197"/>
      <c r="C21" s="197"/>
      <c r="D21" s="208"/>
      <c r="E21" s="208"/>
      <c r="F21" s="208"/>
      <c r="H21" s="197"/>
      <c r="J21" s="163">
        <f>J20-I20</f>
        <v>165.79143373759621</v>
      </c>
      <c r="K21" s="163">
        <f>K20-I20</f>
        <v>390.87585899222336</v>
      </c>
      <c r="L21" s="163">
        <f>L20-I20</f>
        <v>615.96028424685005</v>
      </c>
      <c r="M21" s="232" t="s">
        <v>1917</v>
      </c>
      <c r="N21" s="567"/>
      <c r="O21" s="164"/>
      <c r="P21" s="149"/>
    </row>
    <row r="22" spans="1:33" x14ac:dyDescent="0.35">
      <c r="A22" s="197"/>
      <c r="B22" s="197"/>
      <c r="C22" s="197"/>
      <c r="D22" s="208"/>
      <c r="E22" s="208"/>
      <c r="F22" s="208"/>
      <c r="H22" s="197"/>
      <c r="J22" s="163">
        <f>J21</f>
        <v>165.79143373759621</v>
      </c>
      <c r="K22" s="163">
        <f>K21-J21</f>
        <v>225.08442525462715</v>
      </c>
      <c r="L22" s="163">
        <f>L21-K21</f>
        <v>225.08442525462669</v>
      </c>
      <c r="M22" s="232" t="s">
        <v>1918</v>
      </c>
      <c r="N22" s="567"/>
      <c r="O22" s="164"/>
      <c r="P22" s="149"/>
    </row>
    <row r="24" spans="1:33" x14ac:dyDescent="0.35">
      <c r="A24" s="203" t="s">
        <v>2010</v>
      </c>
      <c r="B24" s="527"/>
      <c r="C24" s="201"/>
      <c r="D24" s="158"/>
      <c r="E24" s="158"/>
      <c r="F24" s="578"/>
      <c r="H24" s="197"/>
      <c r="I24" s="120"/>
    </row>
    <row r="25" spans="1:33" ht="43.5" x14ac:dyDescent="0.35">
      <c r="A25" s="195" t="s">
        <v>2099</v>
      </c>
      <c r="B25" s="709"/>
      <c r="C25" s="619" t="s">
        <v>2062</v>
      </c>
      <c r="D25" s="516" t="s">
        <v>2058</v>
      </c>
      <c r="E25" s="516" t="s">
        <v>2059</v>
      </c>
      <c r="F25" s="516" t="s">
        <v>2060</v>
      </c>
      <c r="H25" s="591" t="s">
        <v>2022</v>
      </c>
      <c r="I25" s="619" t="s">
        <v>2062</v>
      </c>
      <c r="J25" s="516" t="s">
        <v>2058</v>
      </c>
      <c r="K25" s="516" t="s">
        <v>2059</v>
      </c>
      <c r="L25" s="516" t="s">
        <v>2060</v>
      </c>
    </row>
    <row r="26" spans="1:33" x14ac:dyDescent="0.35">
      <c r="A26" s="304" t="s">
        <v>2098</v>
      </c>
      <c r="B26" s="710"/>
      <c r="C26" s="568">
        <f>C65</f>
        <v>37014.037680435431</v>
      </c>
      <c r="D26" s="568">
        <f t="shared" ref="D26:F26" si="8">D65</f>
        <v>39331.386298214886</v>
      </c>
      <c r="E26" s="568">
        <f t="shared" si="8"/>
        <v>42452.331614095288</v>
      </c>
      <c r="F26" s="568">
        <f t="shared" si="8"/>
        <v>43599.792945802212</v>
      </c>
      <c r="H26" s="562"/>
      <c r="I26" s="205">
        <f>I65</f>
        <v>5883.6417107002817</v>
      </c>
      <c r="J26" s="205">
        <f>J65</f>
        <v>6441.7676499743411</v>
      </c>
      <c r="K26" s="205">
        <f>K65</f>
        <v>7181.3693176524175</v>
      </c>
      <c r="L26" s="205">
        <f>L65</f>
        <v>7563.4508143453822</v>
      </c>
    </row>
    <row r="27" spans="1:33" x14ac:dyDescent="0.35">
      <c r="A27" s="304" t="s">
        <v>2013</v>
      </c>
      <c r="B27" s="710"/>
      <c r="C27" s="537">
        <f>Capacity!D60</f>
        <v>33638.93154841147</v>
      </c>
      <c r="D27" s="536">
        <f>Capacity!E60</f>
        <v>33638.93154841147</v>
      </c>
      <c r="E27" s="536">
        <f>Capacity!F60</f>
        <v>33638.931548411478</v>
      </c>
      <c r="F27" s="536">
        <f>Capacity!G60</f>
        <v>33638.931548411478</v>
      </c>
      <c r="H27" s="563">
        <f>'Unit costs'!K194</f>
        <v>154</v>
      </c>
      <c r="I27" s="205">
        <f>C27*$H27/1000</f>
        <v>5180.3954584553658</v>
      </c>
      <c r="J27" s="205">
        <f t="shared" ref="J27:L27" si="9">D27*$H27/1000</f>
        <v>5180.3954584553658</v>
      </c>
      <c r="K27" s="205">
        <f t="shared" si="9"/>
        <v>5180.3954584553676</v>
      </c>
      <c r="L27" s="205">
        <f t="shared" si="9"/>
        <v>5180.3954584553676</v>
      </c>
    </row>
    <row r="28" spans="1:33" x14ac:dyDescent="0.35">
      <c r="A28" s="553" t="s">
        <v>2274</v>
      </c>
      <c r="B28" s="710"/>
      <c r="C28" s="537">
        <f>Capacity!D69</f>
        <v>0</v>
      </c>
      <c r="D28" s="537">
        <f>Capacity!E69</f>
        <v>4373.0611012934914</v>
      </c>
      <c r="E28" s="537">
        <f>Capacity!F69</f>
        <v>10203.809236351481</v>
      </c>
      <c r="F28" s="537">
        <f>Capacity!G69</f>
        <v>14212.448579203849</v>
      </c>
      <c r="H28" s="800"/>
      <c r="I28" s="801"/>
      <c r="J28" s="801"/>
      <c r="K28" s="801"/>
      <c r="L28" s="801"/>
    </row>
    <row r="29" spans="1:33" x14ac:dyDescent="0.35">
      <c r="A29" s="553" t="s">
        <v>2239</v>
      </c>
      <c r="B29" s="710"/>
      <c r="C29" s="537">
        <f>Capacity!D81</f>
        <v>7427.3959931950903</v>
      </c>
      <c r="D29" s="537">
        <f>Capacity!E81</f>
        <v>8156.2395100773392</v>
      </c>
      <c r="E29" s="537">
        <f>Capacity!F81</f>
        <v>9248.5036267236756</v>
      </c>
      <c r="F29" s="537">
        <f>Capacity!G81</f>
        <v>10340.767743370012</v>
      </c>
      <c r="H29" s="800"/>
      <c r="I29" s="801"/>
      <c r="J29" s="801"/>
      <c r="K29" s="801"/>
      <c r="L29" s="801"/>
    </row>
    <row r="30" spans="1:33" x14ac:dyDescent="0.35">
      <c r="A30" s="553" t="s">
        <v>2014</v>
      </c>
      <c r="B30" s="710"/>
      <c r="C30" s="568">
        <f>'Adverse events'!B40</f>
        <v>501.89285870229918</v>
      </c>
      <c r="D30" s="568">
        <f>'Adverse events'!C40</f>
        <v>621.31106569915994</v>
      </c>
      <c r="E30" s="568">
        <f>'Adverse events'!D40</f>
        <v>776.05015082185287</v>
      </c>
      <c r="F30" s="568">
        <f>'Adverse events'!E40</f>
        <v>966.11011407037756</v>
      </c>
      <c r="H30" s="562"/>
      <c r="I30" s="205">
        <f>'Adverse events'!H40</f>
        <v>236.23516923937325</v>
      </c>
      <c r="J30" s="205">
        <f>'Adverse events'!I40</f>
        <v>279.40270378360788</v>
      </c>
      <c r="K30" s="205">
        <f>'Adverse events'!J40</f>
        <v>335.18150179778496</v>
      </c>
      <c r="L30" s="205">
        <f>'Adverse events'!K40</f>
        <v>403.5715632819045</v>
      </c>
    </row>
    <row r="31" spans="1:33" x14ac:dyDescent="0.35">
      <c r="A31" s="539" t="s">
        <v>2016</v>
      </c>
      <c r="B31" s="711"/>
      <c r="C31" s="573">
        <f>Capacity!D123</f>
        <v>0</v>
      </c>
      <c r="D31" s="574">
        <f>Capacity!E123</f>
        <v>0</v>
      </c>
      <c r="E31" s="574">
        <f>Capacity!F123</f>
        <v>0</v>
      </c>
      <c r="F31" s="574">
        <f>Capacity!G123</f>
        <v>0</v>
      </c>
      <c r="H31" s="563">
        <f>'Unit costs'!K200</f>
        <v>93</v>
      </c>
      <c r="I31" s="205">
        <f>C31*$H31/1000</f>
        <v>0</v>
      </c>
      <c r="J31" s="205">
        <f t="shared" ref="J31:J32" si="10">D31*$H31/1000</f>
        <v>0</v>
      </c>
      <c r="K31" s="205">
        <f t="shared" ref="K31:K33" si="11">E31*$H31/1000</f>
        <v>0</v>
      </c>
      <c r="L31" s="205">
        <f t="shared" ref="L31:L33" si="12">F31*$H31/1000</f>
        <v>0</v>
      </c>
    </row>
    <row r="32" spans="1:33" x14ac:dyDescent="0.35">
      <c r="A32" s="539" t="s">
        <v>2226</v>
      </c>
      <c r="B32" s="711"/>
      <c r="C32" s="573">
        <f>Capacity!D135</f>
        <v>0</v>
      </c>
      <c r="D32" s="573">
        <f>Capacity!E135</f>
        <v>0</v>
      </c>
      <c r="E32" s="573">
        <f>Capacity!F135</f>
        <v>0</v>
      </c>
      <c r="F32" s="573">
        <f>Capacity!G135</f>
        <v>0</v>
      </c>
      <c r="H32" s="563">
        <f>'Unit costs'!K201</f>
        <v>115</v>
      </c>
      <c r="I32" s="205">
        <f>C32*$H32/1000</f>
        <v>0</v>
      </c>
      <c r="J32" s="205">
        <f t="shared" si="10"/>
        <v>0</v>
      </c>
      <c r="K32" s="205">
        <f t="shared" si="11"/>
        <v>0</v>
      </c>
      <c r="L32" s="205">
        <f t="shared" si="12"/>
        <v>0</v>
      </c>
    </row>
    <row r="33" spans="1:16" x14ac:dyDescent="0.35">
      <c r="A33" s="539" t="s">
        <v>2015</v>
      </c>
      <c r="B33" s="711"/>
      <c r="C33" s="538">
        <f>Capacity!D147</f>
        <v>0</v>
      </c>
      <c r="D33" s="536">
        <f>Capacity!E147</f>
        <v>0</v>
      </c>
      <c r="E33" s="536">
        <f>Capacity!F147</f>
        <v>0</v>
      </c>
      <c r="F33" s="536">
        <f>Capacity!G147</f>
        <v>0</v>
      </c>
      <c r="H33" s="563">
        <f>'Unit costs'!K207</f>
        <v>15</v>
      </c>
      <c r="I33" s="205">
        <f>C33*$H33/1000</f>
        <v>0</v>
      </c>
      <c r="J33" s="205">
        <f>D33*$H33/1000</f>
        <v>0</v>
      </c>
      <c r="K33" s="205">
        <f t="shared" si="11"/>
        <v>0</v>
      </c>
      <c r="L33" s="205">
        <f t="shared" si="12"/>
        <v>0</v>
      </c>
    </row>
    <row r="34" spans="1:16" x14ac:dyDescent="0.35">
      <c r="A34" s="207" t="s">
        <v>2012</v>
      </c>
      <c r="B34" s="245"/>
      <c r="C34" s="717"/>
      <c r="D34" s="717"/>
      <c r="E34" s="717"/>
      <c r="F34" s="718"/>
      <c r="H34" s="575"/>
      <c r="I34" s="206">
        <f>SUM(I26:I33)</f>
        <v>11300.27233839502</v>
      </c>
      <c r="J34" s="206">
        <f>SUM(J26:J33)</f>
        <v>11901.565812213315</v>
      </c>
      <c r="K34" s="206">
        <f>SUM(K26:K33)</f>
        <v>12696.94627790557</v>
      </c>
      <c r="L34" s="206">
        <f>SUM(L26:L33)</f>
        <v>13147.417836082655</v>
      </c>
      <c r="N34" s="1"/>
    </row>
    <row r="35" spans="1:16" x14ac:dyDescent="0.35">
      <c r="D35" s="208"/>
      <c r="E35" s="208"/>
      <c r="F35" s="208"/>
      <c r="G35" s="558"/>
      <c r="I35" s="120"/>
      <c r="J35" s="564">
        <f>J34-I34</f>
        <v>601.29347381829575</v>
      </c>
      <c r="K35" s="564">
        <f>K34-I34</f>
        <v>1396.6739395105506</v>
      </c>
      <c r="L35" s="564">
        <f>L34-I34</f>
        <v>1847.1454976876357</v>
      </c>
      <c r="M35" s="232" t="s">
        <v>1917</v>
      </c>
      <c r="N35" s="566"/>
      <c r="O35" s="164"/>
      <c r="P35" s="149"/>
    </row>
    <row r="36" spans="1:16" x14ac:dyDescent="0.35">
      <c r="D36" s="208"/>
      <c r="E36" s="208"/>
      <c r="F36" s="208"/>
      <c r="G36" s="558"/>
      <c r="I36" s="120"/>
      <c r="J36" s="163">
        <f>J35</f>
        <v>601.29347381829575</v>
      </c>
      <c r="K36" s="163">
        <f>K35-J35</f>
        <v>795.3804656922548</v>
      </c>
      <c r="L36" s="163">
        <f>L35-K35</f>
        <v>450.47155817708517</v>
      </c>
      <c r="M36" s="565" t="s">
        <v>1918</v>
      </c>
      <c r="N36" s="145"/>
      <c r="O36" s="145"/>
      <c r="P36" s="146"/>
    </row>
    <row r="37" spans="1:16" x14ac:dyDescent="0.35">
      <c r="A37" s="223"/>
      <c r="B37" s="223"/>
      <c r="C37" s="223"/>
      <c r="D37" s="223"/>
      <c r="E37" s="223"/>
      <c r="F37" s="223"/>
      <c r="H37" s="223"/>
      <c r="I37" s="120"/>
    </row>
    <row r="38" spans="1:16" x14ac:dyDescent="0.35">
      <c r="A38" s="223"/>
      <c r="B38" s="223"/>
      <c r="C38" s="223"/>
      <c r="D38" s="223"/>
      <c r="E38" s="223"/>
      <c r="F38" s="223"/>
      <c r="H38" s="223"/>
      <c r="I38" s="327" t="s">
        <v>1916</v>
      </c>
      <c r="J38" s="327" t="s">
        <v>1916</v>
      </c>
      <c r="K38" s="327" t="s">
        <v>1916</v>
      </c>
      <c r="L38" s="327" t="s">
        <v>1916</v>
      </c>
    </row>
    <row r="39" spans="1:16" ht="29" x14ac:dyDescent="0.35">
      <c r="A39" s="195" t="s">
        <v>1919</v>
      </c>
      <c r="B39" s="196"/>
      <c r="C39" s="714"/>
      <c r="D39" s="610"/>
      <c r="E39" s="610"/>
      <c r="F39" s="610"/>
      <c r="G39" s="610"/>
      <c r="H39" s="196"/>
      <c r="I39" s="619" t="s">
        <v>2062</v>
      </c>
      <c r="J39" s="516" t="s">
        <v>2058</v>
      </c>
      <c r="K39" s="516" t="s">
        <v>2059</v>
      </c>
      <c r="L39" s="516" t="s">
        <v>2060</v>
      </c>
    </row>
    <row r="40" spans="1:16" x14ac:dyDescent="0.35">
      <c r="A40" s="207" t="s">
        <v>1999</v>
      </c>
      <c r="B40" s="245"/>
      <c r="C40" s="566"/>
      <c r="D40" s="164"/>
      <c r="E40" s="164"/>
      <c r="F40" s="164"/>
      <c r="G40" s="567"/>
      <c r="H40" s="579"/>
      <c r="I40" s="259">
        <f>I34+I20</f>
        <v>12830.846430126483</v>
      </c>
      <c r="J40" s="259">
        <f>J34+J20</f>
        <v>13597.931337682374</v>
      </c>
      <c r="K40" s="259">
        <f>K34+K20</f>
        <v>14618.396228629255</v>
      </c>
      <c r="L40" s="259">
        <f>L34+L20</f>
        <v>15293.952212060969</v>
      </c>
    </row>
    <row r="41" spans="1:16" x14ac:dyDescent="0.35">
      <c r="A41" s="586"/>
      <c r="B41" s="586"/>
      <c r="C41" s="486"/>
      <c r="D41" s="459"/>
      <c r="E41" s="459"/>
      <c r="F41" s="459"/>
      <c r="G41" s="587"/>
      <c r="H41" s="586"/>
      <c r="I41" s="588"/>
      <c r="J41" s="248">
        <f>J40-$I$40</f>
        <v>767.08490755589082</v>
      </c>
      <c r="K41" s="248">
        <f>K40-$I$40</f>
        <v>1787.5497985027723</v>
      </c>
      <c r="L41" s="248">
        <f>L40-$I$40</f>
        <v>2463.105781934486</v>
      </c>
      <c r="M41" s="232" t="s">
        <v>1917</v>
      </c>
      <c r="N41" s="164"/>
      <c r="O41" s="164"/>
      <c r="P41" s="149"/>
    </row>
    <row r="42" spans="1:16" x14ac:dyDescent="0.35">
      <c r="A42" s="589"/>
      <c r="B42" s="589"/>
      <c r="G42" s="558"/>
      <c r="H42" s="589"/>
      <c r="I42" s="590"/>
      <c r="J42" s="249">
        <f>J40-I40</f>
        <v>767.08490755589082</v>
      </c>
      <c r="K42" s="249">
        <f>K40-J40</f>
        <v>1020.4648909468815</v>
      </c>
      <c r="L42" s="249">
        <f>L40-K40</f>
        <v>675.55598343171368</v>
      </c>
      <c r="M42" s="565" t="s">
        <v>1918</v>
      </c>
      <c r="N42" s="145"/>
      <c r="O42" s="145"/>
      <c r="P42" s="146"/>
    </row>
    <row r="43" spans="1:16" ht="15" thickBot="1" x14ac:dyDescent="0.4">
      <c r="A43" s="250"/>
      <c r="B43" s="250"/>
      <c r="C43" s="250"/>
      <c r="D43" s="251"/>
      <c r="E43" s="251"/>
      <c r="F43" s="251"/>
      <c r="G43" s="252"/>
      <c r="H43" s="250"/>
      <c r="I43" s="252"/>
      <c r="J43" s="580"/>
      <c r="K43" s="580"/>
      <c r="L43" s="580"/>
      <c r="M43" s="580"/>
      <c r="N43" s="580"/>
      <c r="O43" s="580"/>
      <c r="P43" s="580"/>
    </row>
    <row r="44" spans="1:16" x14ac:dyDescent="0.35">
      <c r="A44" s="197"/>
      <c r="B44" s="197"/>
      <c r="C44" s="197"/>
      <c r="D44" s="208"/>
      <c r="E44" s="208"/>
      <c r="F44" s="208"/>
      <c r="G44" s="120"/>
      <c r="H44" s="197"/>
      <c r="I44" s="120"/>
    </row>
    <row r="45" spans="1:16" x14ac:dyDescent="0.35">
      <c r="A45" s="715" t="s">
        <v>2100</v>
      </c>
      <c r="B45" s="719"/>
      <c r="C45" s="720"/>
      <c r="D45" s="721"/>
      <c r="E45" s="721"/>
      <c r="F45" s="319"/>
      <c r="G45" s="120"/>
      <c r="I45" s="120"/>
    </row>
    <row r="46" spans="1:16" ht="29" x14ac:dyDescent="0.35">
      <c r="A46" s="715" t="s">
        <v>2020</v>
      </c>
      <c r="B46" s="722"/>
      <c r="C46" s="619" t="s">
        <v>2062</v>
      </c>
      <c r="D46" s="516" t="s">
        <v>2058</v>
      </c>
      <c r="E46" s="516" t="s">
        <v>2059</v>
      </c>
      <c r="F46" s="516" t="s">
        <v>2060</v>
      </c>
      <c r="G46" s="120"/>
      <c r="I46" s="120"/>
    </row>
    <row r="47" spans="1:16" x14ac:dyDescent="0.35">
      <c r="A47" s="304" t="s">
        <v>2007</v>
      </c>
      <c r="B47" s="710"/>
      <c r="C47" s="569">
        <f>Capacity!D63</f>
        <v>16819.465774205735</v>
      </c>
      <c r="D47" s="569">
        <f>Capacity!E63</f>
        <v>16819.465774205735</v>
      </c>
      <c r="E47" s="569">
        <f>Capacity!F63</f>
        <v>16819.465774205739</v>
      </c>
      <c r="F47" s="569">
        <f>Capacity!G63</f>
        <v>16819.465774205739</v>
      </c>
      <c r="G47" s="120"/>
      <c r="I47" s="120"/>
    </row>
    <row r="48" spans="1:16" x14ac:dyDescent="0.35">
      <c r="A48" s="304" t="s">
        <v>2273</v>
      </c>
      <c r="B48" s="710"/>
      <c r="C48" s="569">
        <f>Capacity!D75</f>
        <v>0</v>
      </c>
      <c r="D48" s="569">
        <f>Capacity!E75</f>
        <v>0</v>
      </c>
      <c r="E48" s="569">
        <f>Capacity!F75</f>
        <v>0</v>
      </c>
      <c r="F48" s="569">
        <f>Capacity!G75</f>
        <v>0</v>
      </c>
      <c r="G48" s="120"/>
      <c r="I48" s="120"/>
    </row>
    <row r="49" spans="1:13" x14ac:dyDescent="0.35">
      <c r="A49" s="304" t="s">
        <v>2238</v>
      </c>
      <c r="B49" s="710"/>
      <c r="C49" s="569">
        <f>Capacity!D87</f>
        <v>6459.5425281484349</v>
      </c>
      <c r="D49" s="569">
        <f>Capacity!E87</f>
        <v>7227.7649529941009</v>
      </c>
      <c r="E49" s="569">
        <f>Capacity!F87</f>
        <v>8177.6976777218115</v>
      </c>
      <c r="F49" s="569">
        <f>Capacity!G87</f>
        <v>9127.6304024495239</v>
      </c>
      <c r="G49" s="120"/>
      <c r="I49" s="120"/>
    </row>
    <row r="50" spans="1:13" x14ac:dyDescent="0.35">
      <c r="A50" s="304" t="s">
        <v>2008</v>
      </c>
      <c r="B50" s="710"/>
      <c r="C50" s="569">
        <f>Capacity!$D99</f>
        <v>0</v>
      </c>
      <c r="D50" s="569">
        <f>Capacity!$E99</f>
        <v>0</v>
      </c>
      <c r="E50" s="569">
        <f>Capacity!$F99</f>
        <v>0</v>
      </c>
      <c r="F50" s="569">
        <f>Capacity!$G99</f>
        <v>0</v>
      </c>
      <c r="G50" s="120"/>
      <c r="I50" s="120"/>
    </row>
    <row r="51" spans="1:13" x14ac:dyDescent="0.35">
      <c r="A51" s="304" t="s">
        <v>2009</v>
      </c>
      <c r="B51" s="710"/>
      <c r="C51" s="537">
        <f>Capacity!$D111</f>
        <v>0</v>
      </c>
      <c r="D51" s="537">
        <f>Capacity!$E111</f>
        <v>0</v>
      </c>
      <c r="E51" s="537">
        <f>Capacity!$F111</f>
        <v>0</v>
      </c>
      <c r="F51" s="537">
        <f>Capacity!$G111</f>
        <v>0</v>
      </c>
      <c r="G51" s="120"/>
      <c r="I51" s="120"/>
    </row>
    <row r="52" spans="1:13" x14ac:dyDescent="0.35">
      <c r="A52" s="550"/>
      <c r="B52" s="550"/>
      <c r="C52" s="197"/>
      <c r="D52" s="192"/>
      <c r="E52" s="192"/>
      <c r="F52" s="192"/>
      <c r="G52" s="120"/>
      <c r="I52" s="120"/>
    </row>
    <row r="53" spans="1:13" x14ac:dyDescent="0.35">
      <c r="A53" s="550"/>
      <c r="B53" s="550"/>
      <c r="C53" s="197"/>
      <c r="D53" s="192"/>
      <c r="E53" s="192"/>
      <c r="F53" s="192"/>
      <c r="G53" s="120"/>
      <c r="I53" s="120"/>
    </row>
    <row r="54" spans="1:13" x14ac:dyDescent="0.35">
      <c r="A54" s="715" t="s">
        <v>2021</v>
      </c>
      <c r="B54" s="714"/>
      <c r="C54" s="714"/>
      <c r="D54" s="610"/>
      <c r="E54" s="610"/>
      <c r="F54" s="611"/>
    </row>
    <row r="55" spans="1:13" ht="86.15" customHeight="1" x14ac:dyDescent="0.35">
      <c r="A55" s="712" t="s">
        <v>2057</v>
      </c>
      <c r="B55" s="716" t="s">
        <v>1998</v>
      </c>
      <c r="C55" s="695" t="s">
        <v>2062</v>
      </c>
      <c r="D55" s="713" t="s">
        <v>2058</v>
      </c>
      <c r="E55" s="713" t="s">
        <v>2059</v>
      </c>
      <c r="F55" s="713" t="s">
        <v>2060</v>
      </c>
      <c r="G55" s="512"/>
      <c r="H55" s="591" t="s">
        <v>2022</v>
      </c>
      <c r="I55" s="619" t="s">
        <v>2062</v>
      </c>
      <c r="J55" s="516" t="s">
        <v>2058</v>
      </c>
      <c r="K55" s="516" t="s">
        <v>2059</v>
      </c>
      <c r="L55" s="516" t="s">
        <v>2060</v>
      </c>
      <c r="M55" s="512"/>
    </row>
    <row r="56" spans="1:13" x14ac:dyDescent="0.35">
      <c r="A56" s="304" t="s">
        <v>2208</v>
      </c>
      <c r="B56" s="569">
        <f>Capacity!C39</f>
        <v>26</v>
      </c>
      <c r="C56" s="569">
        <f>Capacity!D39</f>
        <v>0</v>
      </c>
      <c r="D56" s="569">
        <f>Capacity!E39</f>
        <v>4373.0611012934914</v>
      </c>
      <c r="E56" s="569">
        <f>Capacity!F39</f>
        <v>5830.7481350579892</v>
      </c>
      <c r="F56" s="569">
        <f>Capacity!G39</f>
        <v>7288.435168822486</v>
      </c>
      <c r="G56" s="512"/>
      <c r="H56" s="571">
        <f>'Unit costs'!O53</f>
        <v>184</v>
      </c>
      <c r="I56" s="571">
        <f t="shared" ref="I56" si="13">C56*$H56/1000</f>
        <v>0</v>
      </c>
      <c r="J56" s="571">
        <f t="shared" ref="J56:J64" si="14">D56*$H56/1000</f>
        <v>804.64324263800233</v>
      </c>
      <c r="K56" s="571">
        <f t="shared" ref="K56:K64" si="15">E56*$H56/1000</f>
        <v>1072.8576568506701</v>
      </c>
      <c r="L56" s="571">
        <f t="shared" ref="L56:L64" si="16">F56*$H56/1000</f>
        <v>1341.0720710633375</v>
      </c>
      <c r="M56" s="512"/>
    </row>
    <row r="57" spans="1:13" x14ac:dyDescent="0.35">
      <c r="A57" s="304" t="s">
        <v>2209</v>
      </c>
      <c r="B57" s="569">
        <f>Capacity!C40</f>
        <v>26</v>
      </c>
      <c r="C57" s="569">
        <f>Capacity!D40</f>
        <v>0</v>
      </c>
      <c r="D57" s="569">
        <f>Capacity!E40</f>
        <v>0</v>
      </c>
      <c r="E57" s="569">
        <f>Capacity!F40</f>
        <v>4373.0611012934914</v>
      </c>
      <c r="F57" s="569">
        <f>Capacity!G40</f>
        <v>5830.7481350579892</v>
      </c>
      <c r="G57" s="512"/>
      <c r="H57" s="571">
        <f>'Unit costs'!O69</f>
        <v>184</v>
      </c>
      <c r="I57" s="571">
        <f t="shared" ref="I57:I64" si="17">C57*$H57/1000</f>
        <v>0</v>
      </c>
      <c r="J57" s="571">
        <f t="shared" si="14"/>
        <v>0</v>
      </c>
      <c r="K57" s="571">
        <f t="shared" si="15"/>
        <v>804.64324263800233</v>
      </c>
      <c r="L57" s="571">
        <f t="shared" si="16"/>
        <v>1072.8576568506701</v>
      </c>
      <c r="M57" s="512"/>
    </row>
    <row r="58" spans="1:13" x14ac:dyDescent="0.35">
      <c r="A58" s="304" t="s">
        <v>2210</v>
      </c>
      <c r="B58" s="569">
        <f>Capacity!C41</f>
        <v>6.5</v>
      </c>
      <c r="C58" s="569">
        <f>Capacity!D41</f>
        <v>0</v>
      </c>
      <c r="D58" s="569">
        <f>Capacity!E41</f>
        <v>0</v>
      </c>
      <c r="E58" s="569">
        <f>Capacity!F41</f>
        <v>0</v>
      </c>
      <c r="F58" s="569">
        <f>Capacity!G41</f>
        <v>1093.2652753233729</v>
      </c>
      <c r="G58" s="512"/>
      <c r="H58" s="571">
        <f>'Unit costs'!O85</f>
        <v>184</v>
      </c>
      <c r="I58" s="571">
        <f t="shared" si="17"/>
        <v>0</v>
      </c>
      <c r="J58" s="571">
        <f t="shared" si="14"/>
        <v>0</v>
      </c>
      <c r="K58" s="571">
        <f t="shared" si="15"/>
        <v>0</v>
      </c>
      <c r="L58" s="571">
        <f t="shared" si="16"/>
        <v>201.16081065950058</v>
      </c>
      <c r="M58" s="512"/>
    </row>
    <row r="59" spans="1:13" x14ac:dyDescent="0.35">
      <c r="A59" s="304" t="s">
        <v>2211</v>
      </c>
      <c r="B59" s="569">
        <f>Capacity!C42</f>
        <v>12.166666666666666</v>
      </c>
      <c r="C59" s="569">
        <f>Capacity!D42</f>
        <v>9004.02067779147</v>
      </c>
      <c r="D59" s="569">
        <f>Capacity!E42</f>
        <v>6275.5295633092064</v>
      </c>
      <c r="E59" s="569">
        <f>Capacity!F42</f>
        <v>4911.2840060680755</v>
      </c>
      <c r="F59" s="569">
        <f>Capacity!G42</f>
        <v>3547.0384488269433</v>
      </c>
      <c r="G59" s="512"/>
      <c r="H59" s="571">
        <f>'Unit costs'!O99</f>
        <v>147</v>
      </c>
      <c r="I59" s="571">
        <f t="shared" si="17"/>
        <v>1323.5910396353461</v>
      </c>
      <c r="J59" s="571">
        <f t="shared" si="14"/>
        <v>922.50284580645337</v>
      </c>
      <c r="K59" s="571">
        <f t="shared" si="15"/>
        <v>721.95874889200718</v>
      </c>
      <c r="L59" s="571">
        <f t="shared" si="16"/>
        <v>521.41465197756065</v>
      </c>
      <c r="M59" s="512"/>
    </row>
    <row r="60" spans="1:13" x14ac:dyDescent="0.35">
      <c r="A60" s="304" t="s">
        <v>2212</v>
      </c>
      <c r="B60" s="569">
        <f>Capacity!C43</f>
        <v>12</v>
      </c>
      <c r="C60" s="569">
        <f>Capacity!D43</f>
        <v>8880.6779287806276</v>
      </c>
      <c r="D60" s="569">
        <f>Capacity!E43</f>
        <v>8880.6779287806276</v>
      </c>
      <c r="E60" s="569">
        <f>Capacity!F43</f>
        <v>6189.5634049077107</v>
      </c>
      <c r="F60" s="569">
        <f>Capacity!G43</f>
        <v>4844.0061429712532</v>
      </c>
      <c r="G60" s="512"/>
      <c r="H60" s="571">
        <f>'Unit costs'!O114</f>
        <v>147</v>
      </c>
      <c r="I60" s="571">
        <f t="shared" si="17"/>
        <v>1305.4596555307521</v>
      </c>
      <c r="J60" s="571">
        <f t="shared" si="14"/>
        <v>1305.4596555307521</v>
      </c>
      <c r="K60" s="571">
        <f t="shared" si="15"/>
        <v>909.86582052143353</v>
      </c>
      <c r="L60" s="571">
        <f t="shared" si="16"/>
        <v>712.06890301677424</v>
      </c>
      <c r="M60" s="512"/>
    </row>
    <row r="61" spans="1:13" x14ac:dyDescent="0.35">
      <c r="A61" s="304" t="s">
        <v>2213</v>
      </c>
      <c r="B61" s="569">
        <f>Capacity!C44</f>
        <v>8.9</v>
      </c>
      <c r="C61" s="569">
        <f>Capacity!D44</f>
        <v>6586.5027971789659</v>
      </c>
      <c r="D61" s="569">
        <f>Capacity!E44</f>
        <v>6586.5027971789659</v>
      </c>
      <c r="E61" s="569">
        <f>Capacity!F44</f>
        <v>6586.5027971789659</v>
      </c>
      <c r="F61" s="569">
        <f>Capacity!G44</f>
        <v>4590.5928586398859</v>
      </c>
      <c r="G61" s="512"/>
      <c r="H61" s="571">
        <f>'Unit costs'!O130</f>
        <v>147</v>
      </c>
      <c r="I61" s="571">
        <f t="shared" si="17"/>
        <v>968.21591118530796</v>
      </c>
      <c r="J61" s="571">
        <f t="shared" si="14"/>
        <v>968.21591118530796</v>
      </c>
      <c r="K61" s="571">
        <f t="shared" si="15"/>
        <v>968.21591118530796</v>
      </c>
      <c r="L61" s="571">
        <f t="shared" si="16"/>
        <v>674.81715022006324</v>
      </c>
      <c r="M61" s="512"/>
    </row>
    <row r="62" spans="1:13" x14ac:dyDescent="0.35">
      <c r="A62" s="304" t="s">
        <v>2214</v>
      </c>
      <c r="B62" s="569">
        <f>Capacity!C45</f>
        <v>12</v>
      </c>
      <c r="C62" s="569">
        <f>Capacity!D45</f>
        <v>4574.8946905839612</v>
      </c>
      <c r="D62" s="569">
        <f>Capacity!E45</f>
        <v>5247.6733215521899</v>
      </c>
      <c r="E62" s="569">
        <f>Capacity!F45</f>
        <v>5920.4519525204196</v>
      </c>
      <c r="F62" s="569">
        <f>Capacity!G45</f>
        <v>6593.2305834886492</v>
      </c>
      <c r="G62" s="512"/>
      <c r="H62" s="571">
        <f>'Unit costs'!P153/'Unit costs'!N153</f>
        <v>229.75</v>
      </c>
      <c r="I62" s="571">
        <f t="shared" si="17"/>
        <v>1051.0820551616653</v>
      </c>
      <c r="J62" s="571">
        <f t="shared" si="14"/>
        <v>1205.6529456266155</v>
      </c>
      <c r="K62" s="571">
        <f t="shared" si="15"/>
        <v>1360.2238360915665</v>
      </c>
      <c r="L62" s="571">
        <f t="shared" si="16"/>
        <v>1514.7947265565172</v>
      </c>
      <c r="M62" s="512"/>
    </row>
    <row r="63" spans="1:13" x14ac:dyDescent="0.35">
      <c r="A63" s="304" t="s">
        <v>2215</v>
      </c>
      <c r="B63" s="569">
        <f>Capacity!C46</f>
        <v>12</v>
      </c>
      <c r="C63" s="569">
        <f>Capacity!D46</f>
        <v>4574.8946905839612</v>
      </c>
      <c r="D63" s="569">
        <f>Capacity!E46</f>
        <v>4574.8946905839612</v>
      </c>
      <c r="E63" s="569">
        <f>Capacity!F46</f>
        <v>5247.6733215521899</v>
      </c>
      <c r="F63" s="569">
        <f>Capacity!G46</f>
        <v>5920.4519525204196</v>
      </c>
      <c r="G63" s="512"/>
      <c r="H63" s="571">
        <f>'Unit costs'!P171/'Unit costs'!N171</f>
        <v>160.99062499999999</v>
      </c>
      <c r="I63" s="571">
        <f t="shared" si="17"/>
        <v>736.5151555462935</v>
      </c>
      <c r="J63" s="571">
        <f t="shared" si="14"/>
        <v>736.5151555462935</v>
      </c>
      <c r="K63" s="571">
        <f t="shared" si="15"/>
        <v>844.82620783251298</v>
      </c>
      <c r="L63" s="571">
        <f t="shared" si="16"/>
        <v>953.13726011873268</v>
      </c>
      <c r="M63" s="512"/>
    </row>
    <row r="64" spans="1:13" x14ac:dyDescent="0.35">
      <c r="A64" s="304" t="s">
        <v>2216</v>
      </c>
      <c r="B64" s="569">
        <f>Capacity!C47</f>
        <v>8.9</v>
      </c>
      <c r="C64" s="569">
        <f>Capacity!D47</f>
        <v>3393.0468955164379</v>
      </c>
      <c r="D64" s="569">
        <f>Capacity!E47</f>
        <v>3393.0468955164379</v>
      </c>
      <c r="E64" s="569">
        <f>Capacity!F47</f>
        <v>3393.0468955164379</v>
      </c>
      <c r="F64" s="569">
        <f>Capacity!G47</f>
        <v>3892.0243801512079</v>
      </c>
      <c r="H64" s="571">
        <f>'Unit costs'!O186</f>
        <v>147</v>
      </c>
      <c r="I64" s="571">
        <f t="shared" si="17"/>
        <v>498.77789364091637</v>
      </c>
      <c r="J64" s="571">
        <f t="shared" si="14"/>
        <v>498.77789364091637</v>
      </c>
      <c r="K64" s="571">
        <f t="shared" si="15"/>
        <v>498.77789364091637</v>
      </c>
      <c r="L64" s="571">
        <f t="shared" si="16"/>
        <v>572.12758388222755</v>
      </c>
    </row>
    <row r="65" spans="3:12" x14ac:dyDescent="0.35">
      <c r="C65" s="570">
        <f>SUM(C56:C64)</f>
        <v>37014.037680435431</v>
      </c>
      <c r="D65" s="570">
        <f>SUM(D56:D64)</f>
        <v>39331.386298214886</v>
      </c>
      <c r="E65" s="570">
        <f>SUM(E56:E64)</f>
        <v>42452.331614095288</v>
      </c>
      <c r="F65" s="570">
        <f>SUM(F56:F64)</f>
        <v>43599.792945802212</v>
      </c>
      <c r="I65" s="572">
        <f>SUM(I56:I64)</f>
        <v>5883.6417107002817</v>
      </c>
      <c r="J65" s="572">
        <f>SUM(J56:J64)</f>
        <v>6441.7676499743411</v>
      </c>
      <c r="K65" s="572">
        <f>SUM(K56:K64)</f>
        <v>7181.3693176524175</v>
      </c>
      <c r="L65" s="572">
        <f>SUM(L56:L64)</f>
        <v>7563.4508143453822</v>
      </c>
    </row>
  </sheetData>
  <sheetProtection algorithmName="SHA-512" hashValue="0NB6XpyPVNl5XaTu+ELPCJM/yfi2IvyA3E6+ele17vsTV3mqU7j55xxUnHSZ7NPSQIXUZLEG114xPzfYOTWvrQ==" saltValue="WeROHut1VWbz/bx6l1Ed7g=="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U86"/>
  <sheetViews>
    <sheetView showGridLines="0" zoomScale="80" zoomScaleNormal="80" zoomScaleSheetLayoutView="25" workbookViewId="0"/>
  </sheetViews>
  <sheetFormatPr defaultRowHeight="14.5" x14ac:dyDescent="0.35"/>
  <cols>
    <col min="1" max="1" width="5.7265625" customWidth="1"/>
    <col min="2" max="2" width="65.54296875" customWidth="1"/>
    <col min="3" max="3" width="16.1796875" customWidth="1"/>
    <col min="4" max="4" width="18.26953125" customWidth="1"/>
    <col min="5" max="5" width="16.54296875" customWidth="1"/>
    <col min="6" max="6" width="14.36328125" customWidth="1"/>
    <col min="7" max="7" width="15.81640625" customWidth="1"/>
    <col min="8" max="8" width="5.81640625" customWidth="1"/>
    <col min="9" max="9" width="13.7265625" customWidth="1"/>
    <col min="10" max="11" width="13.36328125" customWidth="1"/>
    <col min="12" max="12" width="10.54296875" customWidth="1"/>
    <col min="13" max="13" width="29.7265625" customWidth="1"/>
    <col min="16" max="16" width="22.81640625" customWidth="1"/>
  </cols>
  <sheetData>
    <row r="1" spans="1:13" ht="30" customHeight="1" x14ac:dyDescent="0.35">
      <c r="A1" s="267" t="s">
        <v>2283</v>
      </c>
    </row>
    <row r="2" spans="1:13" ht="30" customHeight="1" x14ac:dyDescent="0.35">
      <c r="A2" s="139" t="s">
        <v>2090</v>
      </c>
      <c r="B2" s="139"/>
      <c r="C2" s="138"/>
      <c r="D2" s="138"/>
      <c r="E2" s="138"/>
      <c r="F2" s="138"/>
      <c r="G2" s="138"/>
      <c r="H2" s="138"/>
      <c r="I2" s="138"/>
      <c r="J2" s="138"/>
      <c r="K2" s="138"/>
      <c r="L2" s="138"/>
      <c r="M2" s="138"/>
    </row>
    <row r="4" spans="1:13" x14ac:dyDescent="0.35">
      <c r="A4" s="222" t="s">
        <v>2092</v>
      </c>
      <c r="B4" s="470"/>
      <c r="C4" s="470"/>
      <c r="D4" s="470"/>
      <c r="E4" s="470"/>
      <c r="F4" s="470"/>
      <c r="G4" s="470"/>
      <c r="H4" s="470"/>
      <c r="I4" s="470"/>
      <c r="J4" s="470"/>
      <c r="K4" s="470"/>
      <c r="L4" s="470"/>
      <c r="M4" s="555"/>
    </row>
    <row r="5" spans="1:13" x14ac:dyDescent="0.35">
      <c r="A5" s="701" t="s">
        <v>2091</v>
      </c>
      <c r="B5" s="174"/>
      <c r="C5" s="174"/>
      <c r="D5" s="174"/>
      <c r="E5" s="174"/>
      <c r="F5" s="174"/>
      <c r="G5" s="174"/>
      <c r="H5" s="174"/>
      <c r="I5" s="174"/>
      <c r="J5" s="174"/>
      <c r="K5" s="174"/>
      <c r="L5" s="174"/>
      <c r="M5" s="176"/>
    </row>
    <row r="7" spans="1:13" x14ac:dyDescent="0.35">
      <c r="A7" s="140" t="s">
        <v>1846</v>
      </c>
      <c r="B7" s="459"/>
      <c r="C7" s="459"/>
      <c r="D7" s="459"/>
      <c r="E7" s="459"/>
      <c r="F7" s="459"/>
      <c r="G7" s="459"/>
      <c r="H7" s="459"/>
      <c r="I7" s="459"/>
      <c r="J7" s="459"/>
      <c r="K7" s="459"/>
      <c r="L7" s="459"/>
      <c r="M7" s="556"/>
    </row>
    <row r="8" spans="1:13" x14ac:dyDescent="0.35">
      <c r="A8" s="141"/>
      <c r="B8" s="136" t="s">
        <v>1847</v>
      </c>
      <c r="C8" s="135" t="s">
        <v>21</v>
      </c>
      <c r="M8" s="142"/>
    </row>
    <row r="9" spans="1:13" x14ac:dyDescent="0.35">
      <c r="A9" s="141"/>
      <c r="B9" s="136" t="s">
        <v>41</v>
      </c>
      <c r="C9" s="135" t="s">
        <v>62</v>
      </c>
      <c r="D9" s="115">
        <f>'Population selection'!F14</f>
        <v>45691677</v>
      </c>
      <c r="E9" t="str">
        <f>B21&amp;" based on selection on left using mid-2022 ONS data"</f>
        <v>Adult population based on selection on left using mid-2022 ONS data</v>
      </c>
      <c r="M9" s="142"/>
    </row>
    <row r="10" spans="1:13" x14ac:dyDescent="0.35">
      <c r="A10" s="141"/>
      <c r="B10" s="136"/>
      <c r="D10" s="465">
        <v>2.5222393017283001E-2</v>
      </c>
      <c r="E10" t="s">
        <v>1987</v>
      </c>
      <c r="H10" s="734"/>
      <c r="M10" s="142"/>
    </row>
    <row r="11" spans="1:13" x14ac:dyDescent="0.35">
      <c r="A11" s="141"/>
      <c r="B11" s="133"/>
      <c r="D11" s="157">
        <f>(100%+D10)*D9</f>
        <v>46844130.434912749</v>
      </c>
      <c r="E11" t="s">
        <v>1988</v>
      </c>
      <c r="M11" s="142"/>
    </row>
    <row r="12" spans="1:13" x14ac:dyDescent="0.35">
      <c r="A12" s="141"/>
      <c r="B12" s="133"/>
      <c r="M12" s="142"/>
    </row>
    <row r="13" spans="1:13" x14ac:dyDescent="0.35">
      <c r="A13" s="141"/>
      <c r="B13" s="136" t="s">
        <v>1848</v>
      </c>
      <c r="C13" s="613"/>
      <c r="D13" t="s">
        <v>1849</v>
      </c>
      <c r="M13" s="142"/>
    </row>
    <row r="14" spans="1:13" x14ac:dyDescent="0.35">
      <c r="A14" s="141"/>
      <c r="B14" s="133"/>
      <c r="M14" s="142"/>
    </row>
    <row r="15" spans="1:13" x14ac:dyDescent="0.35">
      <c r="A15" s="143"/>
      <c r="B15" s="136" t="s">
        <v>2017</v>
      </c>
      <c r="C15" s="306"/>
      <c r="D15" t="str">
        <f>IF(C15=0,"Enter local estimate.  ONS growth estimate is 0.98% per year","Local value")</f>
        <v>Enter local estimate.  ONS growth estimate is 0.98% per year</v>
      </c>
      <c r="H15" s="734"/>
      <c r="I15" s="734"/>
      <c r="J15" s="734"/>
      <c r="K15" s="734"/>
      <c r="L15" s="734"/>
      <c r="M15" s="142"/>
    </row>
    <row r="16" spans="1:13" x14ac:dyDescent="0.35">
      <c r="A16" s="143"/>
      <c r="B16" s="136" t="s">
        <v>1850</v>
      </c>
      <c r="C16" s="306"/>
      <c r="D16" t="str">
        <f>IF(C16=0,"Enter local estimate","Local value")</f>
        <v>Enter local estimate</v>
      </c>
      <c r="H16" s="734"/>
      <c r="I16" s="734"/>
      <c r="J16" s="734"/>
      <c r="K16" s="734"/>
      <c r="L16" s="734"/>
      <c r="M16" s="142"/>
    </row>
    <row r="17" spans="1:21" x14ac:dyDescent="0.35">
      <c r="A17" s="144"/>
      <c r="B17" s="145"/>
      <c r="C17" s="145"/>
      <c r="D17" s="145"/>
      <c r="E17" s="145"/>
      <c r="F17" s="145"/>
      <c r="G17" s="145"/>
      <c r="H17" s="145"/>
      <c r="I17" s="145"/>
      <c r="J17" s="145"/>
      <c r="K17" s="145"/>
      <c r="L17" s="145"/>
      <c r="M17" s="146"/>
    </row>
    <row r="19" spans="1:21" x14ac:dyDescent="0.35">
      <c r="A19" s="140" t="s">
        <v>1851</v>
      </c>
      <c r="B19" s="459"/>
      <c r="C19" s="459"/>
      <c r="D19" s="459"/>
      <c r="E19" s="459"/>
      <c r="F19" s="459"/>
      <c r="G19" s="459"/>
      <c r="H19" s="459"/>
      <c r="I19" s="459"/>
      <c r="J19" s="459"/>
      <c r="K19" s="459"/>
      <c r="L19" s="459"/>
      <c r="M19" s="556"/>
    </row>
    <row r="20" spans="1:21" x14ac:dyDescent="0.35">
      <c r="A20" s="141"/>
      <c r="B20" s="734"/>
      <c r="D20" s="181" t="s">
        <v>1915</v>
      </c>
      <c r="E20" s="173" t="s">
        <v>1882</v>
      </c>
      <c r="F20" s="470"/>
      <c r="G20" s="470"/>
      <c r="H20" s="470"/>
      <c r="I20" s="470"/>
      <c r="J20" s="470"/>
      <c r="K20" s="470"/>
      <c r="L20" s="555"/>
      <c r="M20" s="142"/>
    </row>
    <row r="21" spans="1:21" x14ac:dyDescent="0.35">
      <c r="A21" s="143"/>
      <c r="B21" s="612" t="s">
        <v>2118</v>
      </c>
      <c r="C21" s="149"/>
      <c r="D21" s="115">
        <f>IF(ISBLANK(C13),D11,C13)</f>
        <v>46844130.434912749</v>
      </c>
      <c r="E21" s="180" t="s">
        <v>2051</v>
      </c>
      <c r="F21" s="164"/>
      <c r="G21" s="164"/>
      <c r="H21" s="164"/>
      <c r="I21" s="164"/>
      <c r="J21" s="164"/>
      <c r="K21" s="164"/>
      <c r="L21" s="149"/>
      <c r="M21" s="142"/>
    </row>
    <row r="22" spans="1:21" x14ac:dyDescent="0.35">
      <c r="A22" s="143"/>
      <c r="B22" s="180" t="s">
        <v>2112</v>
      </c>
      <c r="C22" s="306">
        <v>8.2780899999999999E-4</v>
      </c>
      <c r="D22" s="464">
        <f t="shared" ref="D22:D23" si="0">D21*$C22</f>
        <v>38777.992771194688</v>
      </c>
      <c r="E22" s="932" t="s">
        <v>2117</v>
      </c>
      <c r="F22" s="933"/>
      <c r="G22" s="933"/>
      <c r="H22" s="933"/>
      <c r="I22" s="933"/>
      <c r="J22" s="933"/>
      <c r="K22" s="933"/>
      <c r="L22" s="934"/>
      <c r="M22" s="142"/>
    </row>
    <row r="23" spans="1:21" ht="77.75" customHeight="1" x14ac:dyDescent="0.35">
      <c r="A23" s="143"/>
      <c r="B23" s="148" t="s">
        <v>2113</v>
      </c>
      <c r="C23" s="306">
        <v>3.5299999999999998E-2</v>
      </c>
      <c r="D23" s="464">
        <f t="shared" si="0"/>
        <v>1368.8631448231724</v>
      </c>
      <c r="E23" s="735" t="s">
        <v>2252</v>
      </c>
      <c r="F23" s="726"/>
      <c r="G23" s="726"/>
      <c r="H23" s="726"/>
      <c r="I23" s="726"/>
      <c r="J23" s="938" t="s">
        <v>2256</v>
      </c>
      <c r="K23" s="938"/>
      <c r="L23" s="939"/>
      <c r="M23" s="142"/>
    </row>
    <row r="24" spans="1:21" ht="26.75" customHeight="1" x14ac:dyDescent="0.35">
      <c r="A24" s="143"/>
      <c r="B24" s="180" t="s">
        <v>2114</v>
      </c>
      <c r="C24" s="306">
        <v>4.2000000000000003E-2</v>
      </c>
      <c r="D24" s="464">
        <f>C24*D22</f>
        <v>1628.6756963901769</v>
      </c>
      <c r="E24" s="735" t="s">
        <v>2252</v>
      </c>
      <c r="F24" s="726"/>
      <c r="G24" s="726"/>
      <c r="H24" s="726"/>
      <c r="I24" s="726"/>
      <c r="J24" s="936" t="s">
        <v>2255</v>
      </c>
      <c r="K24" s="936"/>
      <c r="L24" s="937"/>
      <c r="M24" s="142"/>
    </row>
    <row r="25" spans="1:21" x14ac:dyDescent="0.35">
      <c r="A25" s="143"/>
      <c r="B25" s="134" t="s">
        <v>2115</v>
      </c>
      <c r="C25" s="306">
        <v>0.43099999999999999</v>
      </c>
      <c r="D25" s="464">
        <f>C25*D22</f>
        <v>16713.314884384909</v>
      </c>
      <c r="E25" s="735" t="s">
        <v>2252</v>
      </c>
      <c r="F25" s="726"/>
      <c r="G25" s="726"/>
      <c r="H25" s="726"/>
      <c r="I25" s="726"/>
      <c r="J25" s="736" t="s">
        <v>2124</v>
      </c>
      <c r="K25" s="726"/>
      <c r="L25" s="727"/>
      <c r="M25" s="142"/>
    </row>
    <row r="26" spans="1:21" ht="34" customHeight="1" x14ac:dyDescent="0.35">
      <c r="A26" s="143"/>
      <c r="B26" s="349" t="s">
        <v>2116</v>
      </c>
      <c r="C26" s="729">
        <v>4.8500000000000001E-2</v>
      </c>
      <c r="D26" s="464">
        <f>C26*D22</f>
        <v>1880.7326494029423</v>
      </c>
      <c r="E26" s="935" t="s">
        <v>2254</v>
      </c>
      <c r="F26" s="936"/>
      <c r="G26" s="936"/>
      <c r="H26" s="936"/>
      <c r="I26" s="936"/>
      <c r="J26" s="936"/>
      <c r="K26" s="936"/>
      <c r="L26" s="937"/>
      <c r="M26" s="142"/>
      <c r="P26" s="890"/>
    </row>
    <row r="27" spans="1:21" x14ac:dyDescent="0.35">
      <c r="A27" s="143"/>
      <c r="B27" s="728"/>
      <c r="C27" s="731"/>
      <c r="D27" s="732">
        <f>D23+D24+D25+D26</f>
        <v>21591.586375001203</v>
      </c>
      <c r="E27" s="180"/>
      <c r="F27" s="164"/>
      <c r="G27" s="164"/>
      <c r="H27" s="164"/>
      <c r="I27" s="164"/>
      <c r="J27" s="164"/>
      <c r="K27" s="164"/>
      <c r="L27" s="149"/>
      <c r="M27" s="142"/>
    </row>
    <row r="28" spans="1:21" ht="14.75" customHeight="1" x14ac:dyDescent="0.35">
      <c r="A28" s="143"/>
      <c r="B28" s="144" t="s">
        <v>2119</v>
      </c>
      <c r="C28" s="730">
        <v>0.92</v>
      </c>
      <c r="D28" s="464">
        <f>C28*D27</f>
        <v>19864.259465001109</v>
      </c>
      <c r="E28" s="740" t="s">
        <v>2123</v>
      </c>
      <c r="F28" s="737" t="s">
        <v>2124</v>
      </c>
      <c r="G28" s="738"/>
      <c r="H28" s="738"/>
      <c r="I28" s="738"/>
      <c r="J28" s="738"/>
      <c r="K28" s="738"/>
      <c r="L28" s="739"/>
      <c r="M28" s="142"/>
    </row>
    <row r="29" spans="1:21" ht="15" customHeight="1" x14ac:dyDescent="0.35">
      <c r="A29" s="143"/>
      <c r="B29" s="134" t="s">
        <v>2120</v>
      </c>
      <c r="C29" s="306">
        <v>0.98</v>
      </c>
      <c r="D29" s="464">
        <f>C29*D28</f>
        <v>19466.974275701086</v>
      </c>
      <c r="E29" s="758" t="s">
        <v>2123</v>
      </c>
      <c r="F29" s="737" t="s">
        <v>2124</v>
      </c>
      <c r="G29" s="738"/>
      <c r="H29" s="164"/>
      <c r="I29" s="164"/>
      <c r="J29" s="164"/>
      <c r="K29" s="164"/>
      <c r="L29" s="149"/>
      <c r="M29" s="142"/>
    </row>
    <row r="30" spans="1:21" ht="15" customHeight="1" x14ac:dyDescent="0.35">
      <c r="A30" s="143"/>
      <c r="B30" s="134" t="s">
        <v>2121</v>
      </c>
      <c r="C30" s="306">
        <v>0.1</v>
      </c>
      <c r="D30" s="464">
        <f>C30*D29</f>
        <v>1946.6974275701086</v>
      </c>
      <c r="E30" s="758" t="s">
        <v>2123</v>
      </c>
      <c r="F30" s="737" t="s">
        <v>2124</v>
      </c>
      <c r="G30" s="738"/>
      <c r="H30" s="164"/>
      <c r="I30" s="164"/>
      <c r="J30" s="164"/>
      <c r="K30" s="164"/>
      <c r="L30" s="149"/>
      <c r="M30" s="142"/>
    </row>
    <row r="31" spans="1:21" ht="15" customHeight="1" x14ac:dyDescent="0.35">
      <c r="A31" s="143"/>
      <c r="B31" s="134" t="s">
        <v>2122</v>
      </c>
      <c r="C31" s="733">
        <v>0.9</v>
      </c>
      <c r="D31" s="464">
        <f>C31*D30</f>
        <v>1752.0276848130977</v>
      </c>
      <c r="E31" s="213" t="s">
        <v>2125</v>
      </c>
      <c r="F31" s="726" t="s">
        <v>2126</v>
      </c>
      <c r="G31" s="164"/>
      <c r="H31" s="164"/>
      <c r="I31" s="164"/>
      <c r="J31" s="164"/>
      <c r="K31" s="164"/>
      <c r="L31" s="149"/>
      <c r="M31" s="142"/>
    </row>
    <row r="32" spans="1:21" ht="29.15" customHeight="1" x14ac:dyDescent="0.35">
      <c r="A32" s="143"/>
      <c r="B32" s="908" t="s">
        <v>2289</v>
      </c>
      <c r="C32" s="306">
        <v>0.64</v>
      </c>
      <c r="D32" s="464">
        <f>D31*C32</f>
        <v>1121.2977182803825</v>
      </c>
      <c r="E32" s="725" t="s">
        <v>2253</v>
      </c>
      <c r="F32" s="738"/>
      <c r="G32" s="738"/>
      <c r="H32" s="738"/>
      <c r="I32" s="738"/>
      <c r="J32" s="738"/>
      <c r="K32" s="738"/>
      <c r="L32" s="726"/>
      <c r="M32" s="893"/>
      <c r="N32" s="892"/>
      <c r="O32" s="892"/>
      <c r="P32" s="892"/>
      <c r="Q32" s="892"/>
      <c r="R32" s="892"/>
      <c r="S32" s="892"/>
      <c r="T32" s="892"/>
      <c r="U32" s="892"/>
    </row>
    <row r="33" spans="1:21" ht="29.15" customHeight="1" x14ac:dyDescent="0.35">
      <c r="A33" s="143"/>
      <c r="B33" s="909" t="s">
        <v>2290</v>
      </c>
      <c r="C33" s="306">
        <v>1</v>
      </c>
      <c r="D33" s="464">
        <f>C33*D32</f>
        <v>1121.2977182803825</v>
      </c>
      <c r="E33" s="940" t="s">
        <v>2291</v>
      </c>
      <c r="F33" s="941"/>
      <c r="G33" s="941"/>
      <c r="H33" s="941"/>
      <c r="I33" s="941"/>
      <c r="J33" s="941"/>
      <c r="K33" s="941"/>
      <c r="L33" s="942"/>
      <c r="M33" s="907"/>
      <c r="N33" s="892"/>
      <c r="O33" s="892"/>
      <c r="P33" s="892"/>
      <c r="Q33" s="892"/>
      <c r="R33" s="892"/>
      <c r="S33" s="892"/>
      <c r="T33" s="892"/>
      <c r="U33" s="892"/>
    </row>
    <row r="34" spans="1:21" x14ac:dyDescent="0.35">
      <c r="A34" s="143"/>
      <c r="B34" s="520" t="s">
        <v>1856</v>
      </c>
      <c r="C34" s="457"/>
      <c r="D34" s="506">
        <f>D33</f>
        <v>1121.2977182803825</v>
      </c>
      <c r="E34" s="180"/>
      <c r="F34" s="164"/>
      <c r="G34" s="164"/>
      <c r="H34" s="164"/>
      <c r="I34" s="164"/>
      <c r="J34" s="164"/>
      <c r="K34" s="164"/>
      <c r="L34" s="149"/>
      <c r="M34" s="142"/>
    </row>
    <row r="35" spans="1:21" x14ac:dyDescent="0.35">
      <c r="A35" s="143"/>
      <c r="B35" s="521"/>
      <c r="C35" s="522"/>
      <c r="M35" s="142"/>
    </row>
    <row r="36" spans="1:21" ht="43.5" x14ac:dyDescent="0.35">
      <c r="A36" s="143"/>
      <c r="B36" s="145"/>
      <c r="C36" s="146"/>
      <c r="D36" s="513" t="s">
        <v>2055</v>
      </c>
      <c r="E36" s="225" t="s">
        <v>1984</v>
      </c>
      <c r="F36" s="225" t="s">
        <v>1985</v>
      </c>
      <c r="G36" s="225" t="s">
        <v>1986</v>
      </c>
      <c r="J36" s="890"/>
      <c r="M36" s="142"/>
    </row>
    <row r="37" spans="1:21" x14ac:dyDescent="0.35">
      <c r="A37" s="143"/>
      <c r="B37" s="180" t="s">
        <v>1854</v>
      </c>
      <c r="C37" s="149"/>
      <c r="D37" s="159"/>
      <c r="E37" s="212">
        <f>IF(C15&lt;&gt;"",C15+100%,100%)</f>
        <v>1</v>
      </c>
      <c r="F37" s="212">
        <f>IF($C$15&lt;&gt;"",E37*(100%+$C$15),100%)</f>
        <v>1</v>
      </c>
      <c r="G37" s="212">
        <f>IF($C$15&lt;&gt;"",F37*(100%+$C$15),100%)</f>
        <v>1</v>
      </c>
      <c r="J37" s="890"/>
      <c r="M37" s="142"/>
    </row>
    <row r="38" spans="1:21" x14ac:dyDescent="0.35">
      <c r="A38" s="143"/>
      <c r="B38" s="180" t="s">
        <v>2275</v>
      </c>
      <c r="C38" s="149"/>
      <c r="D38" s="159"/>
      <c r="E38" s="212">
        <f>IF(C16&lt;&gt;"",C16+100%,100%)</f>
        <v>1</v>
      </c>
      <c r="F38" s="212">
        <f>IF($C$16&lt;&gt;"",E38*(100%+$C$16),100%)</f>
        <v>1</v>
      </c>
      <c r="G38" s="212">
        <f>IF($C$16&lt;&gt;"",F38*(100%+$C$16),100%)</f>
        <v>1</v>
      </c>
      <c r="M38" s="142"/>
    </row>
    <row r="39" spans="1:21" x14ac:dyDescent="0.35">
      <c r="A39" s="143"/>
      <c r="B39" s="596" t="str">
        <f>B21</f>
        <v>Adult population</v>
      </c>
      <c r="C39" s="556"/>
      <c r="D39" s="597">
        <f>D21</f>
        <v>46844130.434912749</v>
      </c>
      <c r="E39" s="597">
        <f>D39*E37</f>
        <v>46844130.434912749</v>
      </c>
      <c r="F39" s="597">
        <f>D39*F37</f>
        <v>46844130.434912749</v>
      </c>
      <c r="G39" s="597">
        <f>D39*G37</f>
        <v>46844130.434912749</v>
      </c>
      <c r="M39" s="142"/>
    </row>
    <row r="40" spans="1:21" x14ac:dyDescent="0.35">
      <c r="A40" s="598"/>
      <c r="B40" s="583" t="str">
        <f>IF(ISBLANK(D35),"Eligible population adjusted for population and disease growth")</f>
        <v>Eligible population adjusted for population and disease growth</v>
      </c>
      <c r="C40" s="149"/>
      <c r="D40" s="157">
        <f>D34</f>
        <v>1121.2977182803825</v>
      </c>
      <c r="E40" s="157">
        <f>D40*E37*E38</f>
        <v>1121.2977182803825</v>
      </c>
      <c r="F40" s="157">
        <f>E40*F37*F38</f>
        <v>1121.2977182803825</v>
      </c>
      <c r="G40" s="157">
        <f>F40*G37*G38</f>
        <v>1121.2977182803825</v>
      </c>
      <c r="M40" s="142"/>
    </row>
    <row r="41" spans="1:21" x14ac:dyDescent="0.35">
      <c r="A41" s="144"/>
      <c r="B41" s="594"/>
      <c r="C41" s="145"/>
      <c r="D41" s="595"/>
      <c r="E41" s="595"/>
      <c r="F41" s="595"/>
      <c r="G41" s="595"/>
      <c r="H41" s="145"/>
      <c r="I41" s="145"/>
      <c r="J41" s="145"/>
      <c r="K41" s="145"/>
      <c r="L41" s="145"/>
      <c r="M41" s="146"/>
    </row>
    <row r="42" spans="1:21" x14ac:dyDescent="0.35">
      <c r="B42" s="133"/>
      <c r="D42" s="214"/>
      <c r="E42" s="214"/>
      <c r="F42" s="214"/>
      <c r="G42" s="214"/>
    </row>
    <row r="43" spans="1:21" ht="15.5" x14ac:dyDescent="0.35">
      <c r="A43" s="140" t="s">
        <v>2052</v>
      </c>
      <c r="B43" s="543"/>
      <c r="C43" s="459"/>
      <c r="D43" s="459"/>
      <c r="E43" s="459"/>
      <c r="F43" s="459"/>
      <c r="G43" s="459"/>
      <c r="H43" s="459"/>
      <c r="I43" s="459"/>
      <c r="J43" s="459"/>
      <c r="K43" s="459"/>
      <c r="L43" s="459"/>
      <c r="M43" s="556"/>
    </row>
    <row r="44" spans="1:21" x14ac:dyDescent="0.35">
      <c r="A44" s="143"/>
      <c r="B44" t="s">
        <v>2053</v>
      </c>
      <c r="C44" s="265"/>
      <c r="D44" s="265"/>
      <c r="E44" s="265"/>
      <c r="F44" s="265"/>
      <c r="G44" s="265"/>
      <c r="M44" s="142"/>
    </row>
    <row r="45" spans="1:21" x14ac:dyDescent="0.35">
      <c r="A45" s="143"/>
      <c r="B45" s="614" t="s">
        <v>2054</v>
      </c>
      <c r="C45" s="265"/>
      <c r="D45" s="265"/>
      <c r="E45" s="265"/>
      <c r="F45" s="265"/>
      <c r="G45" s="265"/>
      <c r="M45" s="142"/>
    </row>
    <row r="46" spans="1:21" x14ac:dyDescent="0.35">
      <c r="A46" s="143"/>
      <c r="B46" s="734" t="s">
        <v>2284</v>
      </c>
      <c r="C46" s="265"/>
      <c r="D46" s="265"/>
      <c r="E46" s="265"/>
      <c r="F46" s="265"/>
      <c r="G46" s="265"/>
      <c r="M46" s="142"/>
    </row>
    <row r="47" spans="1:21" x14ac:dyDescent="0.35">
      <c r="A47" s="143"/>
      <c r="B47" s="910" t="s">
        <v>2281</v>
      </c>
      <c r="C47" s="265"/>
      <c r="D47" s="265"/>
      <c r="E47" s="265"/>
      <c r="F47" s="265"/>
      <c r="G47" s="265"/>
      <c r="M47" s="142"/>
    </row>
    <row r="48" spans="1:21" x14ac:dyDescent="0.35">
      <c r="A48" s="143"/>
      <c r="M48" s="142"/>
    </row>
    <row r="49" spans="1:16" x14ac:dyDescent="0.35">
      <c r="A49" s="143"/>
      <c r="D49" s="615" t="s">
        <v>2056</v>
      </c>
      <c r="E49" s="616"/>
      <c r="F49" s="616"/>
      <c r="G49" s="617"/>
      <c r="I49" s="615" t="s">
        <v>2063</v>
      </c>
      <c r="J49" s="610"/>
      <c r="K49" s="610"/>
      <c r="L49" s="611"/>
      <c r="M49" s="142"/>
    </row>
    <row r="50" spans="1:16" ht="43.5" x14ac:dyDescent="0.35">
      <c r="A50" s="143"/>
      <c r="B50" s="618" t="s">
        <v>2057</v>
      </c>
      <c r="C50" s="611"/>
      <c r="D50" s="695" t="s">
        <v>2245</v>
      </c>
      <c r="E50" s="886" t="s">
        <v>2242</v>
      </c>
      <c r="F50" s="886" t="s">
        <v>2243</v>
      </c>
      <c r="G50" s="887" t="s">
        <v>2244</v>
      </c>
      <c r="I50" s="695" t="s">
        <v>2245</v>
      </c>
      <c r="J50" s="886" t="s">
        <v>2242</v>
      </c>
      <c r="K50" s="886" t="s">
        <v>2243</v>
      </c>
      <c r="L50" s="887" t="s">
        <v>2244</v>
      </c>
      <c r="M50" s="142"/>
    </row>
    <row r="51" spans="1:16" x14ac:dyDescent="0.35">
      <c r="A51" s="143"/>
      <c r="B51" s="211" t="s">
        <v>2127</v>
      </c>
      <c r="C51" s="149"/>
      <c r="D51" s="307">
        <v>0</v>
      </c>
      <c r="E51" s="308">
        <v>0.15</v>
      </c>
      <c r="F51" s="308">
        <v>0.2</v>
      </c>
      <c r="G51" s="308">
        <v>0.25</v>
      </c>
      <c r="I51" s="518">
        <f t="shared" ref="I51:L53" si="1">D$40*D51</f>
        <v>0</v>
      </c>
      <c r="J51" s="518">
        <f t="shared" si="1"/>
        <v>168.19465774205736</v>
      </c>
      <c r="K51" s="518">
        <f t="shared" si="1"/>
        <v>224.25954365607652</v>
      </c>
      <c r="L51" s="518">
        <f t="shared" si="1"/>
        <v>280.32442957009562</v>
      </c>
      <c r="M51" s="142"/>
    </row>
    <row r="52" spans="1:16" x14ac:dyDescent="0.35">
      <c r="A52" s="143"/>
      <c r="B52" s="211" t="s">
        <v>2128</v>
      </c>
      <c r="C52" s="149"/>
      <c r="D52" s="504">
        <f>1-D51-D53</f>
        <v>0.65999999999999992</v>
      </c>
      <c r="E52" s="504">
        <f>1-E51-E53</f>
        <v>0.45999999999999996</v>
      </c>
      <c r="F52" s="504">
        <f>1-F51-F53</f>
        <v>0.36000000000000004</v>
      </c>
      <c r="G52" s="504">
        <f>1-G51-G53</f>
        <v>0.26</v>
      </c>
      <c r="I52" s="518">
        <f t="shared" si="1"/>
        <v>740.05649406505233</v>
      </c>
      <c r="J52" s="518">
        <f>E$40*E52</f>
        <v>515.79695040897593</v>
      </c>
      <c r="K52" s="518">
        <f t="shared" si="1"/>
        <v>403.66717858093773</v>
      </c>
      <c r="L52" s="518">
        <f t="shared" si="1"/>
        <v>291.53740675289947</v>
      </c>
      <c r="M52" s="142"/>
    </row>
    <row r="53" spans="1:16" x14ac:dyDescent="0.35">
      <c r="A53" s="143"/>
      <c r="B53" s="211" t="s">
        <v>2129</v>
      </c>
      <c r="C53" s="149"/>
      <c r="D53" s="541">
        <f>(1-D51)*0.34</f>
        <v>0.34</v>
      </c>
      <c r="E53" s="541">
        <v>0.39</v>
      </c>
      <c r="F53" s="541">
        <v>0.44</v>
      </c>
      <c r="G53" s="541">
        <v>0.49</v>
      </c>
      <c r="I53" s="518">
        <f t="shared" si="1"/>
        <v>381.24122421533008</v>
      </c>
      <c r="J53" s="518">
        <f t="shared" ref="J53" si="2">E$40*E53</f>
        <v>437.30611012934918</v>
      </c>
      <c r="K53" s="518">
        <f t="shared" ref="K53" si="3">F$40*F53</f>
        <v>493.37099604336828</v>
      </c>
      <c r="L53" s="518">
        <f t="shared" ref="L53" si="4">G$40*G53</f>
        <v>549.43588195738744</v>
      </c>
      <c r="M53" s="142"/>
      <c r="P53" s="891"/>
    </row>
    <row r="54" spans="1:16" s="133" customFormat="1" x14ac:dyDescent="0.35">
      <c r="A54" s="141"/>
      <c r="C54" s="599"/>
      <c r="D54" s="519">
        <f>IF(SUM(D51:D53)&lt;&gt;100%,"ERROR",SUM(D51:D53))</f>
        <v>1</v>
      </c>
      <c r="E54" s="519">
        <f>IF(SUM(E51:E53)&lt;&gt;100%,"ERROR",SUM(E51:E53))</f>
        <v>1</v>
      </c>
      <c r="F54" s="519">
        <f>IF(SUM(F51:F53)&lt;&gt;100%,"ERROR",SUM(F51:F53))</f>
        <v>1</v>
      </c>
      <c r="G54" s="519">
        <f>IF(SUM(G51:G53)&lt;&gt;100%,"ERROR",SUM(G51:G53))</f>
        <v>1</v>
      </c>
      <c r="I54" s="517">
        <f>SUM(I51:I53)</f>
        <v>1121.2977182803825</v>
      </c>
      <c r="J54" s="517">
        <f>SUM(J51:J53)</f>
        <v>1121.2977182803825</v>
      </c>
      <c r="K54" s="517">
        <f>SUM(K51:K53)</f>
        <v>1121.2977182803825</v>
      </c>
      <c r="L54" s="517">
        <f>SUM(L51:L53)</f>
        <v>1121.2977182803825</v>
      </c>
      <c r="M54" s="600"/>
      <c r="N54"/>
    </row>
    <row r="55" spans="1:16" ht="40.4" customHeight="1" x14ac:dyDescent="0.35">
      <c r="A55" s="143"/>
      <c r="C55" s="265"/>
      <c r="D55" s="498"/>
      <c r="E55" s="498"/>
      <c r="F55" s="498"/>
      <c r="G55" s="265"/>
      <c r="I55" s="523"/>
      <c r="J55" s="523"/>
      <c r="K55" s="523"/>
      <c r="L55" s="523"/>
      <c r="M55" s="142"/>
    </row>
    <row r="56" spans="1:16" s="204" customFormat="1" x14ac:dyDescent="0.35">
      <c r="A56" s="143"/>
      <c r="B56" s="528"/>
      <c r="C56" s="240"/>
      <c r="D56" s="240"/>
      <c r="E56" s="240"/>
      <c r="F56" s="240"/>
      <c r="I56" s="615" t="s">
        <v>2061</v>
      </c>
      <c r="J56" s="610"/>
      <c r="K56" s="610"/>
      <c r="L56" s="611"/>
      <c r="M56" s="620"/>
      <c r="N56"/>
    </row>
    <row r="57" spans="1:16" s="204" customFormat="1" ht="43.5" x14ac:dyDescent="0.35">
      <c r="A57" s="143"/>
      <c r="B57" s="529" t="s">
        <v>2217</v>
      </c>
      <c r="E57" s="240"/>
      <c r="F57" s="240"/>
      <c r="I57" s="695" t="s">
        <v>2245</v>
      </c>
      <c r="J57" s="886" t="s">
        <v>2242</v>
      </c>
      <c r="K57" s="886" t="s">
        <v>2243</v>
      </c>
      <c r="L57" s="887" t="s">
        <v>2244</v>
      </c>
      <c r="M57" s="620"/>
      <c r="N57"/>
    </row>
    <row r="58" spans="1:16" s="204" customFormat="1" x14ac:dyDescent="0.35">
      <c r="A58" s="143"/>
      <c r="B58" s="211" t="s">
        <v>2130</v>
      </c>
      <c r="C58" s="530"/>
      <c r="D58" s="530"/>
      <c r="E58" s="531"/>
      <c r="F58" s="531"/>
      <c r="G58" s="530"/>
      <c r="H58" s="532"/>
      <c r="I58" s="115">
        <f>I51</f>
        <v>0</v>
      </c>
      <c r="J58" s="115">
        <f>J51</f>
        <v>168.19465774205736</v>
      </c>
      <c r="K58" s="115">
        <f>K51</f>
        <v>224.25954365607652</v>
      </c>
      <c r="L58" s="115">
        <f>L51</f>
        <v>280.32442957009562</v>
      </c>
      <c r="M58" s="620"/>
      <c r="N58"/>
    </row>
    <row r="59" spans="1:16" s="204" customFormat="1" x14ac:dyDescent="0.35">
      <c r="A59" s="143"/>
      <c r="B59" s="211" t="s">
        <v>2131</v>
      </c>
      <c r="C59" s="530"/>
      <c r="D59" s="530"/>
      <c r="E59" s="531"/>
      <c r="F59" s="531"/>
      <c r="G59" s="530"/>
      <c r="H59" s="532"/>
      <c r="I59" s="115">
        <f>IF('Unit costs'!$I$62&gt;0,I58,0)</f>
        <v>0</v>
      </c>
      <c r="J59" s="115">
        <f>IF('Unit costs'!$I$62&gt;0,I58,0)</f>
        <v>0</v>
      </c>
      <c r="K59" s="115">
        <f>IF('Unit costs'!$I$62&gt;0,J58,0)</f>
        <v>168.19465774205736</v>
      </c>
      <c r="L59" s="115">
        <f>IF('Unit costs'!$I$62&gt;0,K58,0)</f>
        <v>224.25954365607652</v>
      </c>
      <c r="M59" s="620"/>
      <c r="N59"/>
    </row>
    <row r="60" spans="1:16" s="204" customFormat="1" x14ac:dyDescent="0.35">
      <c r="A60" s="143"/>
      <c r="B60" s="211" t="s">
        <v>2132</v>
      </c>
      <c r="C60" s="530"/>
      <c r="D60" s="530"/>
      <c r="E60" s="531"/>
      <c r="F60" s="531"/>
      <c r="G60" s="530"/>
      <c r="H60" s="532"/>
      <c r="I60" s="115">
        <f>IF('Unit costs'!$I78&gt;0,I59,0)</f>
        <v>0</v>
      </c>
      <c r="J60" s="115">
        <f>IF('Unit costs'!$I78&gt;0,I59,0)</f>
        <v>0</v>
      </c>
      <c r="K60" s="115">
        <f>IF('Unit costs'!$I78&gt;0,J59,0)</f>
        <v>0</v>
      </c>
      <c r="L60" s="115">
        <f>IF('Unit costs'!$I78&gt;0,K59,0)</f>
        <v>168.19465774205736</v>
      </c>
      <c r="M60" s="620"/>
      <c r="N60"/>
    </row>
    <row r="61" spans="1:16" s="204" customFormat="1" x14ac:dyDescent="0.35">
      <c r="A61" s="143"/>
      <c r="B61" s="211" t="s">
        <v>2133</v>
      </c>
      <c r="C61" s="530"/>
      <c r="D61" s="530"/>
      <c r="E61" s="531"/>
      <c r="F61" s="531"/>
      <c r="G61" s="530"/>
      <c r="H61" s="532"/>
      <c r="I61" s="115">
        <f>I52</f>
        <v>740.05649406505233</v>
      </c>
      <c r="J61" s="115">
        <f>J52</f>
        <v>515.79695040897593</v>
      </c>
      <c r="K61" s="115">
        <f>K52</f>
        <v>403.66717858093773</v>
      </c>
      <c r="L61" s="115">
        <f>L52</f>
        <v>291.53740675289947</v>
      </c>
      <c r="M61" s="620"/>
      <c r="N61"/>
    </row>
    <row r="62" spans="1:16" s="204" customFormat="1" x14ac:dyDescent="0.35">
      <c r="A62" s="143"/>
      <c r="B62" s="211" t="s">
        <v>2134</v>
      </c>
      <c r="C62" s="530"/>
      <c r="D62" s="530"/>
      <c r="E62" s="531"/>
      <c r="F62" s="531"/>
      <c r="G62" s="530"/>
      <c r="H62" s="532"/>
      <c r="I62" s="115">
        <f>IF('Unit costs'!$J109&gt;0,I61,0)</f>
        <v>740.05649406505233</v>
      </c>
      <c r="J62" s="115">
        <f>IF('Unit costs'!$J109&gt;0,I61,0)</f>
        <v>740.05649406505233</v>
      </c>
      <c r="K62" s="115">
        <f>IF('Unit costs'!$J109&gt;0,J61,0)</f>
        <v>515.79695040897593</v>
      </c>
      <c r="L62" s="115">
        <f>IF('Unit costs'!$J109&gt;0,K61,0)</f>
        <v>403.66717858093773</v>
      </c>
      <c r="M62" s="620"/>
      <c r="N62"/>
    </row>
    <row r="63" spans="1:16" s="204" customFormat="1" x14ac:dyDescent="0.35">
      <c r="A63" s="143"/>
      <c r="B63" s="211" t="s">
        <v>2135</v>
      </c>
      <c r="C63" s="530"/>
      <c r="D63" s="530"/>
      <c r="E63" s="531"/>
      <c r="F63" s="531"/>
      <c r="G63" s="530"/>
      <c r="H63" s="532"/>
      <c r="I63" s="115">
        <f>IF('Unit costs'!J125&gt;0,I62,0)</f>
        <v>740.05649406505233</v>
      </c>
      <c r="J63" s="115">
        <f>IF('Unit costs'!$J125&gt;0,I62,0)</f>
        <v>740.05649406505233</v>
      </c>
      <c r="K63" s="115">
        <f>IF('Unit costs'!$J125&gt;0,J62,0)</f>
        <v>740.05649406505233</v>
      </c>
      <c r="L63" s="115">
        <f>IF('Unit costs'!$J125&gt;0,K62,0)</f>
        <v>515.79695040897593</v>
      </c>
      <c r="M63" s="620"/>
      <c r="N63"/>
    </row>
    <row r="64" spans="1:16" s="204" customFormat="1" x14ac:dyDescent="0.35">
      <c r="A64" s="143"/>
      <c r="B64" s="211" t="s">
        <v>2136</v>
      </c>
      <c r="C64" s="530"/>
      <c r="D64" s="530"/>
      <c r="E64" s="531"/>
      <c r="F64" s="531"/>
      <c r="G64" s="530"/>
      <c r="H64" s="532"/>
      <c r="I64" s="115">
        <f>I53</f>
        <v>381.24122421533008</v>
      </c>
      <c r="J64" s="115">
        <f t="shared" ref="J64:L64" si="5">J53</f>
        <v>437.30611012934918</v>
      </c>
      <c r="K64" s="115">
        <f t="shared" si="5"/>
        <v>493.37099604336828</v>
      </c>
      <c r="L64" s="115">
        <f t="shared" si="5"/>
        <v>549.43588195738744</v>
      </c>
      <c r="M64" s="620"/>
      <c r="N64"/>
    </row>
    <row r="65" spans="1:14" s="204" customFormat="1" x14ac:dyDescent="0.35">
      <c r="A65" s="143"/>
      <c r="B65" s="211" t="s">
        <v>2137</v>
      </c>
      <c r="C65" s="530"/>
      <c r="D65" s="530"/>
      <c r="E65" s="531"/>
      <c r="F65" s="531"/>
      <c r="G65" s="530"/>
      <c r="H65" s="532"/>
      <c r="I65" s="115">
        <f>IF('Unit costs'!$J109&gt;0,I64,0)</f>
        <v>381.24122421533008</v>
      </c>
      <c r="J65" s="115">
        <f>IF('Unit costs'!$J109&gt;0,I64,0)</f>
        <v>381.24122421533008</v>
      </c>
      <c r="K65" s="115">
        <f>IF('Unit costs'!$J109&gt;0,J64,0)</f>
        <v>437.30611012934918</v>
      </c>
      <c r="L65" s="115">
        <f>IF('Unit costs'!$J109&gt;0,K64,0)</f>
        <v>493.37099604336828</v>
      </c>
      <c r="M65" s="620"/>
      <c r="N65"/>
    </row>
    <row r="66" spans="1:14" s="204" customFormat="1" x14ac:dyDescent="0.35">
      <c r="A66" s="143"/>
      <c r="B66" s="211" t="s">
        <v>2138</v>
      </c>
      <c r="C66" s="530"/>
      <c r="D66" s="530"/>
      <c r="E66" s="531"/>
      <c r="F66" s="531"/>
      <c r="G66" s="530"/>
      <c r="H66" s="532"/>
      <c r="I66" s="115">
        <f>IF('Unit costs'!$J181&gt;0,I65,0)</f>
        <v>381.24122421533008</v>
      </c>
      <c r="J66" s="115">
        <f>IF('Unit costs'!$J181&gt;0,I65,0)</f>
        <v>381.24122421533008</v>
      </c>
      <c r="K66" s="115">
        <f>IF('Unit costs'!$J181&gt;0,J65,0)</f>
        <v>381.24122421533008</v>
      </c>
      <c r="L66" s="115">
        <f>IF('Unit costs'!$J181&gt;0,K65,0)</f>
        <v>437.30611012934918</v>
      </c>
      <c r="M66" s="620"/>
      <c r="N66"/>
    </row>
    <row r="67" spans="1:14" s="204" customFormat="1" x14ac:dyDescent="0.35">
      <c r="A67" s="143"/>
      <c r="B67" s="528"/>
      <c r="E67" s="240"/>
      <c r="F67" s="240"/>
      <c r="I67" s="157">
        <f>SUM(I58:I66)</f>
        <v>3363.893154841147</v>
      </c>
      <c r="J67" s="157">
        <f>SUM(J58:J66)</f>
        <v>3363.8931548411474</v>
      </c>
      <c r="K67" s="157">
        <f>SUM(K58:K66)</f>
        <v>3363.8931548411479</v>
      </c>
      <c r="L67" s="157">
        <f>SUM(L58:L66)</f>
        <v>3363.8931548411474</v>
      </c>
      <c r="M67" s="620"/>
      <c r="N67"/>
    </row>
    <row r="68" spans="1:14" x14ac:dyDescent="0.35">
      <c r="A68" s="144"/>
      <c r="B68" s="145"/>
      <c r="C68" s="145"/>
      <c r="D68" s="145"/>
      <c r="E68" s="145"/>
      <c r="F68" s="145"/>
      <c r="G68" s="145"/>
      <c r="H68" s="145"/>
      <c r="I68" s="145"/>
      <c r="J68" s="145"/>
      <c r="K68" s="145"/>
      <c r="L68" s="145"/>
      <c r="M68" s="146"/>
    </row>
    <row r="71" spans="1:14" x14ac:dyDescent="0.35">
      <c r="A71" s="222" t="s">
        <v>1862</v>
      </c>
      <c r="B71" s="470"/>
      <c r="C71" s="470"/>
      <c r="D71" s="470"/>
      <c r="E71" s="470"/>
      <c r="F71" s="470"/>
      <c r="G71" s="470"/>
      <c r="H71" s="470"/>
      <c r="I71" s="470"/>
      <c r="J71" s="470"/>
      <c r="K71" s="470"/>
      <c r="L71" s="470"/>
      <c r="M71" s="471"/>
    </row>
    <row r="72" spans="1:14" x14ac:dyDescent="0.35">
      <c r="A72" s="177"/>
      <c r="B72" s="172"/>
      <c r="C72" s="172"/>
      <c r="D72" s="172"/>
      <c r="E72" s="172"/>
      <c r="F72" s="172"/>
      <c r="G72" s="172"/>
      <c r="H72" s="172"/>
      <c r="I72" s="172"/>
      <c r="J72" s="172"/>
      <c r="K72" s="172"/>
      <c r="L72" s="172"/>
      <c r="M72" s="178"/>
    </row>
    <row r="73" spans="1:14" x14ac:dyDescent="0.35">
      <c r="A73" s="177"/>
      <c r="B73" s="325" t="s">
        <v>1863</v>
      </c>
      <c r="C73" s="172"/>
      <c r="D73" s="172"/>
      <c r="E73" s="172"/>
      <c r="F73" s="172"/>
      <c r="G73" s="172"/>
      <c r="H73" s="172"/>
      <c r="I73" s="172"/>
      <c r="J73" s="172"/>
      <c r="K73" s="172"/>
      <c r="L73" s="172"/>
      <c r="M73" s="178"/>
    </row>
    <row r="74" spans="1:14" x14ac:dyDescent="0.35">
      <c r="A74" s="177"/>
      <c r="B74" s="322" t="s">
        <v>1864</v>
      </c>
      <c r="C74" s="172"/>
      <c r="D74" s="172"/>
      <c r="E74" s="172"/>
      <c r="F74" s="172"/>
      <c r="G74" s="172"/>
      <c r="H74" s="172"/>
      <c r="I74" s="172"/>
      <c r="J74" s="172"/>
      <c r="K74" s="172"/>
      <c r="L74" s="172"/>
      <c r="M74" s="178"/>
    </row>
    <row r="75" spans="1:14" x14ac:dyDescent="0.35">
      <c r="A75" s="177"/>
      <c r="B75" s="322" t="s">
        <v>1865</v>
      </c>
      <c r="C75" s="172"/>
      <c r="D75" s="172"/>
      <c r="E75" s="172"/>
      <c r="F75" s="172"/>
      <c r="G75" s="172"/>
      <c r="H75" s="172"/>
      <c r="I75" s="172"/>
      <c r="J75" s="172"/>
      <c r="K75" s="172"/>
      <c r="L75" s="172"/>
      <c r="M75" s="178"/>
    </row>
    <row r="76" spans="1:14" x14ac:dyDescent="0.35">
      <c r="A76" s="177"/>
      <c r="B76" s="234" t="s">
        <v>1866</v>
      </c>
      <c r="C76" s="172"/>
      <c r="D76" s="172"/>
      <c r="E76" s="172"/>
      <c r="F76" s="172"/>
      <c r="G76" s="172"/>
      <c r="H76" s="172"/>
      <c r="I76" s="172"/>
      <c r="J76" s="172"/>
      <c r="K76" s="172"/>
      <c r="L76" s="172"/>
      <c r="M76" s="178"/>
    </row>
    <row r="77" spans="1:14" x14ac:dyDescent="0.35">
      <c r="A77" s="177"/>
      <c r="B77" s="234" t="s">
        <v>1867</v>
      </c>
      <c r="C77" s="172"/>
      <c r="D77" s="172"/>
      <c r="E77" s="172"/>
      <c r="F77" s="172"/>
      <c r="G77" s="172"/>
      <c r="H77" s="172"/>
      <c r="I77" s="172"/>
      <c r="J77" s="172"/>
      <c r="K77" s="172"/>
      <c r="L77" s="172"/>
      <c r="M77" s="178"/>
    </row>
    <row r="78" spans="1:14" x14ac:dyDescent="0.35">
      <c r="A78" s="177"/>
      <c r="B78" s="501" t="s">
        <v>1868</v>
      </c>
      <c r="C78" s="172"/>
      <c r="D78" s="172"/>
      <c r="E78" s="172"/>
      <c r="F78" s="172"/>
      <c r="G78" s="172"/>
      <c r="H78" s="172"/>
      <c r="I78" s="172"/>
      <c r="J78" s="172"/>
      <c r="K78" s="172"/>
      <c r="L78" s="172"/>
      <c r="M78" s="178"/>
    </row>
    <row r="79" spans="1:14" x14ac:dyDescent="0.35">
      <c r="A79" s="177"/>
      <c r="B79" s="234" t="s">
        <v>1869</v>
      </c>
      <c r="C79" s="172"/>
      <c r="D79" s="172"/>
      <c r="E79" s="172"/>
      <c r="F79" s="172"/>
      <c r="G79" s="172"/>
      <c r="H79" s="172"/>
      <c r="I79" s="172"/>
      <c r="J79" s="172"/>
      <c r="K79" s="172"/>
      <c r="L79" s="172"/>
      <c r="M79" s="178"/>
    </row>
    <row r="80" spans="1:14" x14ac:dyDescent="0.35">
      <c r="A80" s="177"/>
      <c r="B80" s="234" t="s">
        <v>1870</v>
      </c>
      <c r="C80" s="172"/>
      <c r="D80" s="172"/>
      <c r="E80" s="172"/>
      <c r="F80" s="172"/>
      <c r="G80" s="172"/>
      <c r="H80" s="172"/>
      <c r="I80" s="172"/>
      <c r="J80" s="172"/>
      <c r="K80" s="172"/>
      <c r="L80" s="172"/>
      <c r="M80" s="178"/>
    </row>
    <row r="81" spans="1:13" x14ac:dyDescent="0.35">
      <c r="A81" s="177"/>
      <c r="B81" s="234"/>
      <c r="C81" s="172"/>
      <c r="D81" s="172"/>
      <c r="E81" s="172"/>
      <c r="F81" s="172"/>
      <c r="G81" s="172"/>
      <c r="H81" s="172"/>
      <c r="I81" s="172"/>
      <c r="J81" s="172"/>
      <c r="K81" s="172"/>
      <c r="L81" s="172"/>
      <c r="M81" s="178"/>
    </row>
    <row r="82" spans="1:13" x14ac:dyDescent="0.35">
      <c r="A82" s="177"/>
      <c r="B82" s="324" t="s">
        <v>1871</v>
      </c>
      <c r="C82" s="172"/>
      <c r="D82" s="172"/>
      <c r="E82" s="172"/>
      <c r="F82" s="172"/>
      <c r="G82" s="172"/>
      <c r="H82" s="172"/>
      <c r="I82" s="172"/>
      <c r="J82" s="172"/>
      <c r="K82" s="172"/>
      <c r="L82" s="172"/>
      <c r="M82" s="178"/>
    </row>
    <row r="83" spans="1:13" x14ac:dyDescent="0.35">
      <c r="A83" s="177"/>
      <c r="B83" s="322" t="s">
        <v>1872</v>
      </c>
      <c r="C83" s="172"/>
      <c r="D83" s="172"/>
      <c r="E83" s="172"/>
      <c r="F83" s="172"/>
      <c r="G83" s="172"/>
      <c r="H83" s="172"/>
      <c r="I83" s="172"/>
      <c r="J83" s="172"/>
      <c r="K83" s="172"/>
      <c r="L83" s="172"/>
      <c r="M83" s="178"/>
    </row>
    <row r="84" spans="1:13" x14ac:dyDescent="0.35">
      <c r="A84" s="177"/>
      <c r="B84" s="234" t="s">
        <v>1873</v>
      </c>
      <c r="C84" s="172"/>
      <c r="D84" s="172"/>
      <c r="E84" s="172"/>
      <c r="F84" s="172"/>
      <c r="G84" s="172"/>
      <c r="H84" s="172"/>
      <c r="I84" s="172"/>
      <c r="J84" s="172"/>
      <c r="K84" s="172"/>
      <c r="L84" s="172"/>
      <c r="M84" s="178"/>
    </row>
    <row r="85" spans="1:13" x14ac:dyDescent="0.35">
      <c r="A85" s="177"/>
      <c r="B85" s="234" t="s">
        <v>1874</v>
      </c>
      <c r="C85" s="172"/>
      <c r="D85" s="172"/>
      <c r="E85" s="172"/>
      <c r="F85" s="172"/>
      <c r="G85" s="172"/>
      <c r="H85" s="172"/>
      <c r="I85" s="172"/>
      <c r="J85" s="172"/>
      <c r="K85" s="172"/>
      <c r="L85" s="172"/>
      <c r="M85" s="178"/>
    </row>
    <row r="86" spans="1:13" x14ac:dyDescent="0.35">
      <c r="A86" s="175"/>
      <c r="B86" s="179"/>
      <c r="C86" s="174"/>
      <c r="D86" s="174"/>
      <c r="E86" s="174"/>
      <c r="F86" s="174"/>
      <c r="G86" s="174"/>
      <c r="H86" s="174"/>
      <c r="I86" s="174"/>
      <c r="J86" s="174"/>
      <c r="K86" s="174"/>
      <c r="L86" s="174"/>
      <c r="M86" s="176"/>
    </row>
  </sheetData>
  <sheetProtection algorithmName="SHA-512" hashValue="FK7mmdhLHCITnFB4LdfP9OPdfhr9ivkA01ANAZr80Au7PQvVVcmumP7Og/nWAJdjNHM/6jQlTCsfTP9Fz41QbA==" saltValue="iBJ+yxyRdqMti16TnkzdGA==" spinCount="100000" sheet="1" objects="1" scenarios="1"/>
  <protectedRanges>
    <protectedRange sqref="C8:C9 C15:C16 C35 D37:D42 C23:D33 E40:G42 D34 D22 I51:L53 D51:G53" name="Range1"/>
    <protectedRange sqref="C22" name="Range1_2"/>
  </protectedRanges>
  <mergeCells count="5">
    <mergeCell ref="E22:L22"/>
    <mergeCell ref="E26:L26"/>
    <mergeCell ref="J23:L23"/>
    <mergeCell ref="J24:L24"/>
    <mergeCell ref="E33:L33"/>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74" r:id="rId1" xr:uid="{9E6038DB-C4EC-431A-B5C3-A48009ECA9D3}"/>
    <hyperlink ref="B75" r:id="rId2" xr:uid="{F90404C9-B340-4E9B-AA51-58D791264704}"/>
    <hyperlink ref="B83" r:id="rId3" xr:uid="{FC9107BA-DC63-4474-BE80-C70D0B07C108}"/>
    <hyperlink ref="B78" r:id="rId4" xr:uid="{D457B1CB-8B19-4A1D-996E-899FA025186B}"/>
    <hyperlink ref="E22:L22" r:id="rId5" display="Cancer registration statistics 2023" xr:uid="{4FADD98D-E39B-46B2-BA94-88A46E704A54}"/>
    <hyperlink ref="E22" r:id="rId6" display="https://digital.nhs.uk/data-and-information/publications/statistical/cancer-registration-statistics" xr:uid="{67586418-C883-4669-AB76-CCD68F595E7C}"/>
    <hyperlink ref="E28:L28" r:id="rId7" display="Adizie JB et al. 2021" xr:uid="{6A7F4994-752D-47CE-B4A4-F3FB5F8BF7A0}"/>
    <hyperlink ref="E30:G30" r:id="rId8" display="Adizie JB et al. 2021" xr:uid="{BA2CA530-9B1F-4D7C-96DF-CB218BF52DA3}"/>
    <hyperlink ref="E31" r:id="rId9" xr:uid="{314343BA-98A0-4D27-986B-043FDB25E1E1}"/>
    <hyperlink ref="F31" r:id="rId10" xr:uid="{F620E402-7F6A-4606-91FE-A3B8F3DD0A91}"/>
    <hyperlink ref="E29" r:id="rId11" xr:uid="{0C344DAE-CB8A-4DB1-80AD-E1750F7A3FCC}"/>
    <hyperlink ref="E23" r:id="rId12" xr:uid="{7E44D698-013D-4C6C-91D1-F30A6AC8A72A}"/>
    <hyperlink ref="E24" r:id="rId13" xr:uid="{30F03AB2-12A2-4DD3-8857-4CD28EF5047A}"/>
    <hyperlink ref="E25" r:id="rId14" xr:uid="{2A934C95-EEF5-49D1-9F70-B6F54A36C3FF}"/>
    <hyperlink ref="E32" r:id="rId15" display="https://www.annalsofoncology.org/article/S0923-7534(23)03214-3/fulltext" xr:uid="{12BBCEB7-27BF-4F24-8965-51656CF146DE}"/>
    <hyperlink ref="E32:U32" r:id="rId16" display="J. Nieva et al. (2023)- Annals of Oncology" xr:uid="{92602757-A15D-442A-A413-4F7ADB19A833}"/>
  </hyperlinks>
  <pageMargins left="0.7" right="0.7" top="0.75" bottom="0.75" header="0.3" footer="0.3"/>
  <pageSetup paperSize="9" scale="34" fitToHeight="0" orientation="portrait" r:id="rId17"/>
  <legacy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R339"/>
  <sheetViews>
    <sheetView showGridLines="0" zoomScale="80" zoomScaleNormal="80" workbookViewId="0"/>
  </sheetViews>
  <sheetFormatPr defaultColWidth="9.26953125" defaultRowHeight="12.5" x14ac:dyDescent="0.25"/>
  <cols>
    <col min="1" max="1" width="72.1796875" style="3" customWidth="1"/>
    <col min="2" max="2" width="24" style="3" customWidth="1"/>
    <col min="3" max="3" width="25.54296875" style="3" customWidth="1"/>
    <col min="4" max="4" width="24.26953125" style="3" customWidth="1"/>
    <col min="5" max="5" width="12" style="3" customWidth="1"/>
    <col min="6" max="7" width="12.26953125" style="3" customWidth="1"/>
    <col min="8" max="8" width="14.36328125" style="3" customWidth="1"/>
    <col min="9" max="9" width="15.54296875" style="3" customWidth="1"/>
    <col min="10" max="10" width="12.54296875" style="3" customWidth="1"/>
    <col min="11" max="11" width="14" style="3" customWidth="1"/>
    <col min="12" max="13" width="12.36328125" style="3" customWidth="1"/>
    <col min="14" max="15" width="12.26953125" style="3" customWidth="1"/>
    <col min="16" max="16" width="18.26953125" style="3" customWidth="1"/>
    <col min="17" max="17" width="9.36328125" style="137" customWidth="1"/>
    <col min="18" max="16384" width="9.26953125" style="3"/>
  </cols>
  <sheetData>
    <row r="1" spans="1:18" ht="30" customHeight="1" x14ac:dyDescent="0.5">
      <c r="A1" s="582" t="str">
        <f>'Population and treatments'!A1</f>
        <v>Treatments for untreated EGFR mutation-positive advanced non-small-cell lung cancer</v>
      </c>
      <c r="B1" s="132"/>
      <c r="C1" s="118"/>
      <c r="D1" s="118"/>
      <c r="E1" s="118"/>
      <c r="F1" s="118"/>
      <c r="G1" s="118"/>
      <c r="H1" s="118" t="s">
        <v>1855</v>
      </c>
      <c r="I1" s="118" t="s">
        <v>1855</v>
      </c>
      <c r="J1" s="118" t="s">
        <v>1855</v>
      </c>
      <c r="K1" s="137"/>
      <c r="L1" s="137"/>
      <c r="M1" s="137"/>
      <c r="N1" s="161"/>
      <c r="O1" s="161"/>
      <c r="P1" s="161"/>
      <c r="R1" s="137"/>
    </row>
    <row r="2" spans="1:18" ht="26.25" customHeight="1" x14ac:dyDescent="0.25">
      <c r="A2" s="700" t="s">
        <v>7</v>
      </c>
      <c r="B2" s="138"/>
      <c r="C2" s="138"/>
      <c r="D2" s="138"/>
      <c r="E2" s="138"/>
      <c r="F2" s="138"/>
      <c r="G2" s="138"/>
      <c r="H2" s="138"/>
      <c r="I2" s="138"/>
      <c r="J2" s="138"/>
      <c r="K2" s="138"/>
      <c r="L2" s="138"/>
      <c r="M2" s="138"/>
      <c r="N2" s="138"/>
      <c r="O2" s="138"/>
      <c r="P2" s="138"/>
      <c r="R2" s="137"/>
    </row>
    <row r="3" spans="1:18" ht="14.75" customHeight="1" x14ac:dyDescent="0.5">
      <c r="A3" s="116"/>
      <c r="B3" s="132"/>
      <c r="C3" s="118"/>
      <c r="D3" s="118"/>
      <c r="E3" s="118"/>
      <c r="F3" s="118" t="s">
        <v>1855</v>
      </c>
      <c r="G3" s="118" t="s">
        <v>1855</v>
      </c>
      <c r="H3" s="119" t="s">
        <v>1855</v>
      </c>
      <c r="I3" s="119"/>
      <c r="J3" s="119"/>
      <c r="K3" s="119"/>
      <c r="L3" s="119"/>
      <c r="M3" s="119"/>
      <c r="N3" s="161"/>
      <c r="O3" s="161"/>
      <c r="P3" s="161"/>
      <c r="R3" s="137"/>
    </row>
    <row r="4" spans="1:18" ht="14.75" customHeight="1" x14ac:dyDescent="0.5">
      <c r="A4" s="621" t="s">
        <v>2064</v>
      </c>
      <c r="B4" s="473"/>
      <c r="C4" s="433"/>
      <c r="D4" s="433"/>
      <c r="E4" s="433"/>
      <c r="F4" s="433"/>
      <c r="G4" s="433"/>
      <c r="H4" s="433"/>
      <c r="I4" s="433"/>
      <c r="J4" s="433"/>
      <c r="K4" s="433"/>
      <c r="L4" s="433"/>
      <c r="M4" s="433"/>
      <c r="N4" s="433"/>
      <c r="O4" s="433"/>
      <c r="P4" s="474"/>
      <c r="R4" s="137"/>
    </row>
    <row r="5" spans="1:18" ht="14.25" customHeight="1" x14ac:dyDescent="0.5">
      <c r="A5" s="161"/>
      <c r="B5" s="132"/>
      <c r="C5" s="118"/>
      <c r="D5" s="118"/>
      <c r="E5" s="118"/>
      <c r="F5" s="118"/>
      <c r="G5" s="118"/>
      <c r="H5" s="119"/>
      <c r="I5" s="118"/>
      <c r="J5" s="119"/>
      <c r="K5" s="119"/>
      <c r="L5" s="119"/>
      <c r="M5" s="119"/>
      <c r="N5" s="119"/>
      <c r="O5" s="119"/>
      <c r="P5" s="119"/>
      <c r="R5" s="137"/>
    </row>
    <row r="6" spans="1:18" ht="14.25" customHeight="1" x14ac:dyDescent="0.5">
      <c r="A6" s="222" t="s">
        <v>2287</v>
      </c>
      <c r="B6" s="786"/>
      <c r="C6" s="787"/>
      <c r="D6" s="787"/>
      <c r="E6" s="787"/>
      <c r="F6" s="787"/>
      <c r="G6" s="787"/>
      <c r="H6" s="787"/>
      <c r="I6" s="787"/>
      <c r="J6" s="787"/>
      <c r="K6" s="787"/>
      <c r="L6" s="787"/>
      <c r="M6" s="787"/>
      <c r="N6" s="787"/>
      <c r="O6" s="787"/>
      <c r="P6" s="788"/>
      <c r="R6" s="137"/>
    </row>
    <row r="7" spans="1:18" ht="14.25" customHeight="1" x14ac:dyDescent="0.5">
      <c r="A7" s="789" t="s">
        <v>2220</v>
      </c>
      <c r="B7" s="778"/>
      <c r="C7" s="779"/>
      <c r="D7" s="779"/>
      <c r="E7" s="779"/>
      <c r="F7" s="779"/>
      <c r="G7" s="779"/>
      <c r="H7" s="779"/>
      <c r="I7" s="779"/>
      <c r="J7" s="779"/>
      <c r="K7" s="779"/>
      <c r="L7" s="779"/>
      <c r="M7" s="779"/>
      <c r="N7" s="779"/>
      <c r="O7" s="779"/>
      <c r="P7" s="780"/>
      <c r="R7" s="137"/>
    </row>
    <row r="8" spans="1:18" ht="14.25" customHeight="1" x14ac:dyDescent="0.5">
      <c r="A8" s="624" t="s">
        <v>2240</v>
      </c>
      <c r="B8" s="778"/>
      <c r="C8" s="779"/>
      <c r="D8" s="779"/>
      <c r="E8" s="779"/>
      <c r="F8" s="779"/>
      <c r="G8" s="779"/>
      <c r="H8" s="779"/>
      <c r="I8" s="779"/>
      <c r="J8" s="779"/>
      <c r="K8" s="779"/>
      <c r="L8" s="779"/>
      <c r="M8" s="779"/>
      <c r="N8" s="779"/>
      <c r="O8" s="779"/>
      <c r="P8" s="780"/>
      <c r="R8" s="137"/>
    </row>
    <row r="9" spans="1:18" ht="14.25" customHeight="1" x14ac:dyDescent="0.35">
      <c r="A9" s="624" t="s">
        <v>2194</v>
      </c>
      <c r="B9" s="943" t="s">
        <v>2195</v>
      </c>
      <c r="C9" s="944"/>
      <c r="D9" s="944"/>
      <c r="E9" s="944"/>
      <c r="F9" s="944"/>
      <c r="G9" s="944"/>
      <c r="H9" s="944"/>
      <c r="I9" s="779"/>
      <c r="J9" s="779"/>
      <c r="K9" s="779"/>
      <c r="L9" s="779"/>
      <c r="M9" s="779"/>
      <c r="N9" s="779"/>
      <c r="O9" s="779"/>
      <c r="P9" s="780"/>
      <c r="R9" s="137"/>
    </row>
    <row r="10" spans="1:18" ht="14.25" customHeight="1" x14ac:dyDescent="0.35">
      <c r="A10" s="624" t="s">
        <v>2196</v>
      </c>
      <c r="B10" s="781" t="s">
        <v>2197</v>
      </c>
      <c r="C10" s="324"/>
      <c r="D10" s="324"/>
      <c r="E10" s="324"/>
      <c r="F10" s="324"/>
      <c r="G10" s="324"/>
      <c r="H10" s="782"/>
      <c r="I10" s="779"/>
      <c r="J10" s="779"/>
      <c r="K10" s="779"/>
      <c r="L10" s="779"/>
      <c r="M10" s="779"/>
      <c r="N10" s="779"/>
      <c r="O10" s="779"/>
      <c r="P10" s="780"/>
      <c r="R10" s="137"/>
    </row>
    <row r="11" spans="1:18" ht="14.25" customHeight="1" x14ac:dyDescent="0.5">
      <c r="A11" s="624" t="s">
        <v>2285</v>
      </c>
      <c r="B11" s="778"/>
      <c r="C11" s="501" t="s">
        <v>2276</v>
      </c>
      <c r="D11" s="779"/>
      <c r="E11" s="779"/>
      <c r="F11" s="779"/>
      <c r="G11" s="779"/>
      <c r="H11" s="779"/>
      <c r="I11" s="779"/>
      <c r="J11" s="779"/>
      <c r="K11" s="779"/>
      <c r="L11" s="779"/>
      <c r="M11" s="779"/>
      <c r="N11" s="779"/>
      <c r="O11" s="779"/>
      <c r="P11" s="780"/>
      <c r="R11" s="137"/>
    </row>
    <row r="12" spans="1:18" ht="14.25" customHeight="1" x14ac:dyDescent="0.5">
      <c r="A12" s="625" t="s">
        <v>2286</v>
      </c>
      <c r="B12" s="783"/>
      <c r="C12" s="784"/>
      <c r="D12" s="784"/>
      <c r="E12" s="784"/>
      <c r="F12" s="784"/>
      <c r="G12" s="784"/>
      <c r="H12" s="784"/>
      <c r="I12" s="784"/>
      <c r="J12" s="784"/>
      <c r="K12" s="784"/>
      <c r="L12" s="784"/>
      <c r="M12" s="784"/>
      <c r="N12" s="784"/>
      <c r="O12" s="784"/>
      <c r="P12" s="785"/>
      <c r="R12" s="137"/>
    </row>
    <row r="13" spans="1:18" ht="14.25" customHeight="1" x14ac:dyDescent="0.5">
      <c r="A13" s="540"/>
      <c r="B13" s="132"/>
      <c r="C13" s="118"/>
      <c r="D13" s="118"/>
      <c r="E13" s="118"/>
      <c r="F13" s="742"/>
      <c r="G13" s="118"/>
      <c r="H13" s="118"/>
      <c r="I13" s="137"/>
      <c r="J13" s="118"/>
      <c r="K13" s="118"/>
      <c r="L13" s="118"/>
      <c r="M13" s="118"/>
      <c r="N13" s="118"/>
      <c r="O13" s="119"/>
      <c r="P13" s="119"/>
      <c r="R13" s="137"/>
    </row>
    <row r="14" spans="1:18" ht="14.25" customHeight="1" x14ac:dyDescent="0.5">
      <c r="A14" s="540"/>
      <c r="B14" s="132"/>
      <c r="C14" s="118"/>
      <c r="D14" s="118"/>
      <c r="E14" s="118"/>
      <c r="F14" s="118"/>
      <c r="G14" s="118"/>
      <c r="H14" s="118"/>
      <c r="I14" s="118"/>
      <c r="J14" s="118"/>
      <c r="K14" s="118"/>
      <c r="L14" s="118"/>
      <c r="M14" s="118"/>
      <c r="N14" s="118"/>
      <c r="O14" s="119"/>
      <c r="P14" s="119"/>
      <c r="R14" s="137"/>
    </row>
    <row r="15" spans="1:18" ht="14.25" customHeight="1" x14ac:dyDescent="0.35">
      <c r="A15" s="193" t="s">
        <v>2086</v>
      </c>
      <c r="B15" s="158"/>
      <c r="C15" s="158"/>
      <c r="D15" s="643"/>
      <c r="E15" s="118"/>
      <c r="F15" s="119"/>
      <c r="G15" s="119"/>
      <c r="H15" s="119"/>
      <c r="I15" s="119"/>
      <c r="J15" s="119"/>
      <c r="K15" s="119"/>
      <c r="L15" s="137"/>
      <c r="M15" s="137"/>
      <c r="N15" s="137"/>
      <c r="O15" s="137"/>
      <c r="P15" s="137"/>
      <c r="R15" s="137"/>
    </row>
    <row r="16" spans="1:18" ht="51.75" customHeight="1" x14ac:dyDescent="0.35">
      <c r="A16" s="628" t="s">
        <v>2057</v>
      </c>
      <c r="B16" s="696" t="s">
        <v>2095</v>
      </c>
      <c r="C16" s="696" t="s">
        <v>2096</v>
      </c>
      <c r="D16" s="696" t="s">
        <v>2097</v>
      </c>
      <c r="E16" s="118"/>
      <c r="F16" s="119"/>
      <c r="G16" s="119"/>
      <c r="H16" s="119"/>
      <c r="I16" s="119"/>
      <c r="J16" s="119"/>
      <c r="K16" s="119"/>
      <c r="L16" s="137"/>
      <c r="M16" s="137"/>
      <c r="N16" s="137"/>
      <c r="O16" s="137"/>
      <c r="P16" s="137"/>
      <c r="R16" s="137"/>
    </row>
    <row r="17" spans="1:18" ht="14.5" x14ac:dyDescent="0.35">
      <c r="A17" s="134" t="s">
        <v>2139</v>
      </c>
      <c r="B17" s="626">
        <f>P49</f>
        <v>0</v>
      </c>
      <c r="C17" s="626">
        <f>P65</f>
        <v>0</v>
      </c>
      <c r="D17" s="626">
        <f>P81</f>
        <v>0</v>
      </c>
      <c r="E17" s="118"/>
      <c r="F17" s="161"/>
      <c r="G17" s="119"/>
      <c r="H17" s="119"/>
      <c r="I17" s="119"/>
      <c r="J17" s="119"/>
      <c r="K17" s="119"/>
      <c r="L17" s="137"/>
      <c r="M17" s="137"/>
      <c r="N17" s="137"/>
      <c r="O17" s="137"/>
      <c r="P17" s="137"/>
      <c r="R17" s="137"/>
    </row>
    <row r="18" spans="1:18" ht="14.5" x14ac:dyDescent="0.35">
      <c r="A18" s="134" t="s">
        <v>2140</v>
      </c>
      <c r="B18" s="626">
        <f>P95</f>
        <v>0</v>
      </c>
      <c r="C18" s="626">
        <f>P110</f>
        <v>0</v>
      </c>
      <c r="D18" s="626">
        <f>P126</f>
        <v>0</v>
      </c>
      <c r="E18" s="118"/>
      <c r="F18" s="119"/>
      <c r="G18" s="119"/>
      <c r="H18" s="119"/>
      <c r="I18" s="119"/>
      <c r="J18" s="119"/>
      <c r="K18" s="119"/>
      <c r="L18" s="137"/>
      <c r="M18" s="137"/>
      <c r="N18" s="137"/>
      <c r="O18" s="137"/>
      <c r="P18" s="137"/>
      <c r="R18" s="137"/>
    </row>
    <row r="19" spans="1:18" ht="14.5" x14ac:dyDescent="0.35">
      <c r="A19" s="134" t="s">
        <v>2141</v>
      </c>
      <c r="B19" s="626">
        <f>P147</f>
        <v>2957.1349523809522</v>
      </c>
      <c r="C19" s="626">
        <f>P165</f>
        <v>1057.5780285714284</v>
      </c>
      <c r="D19" s="626">
        <f>P182</f>
        <v>0</v>
      </c>
      <c r="E19" s="118"/>
      <c r="F19" s="119"/>
      <c r="G19" s="119"/>
      <c r="H19" s="119"/>
      <c r="I19" s="119"/>
      <c r="J19" s="119"/>
      <c r="K19" s="119"/>
      <c r="L19" s="137"/>
      <c r="M19" s="137"/>
      <c r="N19" s="137"/>
      <c r="O19" s="137"/>
      <c r="P19" s="137"/>
      <c r="R19" s="137"/>
    </row>
    <row r="20" spans="1:18" ht="14.5" x14ac:dyDescent="0.35">
      <c r="A20"/>
      <c r="B20" s="693"/>
      <c r="C20" s="627"/>
      <c r="D20" s="627"/>
      <c r="E20" s="118"/>
      <c r="F20" s="119"/>
      <c r="G20" s="118"/>
      <c r="H20" s="119"/>
      <c r="I20" s="119"/>
      <c r="J20" s="119"/>
      <c r="K20" s="119"/>
      <c r="L20" s="119"/>
      <c r="M20" s="119"/>
      <c r="N20" s="119"/>
      <c r="O20" s="137"/>
      <c r="P20" s="137"/>
      <c r="R20" s="137"/>
    </row>
    <row r="21" spans="1:18" ht="14.5" x14ac:dyDescent="0.35">
      <c r="A21" s="193" t="s">
        <v>2087</v>
      </c>
      <c r="B21" s="158"/>
      <c r="C21" s="158"/>
      <c r="D21" s="643"/>
      <c r="E21" s="118"/>
      <c r="F21" s="119"/>
      <c r="G21" s="119"/>
      <c r="H21" s="119"/>
      <c r="I21" s="119"/>
      <c r="J21" s="119"/>
      <c r="K21" s="119"/>
      <c r="L21" s="137"/>
      <c r="M21" s="137"/>
      <c r="N21" s="137"/>
      <c r="O21" s="137"/>
      <c r="P21" s="137"/>
      <c r="R21" s="137"/>
    </row>
    <row r="22" spans="1:18" ht="14.5" x14ac:dyDescent="0.35">
      <c r="A22" s="628" t="s">
        <v>2057</v>
      </c>
      <c r="B22" s="696" t="s">
        <v>2095</v>
      </c>
      <c r="C22" s="696" t="s">
        <v>2096</v>
      </c>
      <c r="D22" s="696" t="s">
        <v>2097</v>
      </c>
      <c r="E22" s="118"/>
      <c r="F22" s="119"/>
      <c r="G22" s="119"/>
      <c r="H22" s="119"/>
      <c r="I22" s="119"/>
      <c r="J22" s="119"/>
      <c r="K22" s="119"/>
      <c r="L22" s="137"/>
      <c r="M22" s="137"/>
      <c r="N22" s="137"/>
      <c r="O22" s="137"/>
      <c r="P22" s="137"/>
      <c r="R22" s="137"/>
    </row>
    <row r="23" spans="1:18" ht="14.5" x14ac:dyDescent="0.35">
      <c r="A23" s="134" t="s">
        <v>2139</v>
      </c>
      <c r="B23" s="626">
        <f>P53</f>
        <v>4784</v>
      </c>
      <c r="C23" s="626">
        <f>P69</f>
        <v>4784</v>
      </c>
      <c r="D23" s="626">
        <f>P85</f>
        <v>1196</v>
      </c>
      <c r="E23" s="118"/>
      <c r="F23" s="119"/>
      <c r="G23" s="119"/>
      <c r="H23" s="119"/>
      <c r="I23" s="119"/>
      <c r="J23" s="119"/>
      <c r="K23" s="119"/>
      <c r="L23" s="137"/>
      <c r="M23" s="137"/>
      <c r="N23" s="137"/>
      <c r="O23" s="137"/>
      <c r="P23" s="137"/>
      <c r="R23" s="137"/>
    </row>
    <row r="24" spans="1:18" ht="14.5" x14ac:dyDescent="0.35">
      <c r="A24" s="134" t="s">
        <v>2140</v>
      </c>
      <c r="B24" s="626">
        <f>P100</f>
        <v>1788.5</v>
      </c>
      <c r="C24" s="626">
        <f>P115</f>
        <v>1764</v>
      </c>
      <c r="D24" s="626">
        <f>P131</f>
        <v>1308.3</v>
      </c>
      <c r="E24" s="118"/>
      <c r="F24" s="119"/>
      <c r="G24" s="119"/>
      <c r="H24" s="119"/>
      <c r="I24" s="119"/>
      <c r="J24" s="119"/>
      <c r="K24" s="119"/>
      <c r="L24" s="137"/>
      <c r="M24" s="137"/>
      <c r="N24" s="137"/>
      <c r="O24" s="137"/>
      <c r="P24" s="137"/>
      <c r="R24" s="137"/>
    </row>
    <row r="25" spans="1:18" ht="14.5" x14ac:dyDescent="0.35">
      <c r="A25" s="134" t="s">
        <v>2141</v>
      </c>
      <c r="B25" s="626">
        <f>P153</f>
        <v>2757</v>
      </c>
      <c r="C25" s="626">
        <f>P171</f>
        <v>1931.8874999999998</v>
      </c>
      <c r="D25" s="626">
        <f>P187</f>
        <v>1308.3</v>
      </c>
      <c r="E25" s="118"/>
      <c r="F25" s="119"/>
      <c r="G25" s="119"/>
      <c r="H25" s="119"/>
      <c r="I25" s="119"/>
      <c r="J25" s="119"/>
      <c r="K25" s="119"/>
      <c r="L25" s="137"/>
      <c r="M25" s="137"/>
      <c r="N25" s="137"/>
      <c r="O25" s="137"/>
      <c r="P25" s="137"/>
      <c r="R25" s="137"/>
    </row>
    <row r="26" spans="1:18" ht="14.5" x14ac:dyDescent="0.35">
      <c r="A26"/>
      <c r="B26" s="693"/>
      <c r="C26" s="693"/>
      <c r="D26" s="627"/>
      <c r="E26" s="627"/>
      <c r="F26" s="118"/>
      <c r="G26" s="118"/>
      <c r="H26" s="119"/>
      <c r="I26" s="118"/>
      <c r="J26" s="119"/>
      <c r="K26" s="119"/>
      <c r="L26" s="119"/>
      <c r="M26" s="119"/>
      <c r="N26" s="118"/>
      <c r="O26" s="118"/>
      <c r="P26" s="118"/>
      <c r="R26" s="137"/>
    </row>
    <row r="27" spans="1:18" ht="14.5" x14ac:dyDescent="0.35">
      <c r="A27"/>
      <c r="B27" s="693"/>
      <c r="C27" s="693"/>
      <c r="D27" s="627"/>
      <c r="E27" s="627"/>
      <c r="F27" s="118"/>
      <c r="G27" s="118"/>
      <c r="H27" s="119"/>
      <c r="I27" s="118"/>
      <c r="J27" s="119"/>
      <c r="K27" s="119"/>
      <c r="L27" s="119"/>
      <c r="M27" s="119"/>
      <c r="N27" s="119"/>
      <c r="O27" s="119"/>
      <c r="P27" s="119"/>
      <c r="R27" s="137"/>
    </row>
    <row r="28" spans="1:18" ht="29.5" customHeight="1" x14ac:dyDescent="0.35">
      <c r="A28" s="291" t="s">
        <v>1996</v>
      </c>
      <c r="B28" s="291" t="s">
        <v>1857</v>
      </c>
      <c r="C28" s="291" t="s">
        <v>1858</v>
      </c>
      <c r="D28" s="591" t="s">
        <v>2032</v>
      </c>
      <c r="E28" s="189" t="s">
        <v>2065</v>
      </c>
      <c r="F28" s="189" t="s">
        <v>2034</v>
      </c>
      <c r="G28" s="591" t="s">
        <v>2031</v>
      </c>
      <c r="H28" s="186" t="s">
        <v>1895</v>
      </c>
      <c r="I28" s="189" t="s">
        <v>1997</v>
      </c>
      <c r="J28" s="118"/>
      <c r="K28" s="118"/>
      <c r="L28" s="118"/>
      <c r="M28" s="118"/>
      <c r="N28" s="118"/>
      <c r="O28" s="119"/>
      <c r="P28" s="119"/>
      <c r="R28" s="137"/>
    </row>
    <row r="29" spans="1:18" ht="15.5" x14ac:dyDescent="0.35">
      <c r="A29" s="635" t="s">
        <v>2142</v>
      </c>
      <c r="B29" s="629" t="s">
        <v>2144</v>
      </c>
      <c r="C29" s="636" t="s">
        <v>2145</v>
      </c>
      <c r="D29" s="743">
        <v>1600</v>
      </c>
      <c r="E29" s="631">
        <v>1</v>
      </c>
      <c r="F29" s="632">
        <f>D29*E29</f>
        <v>1600</v>
      </c>
      <c r="G29" s="505"/>
      <c r="H29" s="633">
        <v>0.2</v>
      </c>
      <c r="I29" s="309" t="s">
        <v>2146</v>
      </c>
      <c r="J29" s="742"/>
      <c r="K29" s="118"/>
      <c r="L29" s="118"/>
      <c r="M29" s="118"/>
      <c r="N29" s="118"/>
      <c r="O29" s="119"/>
      <c r="P29" s="119"/>
      <c r="R29" s="137"/>
    </row>
    <row r="30" spans="1:18" ht="15.5" x14ac:dyDescent="0.35">
      <c r="A30" s="635" t="s">
        <v>2142</v>
      </c>
      <c r="B30" s="629" t="s">
        <v>2144</v>
      </c>
      <c r="C30" s="636" t="s">
        <v>2145</v>
      </c>
      <c r="D30" s="743">
        <v>2240</v>
      </c>
      <c r="E30" s="631">
        <v>1</v>
      </c>
      <c r="F30" s="632">
        <f>D30*E30</f>
        <v>2240</v>
      </c>
      <c r="G30" s="505"/>
      <c r="H30" s="633">
        <v>0.2</v>
      </c>
      <c r="I30" s="309" t="s">
        <v>2146</v>
      </c>
      <c r="J30" s="742"/>
      <c r="K30" s="118"/>
      <c r="L30" s="118"/>
      <c r="M30" s="118"/>
      <c r="N30" s="118"/>
      <c r="O30" s="119"/>
      <c r="P30" s="119"/>
      <c r="R30" s="137"/>
    </row>
    <row r="31" spans="1:18" ht="14.5" x14ac:dyDescent="0.35">
      <c r="A31" s="635" t="s">
        <v>2143</v>
      </c>
      <c r="B31" s="629" t="s">
        <v>1836</v>
      </c>
      <c r="C31" s="637" t="s">
        <v>1990</v>
      </c>
      <c r="D31" s="630">
        <v>240</v>
      </c>
      <c r="E31" s="631">
        <v>28</v>
      </c>
      <c r="F31" s="632">
        <f t="shared" ref="F31:F35" si="0">D31*E31</f>
        <v>6720</v>
      </c>
      <c r="G31" s="505"/>
      <c r="H31" s="633">
        <v>0.2</v>
      </c>
      <c r="I31" s="309" t="s">
        <v>2146</v>
      </c>
      <c r="J31" s="118"/>
      <c r="K31" s="118"/>
      <c r="L31" s="118"/>
      <c r="M31" s="118"/>
      <c r="N31" s="118"/>
      <c r="O31" s="119"/>
      <c r="P31" s="119"/>
      <c r="R31" s="137"/>
    </row>
    <row r="32" spans="1:18" ht="14.75" customHeight="1" x14ac:dyDescent="0.35">
      <c r="A32" s="635" t="s">
        <v>2143</v>
      </c>
      <c r="B32" s="629" t="s">
        <v>1836</v>
      </c>
      <c r="C32" s="637" t="s">
        <v>1990</v>
      </c>
      <c r="D32" s="630">
        <v>80</v>
      </c>
      <c r="E32" s="631">
        <v>56</v>
      </c>
      <c r="F32" s="632">
        <f t="shared" si="0"/>
        <v>4480</v>
      </c>
      <c r="G32" s="505"/>
      <c r="H32" s="633">
        <v>0.2</v>
      </c>
      <c r="I32" s="309" t="s">
        <v>2146</v>
      </c>
      <c r="J32" s="119"/>
      <c r="K32" s="119"/>
      <c r="L32" s="119"/>
      <c r="M32" s="119"/>
      <c r="N32" s="119"/>
      <c r="O32" s="119"/>
      <c r="P32" s="119"/>
      <c r="R32" s="137"/>
    </row>
    <row r="33" spans="1:18" ht="14.75" customHeight="1" x14ac:dyDescent="0.35">
      <c r="A33" s="635" t="s">
        <v>2147</v>
      </c>
      <c r="B33" s="629" t="s">
        <v>1836</v>
      </c>
      <c r="C33" s="636" t="s">
        <v>1990</v>
      </c>
      <c r="D33" s="630">
        <v>80</v>
      </c>
      <c r="E33" s="631">
        <v>30</v>
      </c>
      <c r="F33" s="632">
        <f t="shared" si="0"/>
        <v>2400</v>
      </c>
      <c r="G33" s="505"/>
      <c r="H33" s="633">
        <v>0.2</v>
      </c>
      <c r="I33" s="309" t="s">
        <v>2146</v>
      </c>
      <c r="J33" s="119"/>
      <c r="K33" s="119"/>
      <c r="L33" s="119"/>
      <c r="M33" s="119"/>
      <c r="N33" s="119"/>
      <c r="O33" s="119"/>
      <c r="P33" s="119"/>
      <c r="R33" s="137"/>
    </row>
    <row r="34" spans="1:18" ht="14.75" customHeight="1" x14ac:dyDescent="0.35">
      <c r="A34" s="635" t="s">
        <v>2148</v>
      </c>
      <c r="B34" s="629" t="s">
        <v>2033</v>
      </c>
      <c r="C34" s="636" t="s">
        <v>2149</v>
      </c>
      <c r="D34" s="630">
        <v>900</v>
      </c>
      <c r="E34" s="631">
        <v>1</v>
      </c>
      <c r="F34" s="632">
        <f t="shared" si="0"/>
        <v>900</v>
      </c>
      <c r="G34" s="505">
        <v>136.72</v>
      </c>
      <c r="H34" s="633">
        <v>0.2</v>
      </c>
      <c r="I34" s="309" t="s">
        <v>2066</v>
      </c>
      <c r="J34" s="119"/>
      <c r="K34" s="119"/>
      <c r="L34" s="119"/>
      <c r="M34" s="119"/>
      <c r="N34" s="119"/>
      <c r="O34" s="119"/>
      <c r="P34" s="119"/>
      <c r="R34" s="137"/>
    </row>
    <row r="35" spans="1:18" ht="14.5" x14ac:dyDescent="0.35">
      <c r="A35" s="635" t="s">
        <v>2150</v>
      </c>
      <c r="B35" s="629" t="s">
        <v>2033</v>
      </c>
      <c r="C35" s="637" t="s">
        <v>2001</v>
      </c>
      <c r="D35" s="630">
        <v>600</v>
      </c>
      <c r="E35" s="631">
        <v>1</v>
      </c>
      <c r="F35" s="634">
        <f t="shared" si="0"/>
        <v>600</v>
      </c>
      <c r="G35" s="505">
        <v>21.85</v>
      </c>
      <c r="H35" s="633">
        <v>0.2</v>
      </c>
      <c r="I35" s="309" t="s">
        <v>2066</v>
      </c>
      <c r="J35" s="920"/>
      <c r="K35" s="119"/>
      <c r="L35" s="119"/>
      <c r="M35" s="119"/>
      <c r="N35" s="119"/>
      <c r="O35" s="119"/>
      <c r="P35" s="119"/>
      <c r="R35" s="137"/>
    </row>
    <row r="36" spans="1:18" ht="14.5" x14ac:dyDescent="0.35">
      <c r="A36" s="326" t="s">
        <v>2201</v>
      </c>
      <c r="B36" s="119"/>
      <c r="C36" s="638"/>
      <c r="D36" s="639"/>
      <c r="E36" s="432"/>
      <c r="F36" s="305"/>
      <c r="G36" s="640"/>
      <c r="H36" s="641"/>
      <c r="I36" s="432"/>
      <c r="J36" s="119"/>
      <c r="K36" s="119"/>
      <c r="L36" s="119"/>
      <c r="M36" s="119"/>
      <c r="N36" s="119"/>
      <c r="O36" s="119"/>
      <c r="P36" s="119"/>
      <c r="R36" s="137"/>
    </row>
    <row r="37" spans="1:18" ht="14.75" customHeight="1" x14ac:dyDescent="0.35">
      <c r="A37" s="550" t="s">
        <v>2067</v>
      </c>
      <c r="B37" s="161"/>
      <c r="C37" s="119"/>
      <c r="D37" s="644"/>
      <c r="E37" s="644"/>
      <c r="F37" s="644"/>
      <c r="G37" s="644"/>
      <c r="H37" s="119"/>
      <c r="I37" s="119"/>
      <c r="J37" s="119"/>
      <c r="K37" s="119"/>
      <c r="L37" s="119"/>
      <c r="M37" s="119"/>
      <c r="N37" s="119"/>
      <c r="O37" s="119"/>
      <c r="P37" s="119"/>
      <c r="R37" s="137"/>
    </row>
    <row r="38" spans="1:18" ht="14.75" customHeight="1" x14ac:dyDescent="0.5">
      <c r="A38"/>
      <c r="B38" s="132"/>
      <c r="C38" s="118"/>
      <c r="D38" s="118"/>
      <c r="E38" s="118"/>
      <c r="F38" s="118"/>
      <c r="G38" s="118"/>
      <c r="H38" s="119"/>
      <c r="I38" s="118"/>
      <c r="J38" s="119"/>
      <c r="K38" s="119"/>
      <c r="L38" s="119"/>
      <c r="M38" s="119"/>
      <c r="N38" s="119"/>
      <c r="O38" s="119"/>
      <c r="P38" s="119"/>
      <c r="R38" s="137"/>
    </row>
    <row r="39" spans="1:18" ht="14.75" customHeight="1" x14ac:dyDescent="0.5">
      <c r="A39" s="432"/>
      <c r="B39" s="132"/>
      <c r="C39" s="118"/>
      <c r="D39" s="118"/>
      <c r="E39" s="118"/>
      <c r="F39" s="118"/>
      <c r="G39" s="118"/>
      <c r="H39" s="119"/>
      <c r="I39" s="118"/>
      <c r="J39" s="119"/>
      <c r="K39" s="119"/>
      <c r="L39" s="119"/>
      <c r="M39" s="119"/>
      <c r="N39" s="119"/>
      <c r="O39" s="119"/>
      <c r="P39" s="119"/>
      <c r="Q39" s="118"/>
      <c r="R39" s="137"/>
    </row>
    <row r="40" spans="1:18" ht="17.25" customHeight="1" x14ac:dyDescent="0.5">
      <c r="A40" s="472" t="str">
        <f>A17</f>
        <v xml:space="preserve">amivantamab plus lazertinib </v>
      </c>
      <c r="B40" s="473"/>
      <c r="C40" s="433"/>
      <c r="D40" s="433"/>
      <c r="E40" s="433"/>
      <c r="F40" s="433"/>
      <c r="G40" s="433"/>
      <c r="H40" s="433"/>
      <c r="I40" s="433"/>
      <c r="J40" s="433"/>
      <c r="K40" s="433"/>
      <c r="L40" s="433"/>
      <c r="M40" s="433"/>
      <c r="N40" s="433"/>
      <c r="O40" s="433"/>
      <c r="P40" s="474"/>
      <c r="Q40" s="118"/>
      <c r="R40" s="137"/>
    </row>
    <row r="41" spans="1:18" ht="14.75" customHeight="1" thickBot="1" x14ac:dyDescent="0.55000000000000004">
      <c r="A41" s="132"/>
      <c r="B41" s="132"/>
      <c r="C41" s="119"/>
      <c r="D41" s="119"/>
      <c r="E41" s="119"/>
      <c r="F41" s="119"/>
      <c r="G41" s="119"/>
      <c r="H41" s="119"/>
      <c r="I41" s="119"/>
      <c r="J41" s="119"/>
      <c r="K41" s="119"/>
      <c r="L41" s="119"/>
      <c r="M41" s="119"/>
      <c r="N41" s="119"/>
      <c r="O41" s="119"/>
      <c r="P41" s="514"/>
      <c r="Q41" s="118"/>
      <c r="R41" s="137"/>
    </row>
    <row r="42" spans="1:18" s="185" customFormat="1" ht="14.5" x14ac:dyDescent="0.35">
      <c r="A42" s="515" t="s">
        <v>2169</v>
      </c>
      <c r="B42" s="818" t="s">
        <v>2036</v>
      </c>
      <c r="C42" s="819"/>
      <c r="D42" s="819"/>
      <c r="E42" s="819"/>
      <c r="F42" s="819"/>
      <c r="G42" s="826" t="s">
        <v>2068</v>
      </c>
      <c r="H42" s="819"/>
      <c r="I42" s="819"/>
      <c r="J42" s="819"/>
      <c r="K42" s="819"/>
      <c r="L42" s="819"/>
      <c r="M42" s="819"/>
      <c r="N42" s="819"/>
      <c r="O42" s="819"/>
      <c r="P42" s="820"/>
      <c r="Q42" s="118"/>
      <c r="R42" s="744"/>
    </row>
    <row r="43" spans="1:18" s="185" customFormat="1" ht="66" customHeight="1" x14ac:dyDescent="0.35">
      <c r="A43" s="188" t="s">
        <v>1888</v>
      </c>
      <c r="B43" s="821" t="s">
        <v>2035</v>
      </c>
      <c r="C43" s="189" t="s">
        <v>1858</v>
      </c>
      <c r="D43" s="189" t="s">
        <v>1859</v>
      </c>
      <c r="E43" s="189" t="s">
        <v>1860</v>
      </c>
      <c r="F43" s="823" t="s">
        <v>1861</v>
      </c>
      <c r="G43" s="189" t="s">
        <v>1889</v>
      </c>
      <c r="H43" s="189" t="s">
        <v>2000</v>
      </c>
      <c r="I43" s="189" t="s">
        <v>2002</v>
      </c>
      <c r="J43" s="189" t="s">
        <v>1892</v>
      </c>
      <c r="K43" s="189" t="s">
        <v>1893</v>
      </c>
      <c r="L43" s="189" t="s">
        <v>1894</v>
      </c>
      <c r="M43" s="186" t="s">
        <v>1895</v>
      </c>
      <c r="N43" s="186" t="s">
        <v>2161</v>
      </c>
      <c r="O43" s="189" t="s">
        <v>2069</v>
      </c>
      <c r="P43" s="822" t="s">
        <v>1896</v>
      </c>
      <c r="Q43" s="118"/>
      <c r="R43" s="744"/>
    </row>
    <row r="44" spans="1:18" s="185" customFormat="1" ht="14.5" x14ac:dyDescent="0.35">
      <c r="A44" s="320" t="s">
        <v>2164</v>
      </c>
      <c r="B44" s="852" t="str">
        <f>B29</f>
        <v>Subcutaneous injection</v>
      </c>
      <c r="C44" s="806" t="str">
        <f>C29</f>
        <v xml:space="preserve">solution for injection </v>
      </c>
      <c r="D44" s="807">
        <f>D29</f>
        <v>1600</v>
      </c>
      <c r="E44" s="808">
        <f>E29</f>
        <v>1</v>
      </c>
      <c r="F44" s="835">
        <f>F29</f>
        <v>1600</v>
      </c>
      <c r="G44" s="913">
        <f>1600</f>
        <v>1600</v>
      </c>
      <c r="H44" s="309">
        <v>1</v>
      </c>
      <c r="I44" s="533">
        <v>4</v>
      </c>
      <c r="J44" s="814">
        <f>I44*H44*G44</f>
        <v>6400</v>
      </c>
      <c r="K44" s="815">
        <f>J44/F44</f>
        <v>4</v>
      </c>
      <c r="L44" s="812">
        <f>G29</f>
        <v>0</v>
      </c>
      <c r="M44" s="813">
        <f>H29</f>
        <v>0.2</v>
      </c>
      <c r="N44" s="648">
        <v>0.88</v>
      </c>
      <c r="O44" s="648">
        <v>1</v>
      </c>
      <c r="P44" s="917">
        <f>(K44*L44+(K44*L44*M44))*N44</f>
        <v>0</v>
      </c>
      <c r="Q44" s="118"/>
      <c r="R44" s="744"/>
    </row>
    <row r="45" spans="1:18" s="185" customFormat="1" ht="14.5" x14ac:dyDescent="0.35">
      <c r="A45" s="320" t="s">
        <v>2162</v>
      </c>
      <c r="B45" s="852" t="str">
        <f t="shared" ref="B45:F46" si="1">B29</f>
        <v>Subcutaneous injection</v>
      </c>
      <c r="C45" s="805" t="str">
        <f t="shared" si="1"/>
        <v xml:space="preserve">solution for injection </v>
      </c>
      <c r="D45" s="809">
        <f t="shared" si="1"/>
        <v>1600</v>
      </c>
      <c r="E45" s="810">
        <f t="shared" si="1"/>
        <v>1</v>
      </c>
      <c r="F45" s="834">
        <f t="shared" si="1"/>
        <v>1600</v>
      </c>
      <c r="G45" s="913">
        <v>1600</v>
      </c>
      <c r="H45" s="309">
        <v>1</v>
      </c>
      <c r="I45" s="533">
        <v>22</v>
      </c>
      <c r="J45" s="814">
        <f>G45*H45*I45</f>
        <v>35200</v>
      </c>
      <c r="K45" s="815">
        <f>J45/F45</f>
        <v>22</v>
      </c>
      <c r="L45" s="812">
        <f>G29</f>
        <v>0</v>
      </c>
      <c r="M45" s="813">
        <f>H29</f>
        <v>0.2</v>
      </c>
      <c r="N45" s="648">
        <v>0.88</v>
      </c>
      <c r="O45" s="648">
        <v>1</v>
      </c>
      <c r="P45" s="917">
        <f>(K45*L45+(K45*L45*M45))*N45</f>
        <v>0</v>
      </c>
      <c r="Q45" s="118"/>
      <c r="R45" s="744"/>
    </row>
    <row r="46" spans="1:18" s="185" customFormat="1" ht="14.5" x14ac:dyDescent="0.35">
      <c r="A46" s="320" t="s">
        <v>2165</v>
      </c>
      <c r="B46" s="852" t="str">
        <f t="shared" si="1"/>
        <v>Subcutaneous injection</v>
      </c>
      <c r="C46" s="805" t="str">
        <f t="shared" si="1"/>
        <v xml:space="preserve">solution for injection </v>
      </c>
      <c r="D46" s="809">
        <f t="shared" si="1"/>
        <v>2240</v>
      </c>
      <c r="E46" s="810">
        <f t="shared" si="1"/>
        <v>1</v>
      </c>
      <c r="F46" s="834">
        <f t="shared" si="1"/>
        <v>2240</v>
      </c>
      <c r="G46" s="913">
        <f>2240</f>
        <v>2240</v>
      </c>
      <c r="H46" s="309">
        <v>4</v>
      </c>
      <c r="I46" s="533">
        <v>4</v>
      </c>
      <c r="J46" s="814">
        <f>I46*H46*G46</f>
        <v>35840</v>
      </c>
      <c r="K46" s="815">
        <f t="shared" ref="K46:K47" si="2">J46/F46</f>
        <v>16</v>
      </c>
      <c r="L46" s="812">
        <f>G30</f>
        <v>0</v>
      </c>
      <c r="M46" s="813">
        <f>H30</f>
        <v>0.2</v>
      </c>
      <c r="N46" s="648">
        <v>0.12</v>
      </c>
      <c r="O46" s="648">
        <v>1</v>
      </c>
      <c r="P46" s="917">
        <f t="shared" ref="P46:P47" si="3">(K46*L46+(K46*L46*M46))*N46</f>
        <v>0</v>
      </c>
      <c r="Q46" s="118"/>
      <c r="R46" s="744"/>
    </row>
    <row r="47" spans="1:18" s="185" customFormat="1" ht="14.5" x14ac:dyDescent="0.35">
      <c r="A47" s="916" t="s">
        <v>2163</v>
      </c>
      <c r="B47" s="852" t="str">
        <f>B30</f>
        <v>Subcutaneous injection</v>
      </c>
      <c r="C47" s="805" t="str">
        <f>C30</f>
        <v xml:space="preserve">solution for injection </v>
      </c>
      <c r="D47" s="809">
        <f>D30</f>
        <v>2240</v>
      </c>
      <c r="E47" s="810">
        <f>E30</f>
        <v>1</v>
      </c>
      <c r="F47" s="834">
        <f>F30</f>
        <v>2240</v>
      </c>
      <c r="G47" s="913">
        <v>2240</v>
      </c>
      <c r="H47" s="309">
        <v>1</v>
      </c>
      <c r="I47" s="533">
        <v>22</v>
      </c>
      <c r="J47" s="814">
        <f>I47*H47*G47</f>
        <v>49280</v>
      </c>
      <c r="K47" s="815">
        <f t="shared" si="2"/>
        <v>22</v>
      </c>
      <c r="L47" s="812">
        <f>G30</f>
        <v>0</v>
      </c>
      <c r="M47" s="813">
        <v>0.2</v>
      </c>
      <c r="N47" s="648">
        <v>0.12</v>
      </c>
      <c r="O47" s="648">
        <v>1</v>
      </c>
      <c r="P47" s="917">
        <f t="shared" si="3"/>
        <v>0</v>
      </c>
      <c r="Q47" s="118"/>
      <c r="R47" s="744"/>
    </row>
    <row r="48" spans="1:18" s="185" customFormat="1" ht="15" thickBot="1" x14ac:dyDescent="0.4">
      <c r="A48" s="916" t="s">
        <v>2143</v>
      </c>
      <c r="B48" s="853" t="s">
        <v>1989</v>
      </c>
      <c r="C48" s="844" t="str">
        <f>C32</f>
        <v>tablet</v>
      </c>
      <c r="D48" s="845">
        <f>D32</f>
        <v>80</v>
      </c>
      <c r="E48" s="846">
        <f>E32</f>
        <v>56</v>
      </c>
      <c r="F48" s="847">
        <f>F32</f>
        <v>4480</v>
      </c>
      <c r="G48" s="915">
        <v>240</v>
      </c>
      <c r="H48" s="828">
        <v>28</v>
      </c>
      <c r="I48" s="829">
        <v>13.04</v>
      </c>
      <c r="J48" s="848">
        <f>I48*H48*G48</f>
        <v>87628.800000000003</v>
      </c>
      <c r="K48" s="849">
        <f>J48/F48</f>
        <v>19.560000000000002</v>
      </c>
      <c r="L48" s="850">
        <f>G32</f>
        <v>0</v>
      </c>
      <c r="M48" s="851">
        <f>H32</f>
        <v>0.2</v>
      </c>
      <c r="N48" s="830">
        <v>1</v>
      </c>
      <c r="O48" s="830">
        <v>1</v>
      </c>
      <c r="P48" s="918">
        <f>K48*L48*(1+M48)*O48</f>
        <v>0</v>
      </c>
      <c r="Q48" s="118"/>
      <c r="R48" s="744"/>
    </row>
    <row r="49" spans="1:18" s="185" customFormat="1" ht="15" thickBot="1" x14ac:dyDescent="0.4">
      <c r="A49" s="190" t="s">
        <v>1897</v>
      </c>
      <c r="B49" s="321"/>
      <c r="C49" s="321"/>
      <c r="D49" s="321"/>
      <c r="E49" s="321"/>
      <c r="F49" s="321"/>
      <c r="G49" s="321"/>
      <c r="H49" s="321"/>
      <c r="I49" s="825"/>
      <c r="J49" s="825"/>
      <c r="K49" s="825"/>
      <c r="L49" s="321"/>
      <c r="M49" s="321"/>
      <c r="N49" s="321"/>
      <c r="O49" s="825"/>
      <c r="P49" s="862">
        <f>SUM(P44:P48)</f>
        <v>0</v>
      </c>
      <c r="Q49" s="118"/>
      <c r="R49" s="744"/>
    </row>
    <row r="50" spans="1:18" s="185" customFormat="1" ht="14.5" x14ac:dyDescent="0.35">
      <c r="A50" s="187"/>
      <c r="B50" s="187"/>
      <c r="C50" s="187"/>
      <c r="D50" s="187"/>
      <c r="E50" s="187"/>
      <c r="F50" s="187"/>
      <c r="G50" s="187"/>
      <c r="H50" s="187"/>
      <c r="I50" s="187"/>
      <c r="J50" s="187"/>
      <c r="K50" s="187"/>
      <c r="L50" s="187"/>
      <c r="M50" s="187"/>
      <c r="N50" s="187"/>
      <c r="O50" s="187"/>
      <c r="P50" s="919"/>
      <c r="Q50" s="744"/>
      <c r="R50" s="744"/>
    </row>
    <row r="51" spans="1:18" s="185" customFormat="1" ht="14.5" x14ac:dyDescent="0.35">
      <c r="A51" s="601" t="s">
        <v>1898</v>
      </c>
      <c r="B51" s="187"/>
      <c r="C51" s="153"/>
      <c r="D51" s="102"/>
      <c r="E51" s="154"/>
      <c r="F51" s="155"/>
      <c r="G51" s="5"/>
      <c r="H51" s="155"/>
      <c r="I51" s="155"/>
      <c r="J51" s="155"/>
      <c r="K51" s="155"/>
      <c r="L51" s="187"/>
      <c r="M51" s="187"/>
      <c r="N51" s="187"/>
      <c r="O51" s="187"/>
      <c r="P51" s="791"/>
      <c r="Q51" s="744"/>
      <c r="R51" s="744"/>
    </row>
    <row r="52" spans="1:18" s="185" customFormat="1" ht="29" x14ac:dyDescent="0.35">
      <c r="A52" s="526" t="s">
        <v>1899</v>
      </c>
      <c r="B52" s="188" t="s">
        <v>1900</v>
      </c>
      <c r="C52" s="191" t="s">
        <v>1901</v>
      </c>
      <c r="D52" s="227"/>
      <c r="E52" s="228"/>
      <c r="F52" s="228"/>
      <c r="G52" s="228"/>
      <c r="H52" s="228"/>
      <c r="I52" s="229"/>
      <c r="J52" s="228"/>
      <c r="K52" s="228"/>
      <c r="L52" s="228"/>
      <c r="M52" s="228"/>
      <c r="N52" s="189" t="s">
        <v>1891</v>
      </c>
      <c r="O52" s="186" t="s">
        <v>1902</v>
      </c>
      <c r="P52" s="189" t="s">
        <v>1896</v>
      </c>
      <c r="Q52" s="119"/>
      <c r="R52" s="744"/>
    </row>
    <row r="53" spans="1:18" s="185" customFormat="1" ht="14.5" x14ac:dyDescent="0.35">
      <c r="A53" s="320" t="str">
        <f>A40</f>
        <v xml:space="preserve">amivantamab plus lazertinib </v>
      </c>
      <c r="B53" s="435" t="s">
        <v>2170</v>
      </c>
      <c r="C53" s="311" t="s">
        <v>2171</v>
      </c>
      <c r="D53" s="312"/>
      <c r="E53" s="313"/>
      <c r="F53" s="314"/>
      <c r="G53" s="314"/>
      <c r="H53" s="314"/>
      <c r="I53" s="313"/>
      <c r="J53" s="313"/>
      <c r="K53" s="313"/>
      <c r="L53" s="313"/>
      <c r="M53" s="313"/>
      <c r="N53" s="310">
        <f>K44+K45</f>
        <v>26</v>
      </c>
      <c r="O53" s="316">
        <v>184</v>
      </c>
      <c r="P53" s="649">
        <f>O53*N53</f>
        <v>4784</v>
      </c>
      <c r="Q53" s="119"/>
      <c r="R53" s="744"/>
    </row>
    <row r="54" spans="1:18" s="185" customFormat="1" ht="14.5" x14ac:dyDescent="0.35">
      <c r="A54" t="s">
        <v>2166</v>
      </c>
      <c r="B54" s="187"/>
      <c r="C54" s="187"/>
      <c r="D54" s="187"/>
      <c r="E54" s="187"/>
      <c r="F54" s="187"/>
      <c r="G54" s="187"/>
      <c r="H54" s="187"/>
      <c r="I54" s="187"/>
      <c r="J54" s="187"/>
      <c r="K54" s="187"/>
      <c r="L54" s="187"/>
      <c r="M54" s="187"/>
      <c r="N54" s="187"/>
      <c r="O54" s="187"/>
      <c r="P54" s="187"/>
      <c r="Q54" s="744"/>
      <c r="R54" s="744"/>
    </row>
    <row r="55" spans="1:18" s="185" customFormat="1" ht="14.5" x14ac:dyDescent="0.35">
      <c r="A55" s="694" t="s">
        <v>2167</v>
      </c>
      <c r="B55" s="187"/>
      <c r="C55" s="187"/>
      <c r="D55" s="187"/>
      <c r="E55" s="187"/>
      <c r="F55" s="187"/>
      <c r="G55" s="187"/>
      <c r="H55" s="187"/>
      <c r="I55" s="187"/>
      <c r="J55" s="187"/>
      <c r="K55" s="187"/>
      <c r="L55" s="187"/>
      <c r="M55" s="187"/>
      <c r="N55" s="187"/>
      <c r="O55" s="187"/>
      <c r="P55" s="187"/>
      <c r="Q55" s="744"/>
      <c r="R55" s="744"/>
    </row>
    <row r="56" spans="1:18" s="185" customFormat="1" ht="14.5" x14ac:dyDescent="0.35">
      <c r="A56" s="752" t="s">
        <v>2168</v>
      </c>
      <c r="B56" s="187"/>
      <c r="C56" s="187"/>
      <c r="D56" s="187"/>
      <c r="E56" s="187"/>
      <c r="F56" s="187"/>
      <c r="G56" s="187"/>
      <c r="H56" s="187"/>
      <c r="I56" s="187"/>
      <c r="J56" s="187"/>
      <c r="K56" s="187"/>
      <c r="L56" s="187"/>
      <c r="M56" s="187"/>
      <c r="N56" s="187"/>
      <c r="O56" s="187"/>
      <c r="P56" s="187"/>
      <c r="Q56" s="744"/>
      <c r="R56" s="744"/>
    </row>
    <row r="57" spans="1:18" s="185" customFormat="1" ht="14.5" x14ac:dyDescent="0.35">
      <c r="A57" s="162"/>
      <c r="B57" s="187"/>
      <c r="C57" s="187"/>
      <c r="D57" s="187"/>
      <c r="E57" s="187"/>
      <c r="F57" s="187"/>
      <c r="G57" s="187"/>
      <c r="H57" s="187"/>
      <c r="I57" s="187"/>
      <c r="J57" s="187"/>
      <c r="K57" s="187"/>
      <c r="L57" s="187"/>
      <c r="M57" s="187"/>
      <c r="N57" s="187"/>
      <c r="O57" s="187"/>
      <c r="P57" s="187"/>
      <c r="Q57" s="744"/>
      <c r="R57" s="744"/>
    </row>
    <row r="58" spans="1:18" ht="17.25" customHeight="1" x14ac:dyDescent="0.5">
      <c r="A58" s="472" t="str">
        <f>A40</f>
        <v xml:space="preserve">amivantamab plus lazertinib </v>
      </c>
      <c r="B58" s="473"/>
      <c r="C58" s="433"/>
      <c r="D58" s="433"/>
      <c r="E58" s="433"/>
      <c r="F58" s="433"/>
      <c r="G58" s="433"/>
      <c r="H58" s="433"/>
      <c r="I58" s="433"/>
      <c r="J58" s="433"/>
      <c r="K58" s="433"/>
      <c r="L58" s="433"/>
      <c r="M58" s="433"/>
      <c r="N58" s="433"/>
      <c r="O58" s="433"/>
      <c r="P58" s="474"/>
      <c r="Q58" s="118"/>
      <c r="R58" s="137"/>
    </row>
    <row r="59" spans="1:18" ht="14.75" customHeight="1" x14ac:dyDescent="0.5">
      <c r="A59" s="132"/>
      <c r="B59" s="132"/>
      <c r="C59" s="119"/>
      <c r="D59" s="119"/>
      <c r="E59" s="119"/>
      <c r="F59" s="119"/>
      <c r="G59" s="119"/>
      <c r="H59" s="119"/>
      <c r="I59" s="119"/>
      <c r="J59" s="119"/>
      <c r="K59" s="119"/>
      <c r="L59" s="119"/>
      <c r="M59" s="119"/>
      <c r="N59" s="119"/>
      <c r="O59" s="119"/>
      <c r="P59" s="514"/>
      <c r="Q59" s="118"/>
      <c r="R59" s="137"/>
    </row>
    <row r="60" spans="1:18" s="185" customFormat="1" ht="15" thickBot="1" x14ac:dyDescent="0.4">
      <c r="A60" s="515" t="s">
        <v>2172</v>
      </c>
      <c r="B60" s="623" t="s">
        <v>2036</v>
      </c>
      <c r="C60" s="645"/>
      <c r="D60" s="645"/>
      <c r="E60" s="645"/>
      <c r="F60" s="646"/>
      <c r="G60" s="623" t="s">
        <v>2068</v>
      </c>
      <c r="H60" s="645"/>
      <c r="I60" s="645"/>
      <c r="J60" s="645"/>
      <c r="K60" s="645"/>
      <c r="L60" s="645"/>
      <c r="M60" s="645"/>
      <c r="N60" s="645"/>
      <c r="O60" s="645"/>
      <c r="P60" s="646"/>
      <c r="Q60" s="118"/>
      <c r="R60" s="744"/>
    </row>
    <row r="61" spans="1:18" s="185" customFormat="1" ht="66" customHeight="1" x14ac:dyDescent="0.35">
      <c r="A61" s="186" t="s">
        <v>1888</v>
      </c>
      <c r="B61" s="837" t="s">
        <v>2035</v>
      </c>
      <c r="C61" s="838" t="s">
        <v>1858</v>
      </c>
      <c r="D61" s="838" t="s">
        <v>1859</v>
      </c>
      <c r="E61" s="838" t="s">
        <v>1860</v>
      </c>
      <c r="F61" s="839" t="s">
        <v>1861</v>
      </c>
      <c r="G61" s="838" t="s">
        <v>1889</v>
      </c>
      <c r="H61" s="838" t="s">
        <v>2000</v>
      </c>
      <c r="I61" s="838" t="s">
        <v>2002</v>
      </c>
      <c r="J61" s="838" t="s">
        <v>1892</v>
      </c>
      <c r="K61" s="838" t="s">
        <v>1893</v>
      </c>
      <c r="L61" s="838" t="s">
        <v>1894</v>
      </c>
      <c r="M61" s="840" t="s">
        <v>1895</v>
      </c>
      <c r="N61" s="840" t="s">
        <v>2161</v>
      </c>
      <c r="O61" s="838" t="s">
        <v>2069</v>
      </c>
      <c r="P61" s="841" t="s">
        <v>1896</v>
      </c>
      <c r="Q61" s="118"/>
      <c r="R61" s="744"/>
    </row>
    <row r="62" spans="1:18" s="185" customFormat="1" ht="14.5" x14ac:dyDescent="0.35">
      <c r="A62" s="842" t="s">
        <v>2174</v>
      </c>
      <c r="B62" s="805" t="str">
        <f>B45</f>
        <v>Subcutaneous injection</v>
      </c>
      <c r="C62" s="805" t="str">
        <f t="shared" ref="C62:F62" si="4">C45</f>
        <v xml:space="preserve">solution for injection </v>
      </c>
      <c r="D62" s="809">
        <f t="shared" si="4"/>
        <v>1600</v>
      </c>
      <c r="E62" s="810">
        <f t="shared" si="4"/>
        <v>1</v>
      </c>
      <c r="F62" s="834">
        <f t="shared" si="4"/>
        <v>1600</v>
      </c>
      <c r="G62" s="824">
        <v>1600</v>
      </c>
      <c r="H62" s="309">
        <v>1</v>
      </c>
      <c r="I62" s="533">
        <v>26</v>
      </c>
      <c r="J62" s="814">
        <f>G62*H62*I62</f>
        <v>41600</v>
      </c>
      <c r="K62" s="815">
        <f>J62/F62</f>
        <v>26</v>
      </c>
      <c r="L62" s="812">
        <f>G29</f>
        <v>0</v>
      </c>
      <c r="M62" s="813">
        <f>H29</f>
        <v>0.2</v>
      </c>
      <c r="N62" s="648">
        <v>0.88</v>
      </c>
      <c r="O62" s="648">
        <v>1</v>
      </c>
      <c r="P62" s="917">
        <f>(K62*L62+(K62*L62*M62))*N62</f>
        <v>0</v>
      </c>
      <c r="Q62" s="118"/>
      <c r="R62" s="744"/>
    </row>
    <row r="63" spans="1:18" s="185" customFormat="1" ht="14.5" x14ac:dyDescent="0.35">
      <c r="A63" s="921" t="s">
        <v>2173</v>
      </c>
      <c r="B63" s="805" t="str">
        <f>B46</f>
        <v>Subcutaneous injection</v>
      </c>
      <c r="C63" s="805" t="str">
        <f t="shared" ref="C63:F63" si="5">C46</f>
        <v xml:space="preserve">solution for injection </v>
      </c>
      <c r="D63" s="809">
        <f t="shared" si="5"/>
        <v>2240</v>
      </c>
      <c r="E63" s="810">
        <f t="shared" si="5"/>
        <v>1</v>
      </c>
      <c r="F63" s="834">
        <f t="shared" si="5"/>
        <v>2240</v>
      </c>
      <c r="G63" s="824">
        <v>2240</v>
      </c>
      <c r="H63" s="309">
        <v>1</v>
      </c>
      <c r="I63" s="533">
        <v>26</v>
      </c>
      <c r="J63" s="814">
        <f>I63*H63*G63</f>
        <v>58240</v>
      </c>
      <c r="K63" s="815">
        <f t="shared" ref="K63" si="6">J63/F63</f>
        <v>26</v>
      </c>
      <c r="L63" s="812">
        <f>G30</f>
        <v>0</v>
      </c>
      <c r="M63" s="813">
        <v>0.2</v>
      </c>
      <c r="N63" s="648">
        <v>0.12</v>
      </c>
      <c r="O63" s="648">
        <v>1</v>
      </c>
      <c r="P63" s="917">
        <f t="shared" ref="P63" si="7">(K63*L63+(K63*L63*M63))*N63</f>
        <v>0</v>
      </c>
      <c r="Q63" s="118"/>
      <c r="R63" s="744"/>
    </row>
    <row r="64" spans="1:18" s="185" customFormat="1" ht="15" thickBot="1" x14ac:dyDescent="0.4">
      <c r="A64" s="922" t="s">
        <v>2143</v>
      </c>
      <c r="B64" s="844" t="s">
        <v>1989</v>
      </c>
      <c r="C64" s="844" t="str">
        <f>C48</f>
        <v>tablet</v>
      </c>
      <c r="D64" s="845">
        <f>D48</f>
        <v>80</v>
      </c>
      <c r="E64" s="846">
        <f>E48</f>
        <v>56</v>
      </c>
      <c r="F64" s="847">
        <f>F48</f>
        <v>4480</v>
      </c>
      <c r="G64" s="827">
        <v>240</v>
      </c>
      <c r="H64" s="828">
        <v>28</v>
      </c>
      <c r="I64" s="829">
        <v>13.04</v>
      </c>
      <c r="J64" s="848">
        <f>I64*H64*G64</f>
        <v>87628.800000000003</v>
      </c>
      <c r="K64" s="849">
        <f>J64/F64</f>
        <v>19.560000000000002</v>
      </c>
      <c r="L64" s="850">
        <f>G32</f>
        <v>0</v>
      </c>
      <c r="M64" s="851">
        <f>H32</f>
        <v>0.2</v>
      </c>
      <c r="N64" s="830">
        <v>1</v>
      </c>
      <c r="O64" s="830">
        <v>1</v>
      </c>
      <c r="P64" s="918">
        <f>K64*L64*(1+M64)*O64</f>
        <v>0</v>
      </c>
      <c r="Q64" s="118"/>
      <c r="R64" s="744"/>
    </row>
    <row r="65" spans="1:18" s="185" customFormat="1" ht="15" thickBot="1" x14ac:dyDescent="0.4">
      <c r="A65" s="650" t="s">
        <v>1897</v>
      </c>
      <c r="B65" s="321"/>
      <c r="C65" s="321"/>
      <c r="D65" s="321"/>
      <c r="E65" s="321"/>
      <c r="F65" s="321"/>
      <c r="G65" s="321"/>
      <c r="H65" s="321"/>
      <c r="I65" s="825"/>
      <c r="J65" s="825"/>
      <c r="K65" s="825"/>
      <c r="L65" s="321"/>
      <c r="M65" s="321"/>
      <c r="N65" s="321"/>
      <c r="O65" s="825"/>
      <c r="P65" s="833">
        <f>SUM(P62:P64)</f>
        <v>0</v>
      </c>
      <c r="Q65" s="118"/>
      <c r="R65" s="744"/>
    </row>
    <row r="66" spans="1:18" s="185" customFormat="1" ht="14.5" x14ac:dyDescent="0.35">
      <c r="A66" s="187"/>
      <c r="B66" s="187"/>
      <c r="C66" s="187"/>
      <c r="D66" s="187"/>
      <c r="E66" s="187"/>
      <c r="F66" s="187"/>
      <c r="G66" s="187"/>
      <c r="H66" s="187"/>
      <c r="I66" s="187"/>
      <c r="J66" s="187"/>
      <c r="K66" s="187"/>
      <c r="L66" s="187"/>
      <c r="M66" s="187"/>
      <c r="N66" s="187"/>
      <c r="O66" s="434"/>
      <c r="P66" s="119"/>
      <c r="Q66" s="744"/>
      <c r="R66" s="744"/>
    </row>
    <row r="67" spans="1:18" s="185" customFormat="1" ht="14.5" x14ac:dyDescent="0.35">
      <c r="A67" s="601" t="s">
        <v>1898</v>
      </c>
      <c r="B67" s="187"/>
      <c r="C67" s="153"/>
      <c r="D67" s="102"/>
      <c r="E67" s="154"/>
      <c r="F67" s="155"/>
      <c r="G67" s="5"/>
      <c r="H67" s="155"/>
      <c r="I67" s="155"/>
      <c r="J67" s="155"/>
      <c r="K67" s="155"/>
      <c r="L67" s="187"/>
      <c r="M67" s="187"/>
      <c r="N67" s="187"/>
      <c r="O67" s="434"/>
      <c r="P67" s="119"/>
      <c r="Q67" s="744"/>
      <c r="R67" s="744"/>
    </row>
    <row r="68" spans="1:18" s="185" customFormat="1" ht="29" x14ac:dyDescent="0.35">
      <c r="A68" s="526" t="s">
        <v>1899</v>
      </c>
      <c r="B68" s="188" t="s">
        <v>1900</v>
      </c>
      <c r="C68" s="191" t="s">
        <v>1901</v>
      </c>
      <c r="D68" s="227"/>
      <c r="E68" s="228"/>
      <c r="F68" s="228"/>
      <c r="G68" s="228"/>
      <c r="H68" s="228"/>
      <c r="I68" s="229"/>
      <c r="J68" s="228"/>
      <c r="K68" s="228"/>
      <c r="L68" s="228"/>
      <c r="M68" s="228"/>
      <c r="N68" s="189" t="s">
        <v>1891</v>
      </c>
      <c r="O68" s="186" t="s">
        <v>1902</v>
      </c>
      <c r="P68" s="189" t="s">
        <v>1896</v>
      </c>
      <c r="Q68" s="119"/>
      <c r="R68" s="744"/>
    </row>
    <row r="69" spans="1:18" s="185" customFormat="1" ht="14.5" x14ac:dyDescent="0.35">
      <c r="A69" s="320" t="str">
        <f>A58</f>
        <v xml:space="preserve">amivantamab plus lazertinib </v>
      </c>
      <c r="B69" s="435" t="s">
        <v>2170</v>
      </c>
      <c r="C69" s="311" t="s">
        <v>2171</v>
      </c>
      <c r="D69" s="312"/>
      <c r="E69" s="313"/>
      <c r="F69" s="314"/>
      <c r="G69" s="314"/>
      <c r="H69" s="314"/>
      <c r="I69" s="313"/>
      <c r="J69" s="313"/>
      <c r="K69" s="313"/>
      <c r="L69" s="313"/>
      <c r="M69" s="313"/>
      <c r="N69" s="310">
        <f>I62</f>
        <v>26</v>
      </c>
      <c r="O69" s="316">
        <v>184</v>
      </c>
      <c r="P69" s="649">
        <f>O69*N69</f>
        <v>4784</v>
      </c>
      <c r="Q69" s="119"/>
      <c r="R69" s="744"/>
    </row>
    <row r="70" spans="1:18" s="185" customFormat="1" ht="14.5" x14ac:dyDescent="0.35">
      <c r="A70" t="s">
        <v>2166</v>
      </c>
      <c r="B70" s="187"/>
      <c r="C70" s="187"/>
      <c r="D70" s="187"/>
      <c r="E70" s="187"/>
      <c r="F70" s="187"/>
      <c r="G70" s="187"/>
      <c r="H70" s="187"/>
      <c r="I70" s="187"/>
      <c r="J70" s="187"/>
      <c r="K70" s="187"/>
      <c r="L70" s="187"/>
      <c r="M70" s="187"/>
      <c r="N70" s="187"/>
      <c r="O70" s="187"/>
      <c r="P70" s="187"/>
      <c r="Q70" s="744"/>
      <c r="R70" s="744"/>
    </row>
    <row r="71" spans="1:18" s="185" customFormat="1" ht="14.5" x14ac:dyDescent="0.35">
      <c r="A71" s="694" t="s">
        <v>2167</v>
      </c>
      <c r="B71" s="187"/>
      <c r="C71" s="187"/>
      <c r="D71" s="187"/>
      <c r="E71" s="187"/>
      <c r="F71" s="187"/>
      <c r="G71" s="187"/>
      <c r="H71" s="187"/>
      <c r="I71" s="187"/>
      <c r="J71" s="187"/>
      <c r="K71" s="187"/>
      <c r="L71" s="187"/>
      <c r="M71" s="187"/>
      <c r="N71" s="187"/>
      <c r="O71" s="187"/>
      <c r="P71" s="187"/>
      <c r="Q71" s="744"/>
      <c r="R71" s="744"/>
    </row>
    <row r="72" spans="1:18" s="185" customFormat="1" ht="14.5" x14ac:dyDescent="0.35">
      <c r="A72" s="752" t="s">
        <v>2168</v>
      </c>
      <c r="B72" s="187"/>
      <c r="C72" s="187"/>
      <c r="D72" s="187"/>
      <c r="E72" s="187"/>
      <c r="F72" s="187"/>
      <c r="G72" s="187"/>
      <c r="H72" s="187"/>
      <c r="I72" s="187"/>
      <c r="J72" s="187"/>
      <c r="K72" s="187"/>
      <c r="L72" s="187"/>
      <c r="M72" s="187"/>
      <c r="N72" s="187"/>
      <c r="O72" s="187"/>
      <c r="P72" s="187"/>
      <c r="Q72" s="744"/>
      <c r="R72" s="744"/>
    </row>
    <row r="73" spans="1:18" s="185" customFormat="1" ht="14.5" x14ac:dyDescent="0.35">
      <c r="A73" s="752"/>
      <c r="B73" s="187"/>
      <c r="C73" s="187"/>
      <c r="D73" s="187"/>
      <c r="E73" s="187"/>
      <c r="F73" s="187"/>
      <c r="G73" s="187"/>
      <c r="H73" s="187"/>
      <c r="I73" s="187"/>
      <c r="J73" s="187"/>
      <c r="K73" s="187"/>
      <c r="L73" s="187"/>
      <c r="M73" s="187"/>
      <c r="N73" s="187"/>
      <c r="O73" s="187"/>
      <c r="P73" s="187"/>
      <c r="Q73" s="744"/>
      <c r="R73" s="744"/>
    </row>
    <row r="74" spans="1:18" ht="17.25" customHeight="1" x14ac:dyDescent="0.5">
      <c r="A74" s="472" t="str">
        <f>A58</f>
        <v xml:space="preserve">amivantamab plus lazertinib </v>
      </c>
      <c r="B74" s="473"/>
      <c r="C74" s="433"/>
      <c r="D74" s="433"/>
      <c r="E74" s="433"/>
      <c r="F74" s="433"/>
      <c r="G74" s="433"/>
      <c r="H74" s="433"/>
      <c r="I74" s="433"/>
      <c r="J74" s="433"/>
      <c r="K74" s="433"/>
      <c r="L74" s="433"/>
      <c r="M74" s="433"/>
      <c r="N74" s="433"/>
      <c r="O74" s="433"/>
      <c r="P74" s="474"/>
      <c r="Q74" s="118"/>
      <c r="R74" s="137"/>
    </row>
    <row r="75" spans="1:18" ht="14.75" customHeight="1" thickBot="1" x14ac:dyDescent="0.55000000000000004">
      <c r="A75" s="132"/>
      <c r="B75" s="132"/>
      <c r="C75" s="119"/>
      <c r="D75" s="119"/>
      <c r="E75" s="119"/>
      <c r="F75" s="119"/>
      <c r="G75" s="119"/>
      <c r="H75" s="119"/>
      <c r="I75" s="119"/>
      <c r="J75" s="119"/>
      <c r="K75" s="119"/>
      <c r="L75" s="119"/>
      <c r="M75" s="119"/>
      <c r="N75" s="119"/>
      <c r="O75" s="119"/>
      <c r="P75" s="514"/>
      <c r="Q75" s="118"/>
      <c r="R75" s="137"/>
    </row>
    <row r="76" spans="1:18" s="185" customFormat="1" ht="15" thickBot="1" x14ac:dyDescent="0.4">
      <c r="A76" s="515" t="s">
        <v>2175</v>
      </c>
      <c r="B76" s="818" t="s">
        <v>2036</v>
      </c>
      <c r="C76" s="819"/>
      <c r="D76" s="819"/>
      <c r="E76" s="819"/>
      <c r="F76" s="819"/>
      <c r="G76" s="826" t="s">
        <v>2068</v>
      </c>
      <c r="H76" s="819"/>
      <c r="I76" s="819"/>
      <c r="J76" s="819"/>
      <c r="K76" s="819"/>
      <c r="L76" s="819"/>
      <c r="M76" s="819"/>
      <c r="N76" s="819"/>
      <c r="O76" s="819"/>
      <c r="P76" s="820"/>
      <c r="Q76" s="118"/>
      <c r="R76" s="744"/>
    </row>
    <row r="77" spans="1:18" s="185" customFormat="1" ht="66" customHeight="1" x14ac:dyDescent="0.35">
      <c r="A77" s="831" t="s">
        <v>1888</v>
      </c>
      <c r="B77" s="817" t="s">
        <v>2035</v>
      </c>
      <c r="C77" s="189" t="s">
        <v>1858</v>
      </c>
      <c r="D77" s="189" t="s">
        <v>1859</v>
      </c>
      <c r="E77" s="189" t="s">
        <v>1860</v>
      </c>
      <c r="F77" s="823" t="s">
        <v>1861</v>
      </c>
      <c r="G77" s="189" t="s">
        <v>1889</v>
      </c>
      <c r="H77" s="189" t="s">
        <v>2000</v>
      </c>
      <c r="I77" s="189" t="s">
        <v>2002</v>
      </c>
      <c r="J77" s="189" t="s">
        <v>1892</v>
      </c>
      <c r="K77" s="189" t="s">
        <v>1893</v>
      </c>
      <c r="L77" s="189" t="s">
        <v>1894</v>
      </c>
      <c r="M77" s="186" t="s">
        <v>1895</v>
      </c>
      <c r="N77" s="186" t="s">
        <v>2161</v>
      </c>
      <c r="O77" s="189" t="s">
        <v>2069</v>
      </c>
      <c r="P77" s="822" t="s">
        <v>1896</v>
      </c>
      <c r="Q77" s="118"/>
      <c r="R77" s="744"/>
    </row>
    <row r="78" spans="1:18" s="185" customFormat="1" ht="14.5" x14ac:dyDescent="0.35">
      <c r="A78" s="832" t="s">
        <v>2174</v>
      </c>
      <c r="B78" s="836" t="str">
        <f>B62</f>
        <v>Subcutaneous injection</v>
      </c>
      <c r="C78" s="805" t="str">
        <f>C62</f>
        <v xml:space="preserve">solution for injection </v>
      </c>
      <c r="D78" s="809">
        <f t="shared" ref="D78:G78" si="8">D62</f>
        <v>1600</v>
      </c>
      <c r="E78" s="810">
        <f t="shared" si="8"/>
        <v>1</v>
      </c>
      <c r="F78" s="834">
        <f t="shared" si="8"/>
        <v>1600</v>
      </c>
      <c r="G78" s="914">
        <f t="shared" si="8"/>
        <v>1600</v>
      </c>
      <c r="H78" s="751">
        <v>1</v>
      </c>
      <c r="I78" s="533">
        <v>6.5</v>
      </c>
      <c r="J78" s="810">
        <f>G78*H78*I78</f>
        <v>10400</v>
      </c>
      <c r="K78" s="815">
        <f>J78/F78</f>
        <v>6.5</v>
      </c>
      <c r="L78" s="812">
        <f>G29</f>
        <v>0</v>
      </c>
      <c r="M78" s="813">
        <f>H29</f>
        <v>0.2</v>
      </c>
      <c r="N78" s="648">
        <v>0.88</v>
      </c>
      <c r="O78" s="648">
        <v>1</v>
      </c>
      <c r="P78" s="917">
        <f>(K78*L78+(K78*L78*M78))*N78</f>
        <v>0</v>
      </c>
      <c r="Q78" s="118"/>
      <c r="R78" s="744"/>
    </row>
    <row r="79" spans="1:18" s="185" customFormat="1" ht="14.5" x14ac:dyDescent="0.35">
      <c r="A79" s="923" t="s">
        <v>2173</v>
      </c>
      <c r="B79" s="836" t="str">
        <f>B63</f>
        <v>Subcutaneous injection</v>
      </c>
      <c r="C79" s="805" t="str">
        <f t="shared" ref="C79:E79" si="9">C62</f>
        <v xml:space="preserve">solution for injection </v>
      </c>
      <c r="D79" s="809">
        <f>D30</f>
        <v>2240</v>
      </c>
      <c r="E79" s="810">
        <f t="shared" si="9"/>
        <v>1</v>
      </c>
      <c r="F79" s="834">
        <f>F46</f>
        <v>2240</v>
      </c>
      <c r="G79" s="913">
        <v>2240</v>
      </c>
      <c r="H79" s="309">
        <v>1</v>
      </c>
      <c r="I79" s="533">
        <v>6.5</v>
      </c>
      <c r="J79" s="814">
        <f>I79*H79*G79</f>
        <v>14560</v>
      </c>
      <c r="K79" s="815">
        <f>J79/F79</f>
        <v>6.5</v>
      </c>
      <c r="L79" s="812">
        <f>G30</f>
        <v>0</v>
      </c>
      <c r="M79" s="813">
        <f>H30</f>
        <v>0.2</v>
      </c>
      <c r="N79" s="648">
        <v>0.12</v>
      </c>
      <c r="O79" s="648">
        <v>1</v>
      </c>
      <c r="P79" s="917">
        <f t="shared" ref="P79" si="10">(K79*L79+(K79*L79*M79))*N79</f>
        <v>0</v>
      </c>
      <c r="Q79" s="118"/>
      <c r="R79" s="744"/>
    </row>
    <row r="80" spans="1:18" s="185" customFormat="1" ht="15" thickBot="1" x14ac:dyDescent="0.4">
      <c r="A80" s="924" t="s">
        <v>2143</v>
      </c>
      <c r="B80" s="843" t="s">
        <v>1989</v>
      </c>
      <c r="C80" s="844" t="str">
        <f>C64</f>
        <v>tablet</v>
      </c>
      <c r="D80" s="845">
        <f>D64</f>
        <v>80</v>
      </c>
      <c r="E80" s="846">
        <f>E64</f>
        <v>56</v>
      </c>
      <c r="F80" s="847">
        <f>F64</f>
        <v>4480</v>
      </c>
      <c r="G80" s="915">
        <v>240</v>
      </c>
      <c r="H80" s="828">
        <v>28</v>
      </c>
      <c r="I80" s="829">
        <v>3.26</v>
      </c>
      <c r="J80" s="848">
        <f>I80*H80*G80</f>
        <v>21907.200000000001</v>
      </c>
      <c r="K80" s="849">
        <f>J80/F80</f>
        <v>4.8900000000000006</v>
      </c>
      <c r="L80" s="850">
        <f>G32</f>
        <v>0</v>
      </c>
      <c r="M80" s="851">
        <f>H32</f>
        <v>0.2</v>
      </c>
      <c r="N80" s="830">
        <v>1</v>
      </c>
      <c r="O80" s="830">
        <v>1</v>
      </c>
      <c r="P80" s="918">
        <f>K80*L80*(1+M80)*O80</f>
        <v>0</v>
      </c>
      <c r="Q80" s="118"/>
      <c r="R80" s="744"/>
    </row>
    <row r="81" spans="1:18" s="185" customFormat="1" ht="15" thickBot="1" x14ac:dyDescent="0.4">
      <c r="A81" s="650" t="s">
        <v>1897</v>
      </c>
      <c r="B81" s="321"/>
      <c r="C81" s="321"/>
      <c r="D81" s="321"/>
      <c r="E81" s="321"/>
      <c r="F81" s="321"/>
      <c r="G81" s="321"/>
      <c r="H81" s="321"/>
      <c r="I81" s="825"/>
      <c r="J81" s="825"/>
      <c r="K81" s="825"/>
      <c r="L81" s="321"/>
      <c r="M81" s="321"/>
      <c r="N81" s="321"/>
      <c r="O81" s="825"/>
      <c r="P81" s="833">
        <f>SUM(P78:P80)</f>
        <v>0</v>
      </c>
      <c r="Q81" s="118"/>
      <c r="R81" s="744"/>
    </row>
    <row r="82" spans="1:18" s="185" customFormat="1" ht="14.5" x14ac:dyDescent="0.35">
      <c r="A82" s="187"/>
      <c r="B82" s="187"/>
      <c r="C82" s="187"/>
      <c r="D82" s="187"/>
      <c r="E82" s="187"/>
      <c r="F82" s="187"/>
      <c r="G82" s="187"/>
      <c r="H82" s="187"/>
      <c r="I82" s="187"/>
      <c r="J82" s="187"/>
      <c r="K82" s="187"/>
      <c r="L82" s="187"/>
      <c r="M82" s="187"/>
      <c r="N82" s="187"/>
      <c r="O82" s="187"/>
      <c r="P82" s="119"/>
      <c r="Q82" s="744"/>
      <c r="R82" s="744"/>
    </row>
    <row r="83" spans="1:18" s="185" customFormat="1" ht="14.5" x14ac:dyDescent="0.35">
      <c r="A83" s="601" t="s">
        <v>1898</v>
      </c>
      <c r="B83" s="187"/>
      <c r="C83" s="153"/>
      <c r="D83" s="102"/>
      <c r="E83" s="154"/>
      <c r="F83" s="155"/>
      <c r="G83" s="5"/>
      <c r="H83" s="155"/>
      <c r="I83" s="155"/>
      <c r="J83" s="155"/>
      <c r="K83" s="155"/>
      <c r="L83" s="187"/>
      <c r="M83" s="187"/>
      <c r="N83" s="187"/>
      <c r="O83" s="187"/>
      <c r="P83" s="791"/>
      <c r="Q83" s="744"/>
      <c r="R83" s="744"/>
    </row>
    <row r="84" spans="1:18" s="185" customFormat="1" ht="29" x14ac:dyDescent="0.35">
      <c r="A84" s="526" t="s">
        <v>1899</v>
      </c>
      <c r="B84" s="188" t="s">
        <v>1900</v>
      </c>
      <c r="C84" s="191" t="s">
        <v>1901</v>
      </c>
      <c r="D84" s="227"/>
      <c r="E84" s="228"/>
      <c r="F84" s="228"/>
      <c r="G84" s="228"/>
      <c r="H84" s="228"/>
      <c r="I84" s="229"/>
      <c r="J84" s="228"/>
      <c r="K84" s="228"/>
      <c r="L84" s="228"/>
      <c r="M84" s="228"/>
      <c r="N84" s="189" t="s">
        <v>1891</v>
      </c>
      <c r="O84" s="186" t="s">
        <v>1902</v>
      </c>
      <c r="P84" s="790" t="s">
        <v>1896</v>
      </c>
      <c r="Q84" s="119"/>
      <c r="R84" s="744"/>
    </row>
    <row r="85" spans="1:18" s="185" customFormat="1" ht="14.5" x14ac:dyDescent="0.35">
      <c r="A85" s="320" t="str">
        <f>A74</f>
        <v xml:space="preserve">amivantamab plus lazertinib </v>
      </c>
      <c r="B85" s="435" t="s">
        <v>2170</v>
      </c>
      <c r="C85" s="311" t="s">
        <v>2171</v>
      </c>
      <c r="D85" s="312"/>
      <c r="E85" s="313"/>
      <c r="F85" s="314"/>
      <c r="G85" s="314"/>
      <c r="H85" s="314"/>
      <c r="I85" s="313"/>
      <c r="J85" s="313"/>
      <c r="K85" s="313"/>
      <c r="L85" s="313"/>
      <c r="M85" s="313"/>
      <c r="N85" s="310">
        <f>I78</f>
        <v>6.5</v>
      </c>
      <c r="O85" s="316">
        <v>184</v>
      </c>
      <c r="P85" s="649">
        <f>O85*N85</f>
        <v>1196</v>
      </c>
      <c r="Q85" s="119"/>
      <c r="R85" s="744"/>
    </row>
    <row r="86" spans="1:18" s="185" customFormat="1" ht="14.5" x14ac:dyDescent="0.35">
      <c r="A86" t="s">
        <v>2166</v>
      </c>
      <c r="B86" s="187"/>
      <c r="C86" s="187"/>
      <c r="D86" s="187"/>
      <c r="E86" s="187"/>
      <c r="F86" s="187"/>
      <c r="G86" s="187"/>
      <c r="H86" s="187"/>
      <c r="I86" s="187"/>
      <c r="J86" s="187"/>
      <c r="K86" s="187"/>
      <c r="L86" s="187"/>
      <c r="M86" s="187"/>
      <c r="N86" s="187"/>
      <c r="O86" s="187"/>
      <c r="P86" s="187"/>
      <c r="Q86" s="744"/>
      <c r="R86" s="744"/>
    </row>
    <row r="87" spans="1:18" s="185" customFormat="1" ht="14.5" x14ac:dyDescent="0.35">
      <c r="A87" s="694" t="s">
        <v>2167</v>
      </c>
      <c r="B87" s="187"/>
      <c r="C87" s="187"/>
      <c r="D87" s="187"/>
      <c r="E87" s="187"/>
      <c r="F87" s="187"/>
      <c r="G87" s="187"/>
      <c r="H87" s="187"/>
      <c r="I87" s="187"/>
      <c r="J87" s="187"/>
      <c r="K87" s="187"/>
      <c r="L87" s="187"/>
      <c r="M87" s="187"/>
      <c r="N87" s="187"/>
      <c r="O87" s="187"/>
      <c r="P87" s="187"/>
      <c r="Q87" s="744"/>
      <c r="R87" s="744"/>
    </row>
    <row r="88" spans="1:18" s="185" customFormat="1" ht="14.5" x14ac:dyDescent="0.35">
      <c r="A88" s="752" t="s">
        <v>2168</v>
      </c>
      <c r="B88" s="187"/>
      <c r="C88" s="187"/>
      <c r="D88" s="187"/>
      <c r="E88" s="187"/>
      <c r="F88" s="187"/>
      <c r="G88" s="187"/>
      <c r="H88" s="187"/>
      <c r="I88" s="187"/>
      <c r="J88" s="187"/>
      <c r="K88" s="187"/>
      <c r="L88" s="187"/>
      <c r="M88" s="187"/>
      <c r="N88" s="187"/>
      <c r="O88" s="187"/>
      <c r="P88" s="187"/>
      <c r="Q88" s="744"/>
      <c r="R88" s="744"/>
    </row>
    <row r="89" spans="1:18" s="185" customFormat="1" ht="14.5" x14ac:dyDescent="0.35">
      <c r="A89" s="752"/>
      <c r="B89" s="187"/>
      <c r="C89" s="187"/>
      <c r="D89" s="187"/>
      <c r="E89" s="187"/>
      <c r="F89" s="187"/>
      <c r="G89" s="187"/>
      <c r="H89" s="187"/>
      <c r="I89" s="187"/>
      <c r="J89" s="187"/>
      <c r="K89" s="187"/>
      <c r="L89" s="187"/>
      <c r="M89" s="187"/>
      <c r="N89" s="187"/>
      <c r="O89" s="187"/>
      <c r="P89" s="187"/>
      <c r="Q89" s="744"/>
      <c r="R89" s="744"/>
    </row>
    <row r="90" spans="1:18" s="185" customFormat="1" ht="14.75" customHeight="1" x14ac:dyDescent="0.5">
      <c r="A90" s="472" t="str">
        <f>A18</f>
        <v>osimertinib alone</v>
      </c>
      <c r="B90" s="473"/>
      <c r="C90" s="433"/>
      <c r="D90" s="433"/>
      <c r="E90" s="433"/>
      <c r="F90" s="433"/>
      <c r="G90" s="433"/>
      <c r="H90" s="433"/>
      <c r="I90" s="433"/>
      <c r="J90" s="433"/>
      <c r="K90" s="433"/>
      <c r="L90" s="433"/>
      <c r="M90" s="433"/>
      <c r="N90" s="433"/>
      <c r="O90" s="433"/>
      <c r="P90" s="474"/>
      <c r="Q90" s="187"/>
      <c r="R90" s="744"/>
    </row>
    <row r="91" spans="1:18" s="185" customFormat="1" ht="14.75" customHeight="1" thickBot="1" x14ac:dyDescent="0.55000000000000004">
      <c r="A91" s="475"/>
      <c r="B91" s="524"/>
      <c r="C91" s="525"/>
      <c r="D91" s="525"/>
      <c r="E91" s="525"/>
      <c r="F91" s="525"/>
      <c r="G91" s="525"/>
      <c r="H91" s="525"/>
      <c r="I91" s="525"/>
      <c r="J91" s="525"/>
      <c r="K91" s="525"/>
      <c r="L91" s="525"/>
      <c r="M91" s="525"/>
      <c r="N91" s="525"/>
      <c r="O91" s="525"/>
      <c r="P91" s="622"/>
      <c r="Q91" s="187"/>
      <c r="R91" s="744"/>
    </row>
    <row r="92" spans="1:18" s="185" customFormat="1" ht="15" thickBot="1" x14ac:dyDescent="0.4">
      <c r="A92" s="183" t="s">
        <v>2176</v>
      </c>
      <c r="B92" s="854" t="s">
        <v>2036</v>
      </c>
      <c r="C92" s="855"/>
      <c r="D92" s="855"/>
      <c r="E92" s="855"/>
      <c r="F92" s="855"/>
      <c r="G92" s="856" t="s">
        <v>2068</v>
      </c>
      <c r="H92" s="856"/>
      <c r="I92" s="855"/>
      <c r="J92" s="855"/>
      <c r="K92" s="855"/>
      <c r="L92" s="855"/>
      <c r="M92" s="855"/>
      <c r="N92" s="855"/>
      <c r="O92" s="855"/>
      <c r="P92" s="857"/>
      <c r="Q92" s="187"/>
      <c r="R92" s="744"/>
    </row>
    <row r="93" spans="1:18" s="185" customFormat="1" ht="66" customHeight="1" x14ac:dyDescent="0.35">
      <c r="A93" s="831" t="s">
        <v>1888</v>
      </c>
      <c r="B93" s="817" t="s">
        <v>2035</v>
      </c>
      <c r="C93" s="189" t="s">
        <v>1858</v>
      </c>
      <c r="D93" s="189" t="s">
        <v>1859</v>
      </c>
      <c r="E93" s="189" t="s">
        <v>1860</v>
      </c>
      <c r="F93" s="823" t="s">
        <v>1861</v>
      </c>
      <c r="G93" s="189" t="s">
        <v>1889</v>
      </c>
      <c r="H93" s="189" t="s">
        <v>2178</v>
      </c>
      <c r="I93" s="189" t="s">
        <v>1890</v>
      </c>
      <c r="J93" s="189" t="s">
        <v>2002</v>
      </c>
      <c r="K93" s="189" t="s">
        <v>1892</v>
      </c>
      <c r="L93" s="189" t="s">
        <v>1893</v>
      </c>
      <c r="M93" s="189" t="s">
        <v>1894</v>
      </c>
      <c r="N93" s="186" t="s">
        <v>1895</v>
      </c>
      <c r="O93" s="189" t="s">
        <v>2069</v>
      </c>
      <c r="P93" s="822" t="s">
        <v>1896</v>
      </c>
      <c r="Q93" s="187"/>
      <c r="R93" s="744"/>
    </row>
    <row r="94" spans="1:18" s="185" customFormat="1" ht="15" thickBot="1" x14ac:dyDescent="0.4">
      <c r="A94" s="924" t="s">
        <v>2191</v>
      </c>
      <c r="B94" s="867" t="str">
        <f>B33</f>
        <v>Oral</v>
      </c>
      <c r="C94" s="868" t="str">
        <f>C33</f>
        <v>tablet</v>
      </c>
      <c r="D94" s="869">
        <f>D33</f>
        <v>80</v>
      </c>
      <c r="E94" s="869">
        <f>E33</f>
        <v>30</v>
      </c>
      <c r="F94" s="870">
        <f>F33</f>
        <v>2400</v>
      </c>
      <c r="G94" s="859">
        <v>80</v>
      </c>
      <c r="H94" s="859" t="s">
        <v>2179</v>
      </c>
      <c r="I94" s="860">
        <v>30</v>
      </c>
      <c r="J94" s="829">
        <f>365/I94</f>
        <v>12.166666666666666</v>
      </c>
      <c r="K94" s="848">
        <f>J94*I94*G94</f>
        <v>29200</v>
      </c>
      <c r="L94" s="849">
        <f>K94/F94</f>
        <v>12.166666666666666</v>
      </c>
      <c r="M94" s="850">
        <f>G33</f>
        <v>0</v>
      </c>
      <c r="N94" s="851">
        <f>H33</f>
        <v>0.2</v>
      </c>
      <c r="O94" s="830">
        <v>1</v>
      </c>
      <c r="P94" s="918">
        <f>L94*M94*(1+N94)*O94</f>
        <v>0</v>
      </c>
      <c r="Q94" s="187"/>
      <c r="R94" s="744"/>
    </row>
    <row r="95" spans="1:18" s="185" customFormat="1" ht="15" thickBot="1" x14ac:dyDescent="0.4">
      <c r="A95" s="650" t="s">
        <v>1897</v>
      </c>
      <c r="B95" s="321"/>
      <c r="C95" s="321"/>
      <c r="D95" s="321"/>
      <c r="E95" s="321"/>
      <c r="F95" s="321"/>
      <c r="G95" s="321"/>
      <c r="H95" s="321"/>
      <c r="I95" s="321"/>
      <c r="J95" s="321"/>
      <c r="K95" s="321"/>
      <c r="L95" s="321"/>
      <c r="M95" s="321"/>
      <c r="N95" s="321"/>
      <c r="O95" s="321"/>
      <c r="P95" s="862">
        <f>SUM(P94:P94)</f>
        <v>0</v>
      </c>
      <c r="Q95" s="187"/>
      <c r="R95" s="744"/>
    </row>
    <row r="96" spans="1:18" s="185" customFormat="1" ht="14.5" x14ac:dyDescent="0.35">
      <c r="A96" s="602"/>
      <c r="B96" s="187"/>
      <c r="C96" s="187"/>
      <c r="D96" s="187"/>
      <c r="E96" s="187"/>
      <c r="F96" s="187"/>
      <c r="G96" s="187"/>
      <c r="H96" s="187"/>
      <c r="I96" s="187"/>
      <c r="J96" s="187"/>
      <c r="K96" s="187"/>
      <c r="L96" s="187"/>
      <c r="M96" s="187"/>
      <c r="N96" s="187"/>
      <c r="O96" s="187"/>
      <c r="P96" s="434"/>
      <c r="Q96" s="187"/>
      <c r="R96" s="744"/>
    </row>
    <row r="97" spans="1:18" s="185" customFormat="1" ht="14.5" x14ac:dyDescent="0.35">
      <c r="A97" s="601" t="s">
        <v>1898</v>
      </c>
      <c r="B97" s="187"/>
      <c r="C97" s="153"/>
      <c r="D97" s="102"/>
      <c r="E97" s="154"/>
      <c r="F97" s="155"/>
      <c r="G97" s="5"/>
      <c r="H97" s="5"/>
      <c r="I97" s="155"/>
      <c r="J97" s="155"/>
      <c r="K97" s="155"/>
      <c r="L97" s="155"/>
      <c r="M97" s="187"/>
      <c r="N97" s="187"/>
      <c r="O97" s="187"/>
      <c r="P97" s="434"/>
      <c r="Q97" s="187"/>
      <c r="R97" s="744"/>
    </row>
    <row r="98" spans="1:18" s="185" customFormat="1" ht="29" x14ac:dyDescent="0.35">
      <c r="A98" s="526" t="s">
        <v>1899</v>
      </c>
      <c r="B98" s="188" t="s">
        <v>1900</v>
      </c>
      <c r="C98" s="191" t="s">
        <v>1901</v>
      </c>
      <c r="D98" s="227"/>
      <c r="E98" s="228"/>
      <c r="F98" s="228"/>
      <c r="G98" s="228"/>
      <c r="H98" s="228"/>
      <c r="I98" s="228"/>
      <c r="J98" s="229"/>
      <c r="K98" s="228"/>
      <c r="L98" s="228"/>
      <c r="M98" s="228"/>
      <c r="N98" s="189" t="s">
        <v>1891</v>
      </c>
      <c r="O98" s="186" t="s">
        <v>1902</v>
      </c>
      <c r="P98" s="189" t="s">
        <v>1896</v>
      </c>
      <c r="Q98" s="187"/>
      <c r="R98" s="744"/>
    </row>
    <row r="99" spans="1:18" s="185" customFormat="1" ht="14.5" x14ac:dyDescent="0.35">
      <c r="A99" s="925" t="s">
        <v>2191</v>
      </c>
      <c r="B99" s="754" t="s">
        <v>1903</v>
      </c>
      <c r="C99" s="435" t="s">
        <v>1904</v>
      </c>
      <c r="D99" s="317"/>
      <c r="E99" s="756"/>
      <c r="F99" s="317"/>
      <c r="G99" s="317"/>
      <c r="H99" s="317"/>
      <c r="I99" s="313"/>
      <c r="J99" s="313"/>
      <c r="K99" s="313"/>
      <c r="L99" s="313"/>
      <c r="M99" s="315"/>
      <c r="N99" s="310">
        <f>J94</f>
        <v>12.166666666666666</v>
      </c>
      <c r="O99" s="316">
        <v>147</v>
      </c>
      <c r="P99" s="316">
        <f>N99*O99</f>
        <v>1788.5</v>
      </c>
      <c r="Q99" s="187"/>
      <c r="R99" s="744"/>
    </row>
    <row r="100" spans="1:18" s="4" customFormat="1" ht="14.5" x14ac:dyDescent="0.35">
      <c r="A100" s="724"/>
      <c r="B100" s="187"/>
      <c r="C100" s="153"/>
      <c r="D100" s="102"/>
      <c r="E100" s="154"/>
      <c r="F100" s="155"/>
      <c r="G100" s="5"/>
      <c r="H100" s="5"/>
      <c r="I100" s="155"/>
      <c r="J100" s="155"/>
      <c r="K100" s="155"/>
      <c r="L100" s="155"/>
      <c r="M100" s="155"/>
      <c r="N100" s="155"/>
      <c r="O100" s="155"/>
      <c r="P100" s="926">
        <f>P99</f>
        <v>1788.5</v>
      </c>
      <c r="Q100" s="750"/>
      <c r="R100" s="750"/>
    </row>
    <row r="101" spans="1:18" s="4" customFormat="1" ht="14.5" x14ac:dyDescent="0.35">
      <c r="A101" s="723" t="s">
        <v>2198</v>
      </c>
      <c r="B101" s="187"/>
      <c r="C101" s="153"/>
      <c r="D101" s="102"/>
      <c r="E101" s="154"/>
      <c r="F101" s="155"/>
      <c r="G101" s="5"/>
      <c r="H101" s="155"/>
      <c r="I101" s="155"/>
      <c r="J101" s="155"/>
      <c r="K101" s="155"/>
      <c r="L101" s="155"/>
      <c r="M101" s="155"/>
      <c r="N101" s="155"/>
      <c r="O101" s="155"/>
      <c r="P101" s="156"/>
      <c r="Q101" s="750"/>
      <c r="R101" s="750"/>
    </row>
    <row r="102" spans="1:18" s="4" customFormat="1" ht="14.5" x14ac:dyDescent="0.35">
      <c r="A102" s="694" t="s">
        <v>2167</v>
      </c>
      <c r="B102" s="187"/>
      <c r="C102" s="153"/>
      <c r="D102" s="102"/>
      <c r="E102" s="154"/>
      <c r="F102" s="155"/>
      <c r="G102" s="5"/>
      <c r="H102" s="155"/>
      <c r="I102" s="155"/>
      <c r="J102" s="155"/>
      <c r="K102" s="155"/>
      <c r="L102" s="155"/>
      <c r="M102" s="155"/>
      <c r="N102" s="155"/>
      <c r="O102" s="155"/>
      <c r="P102" s="156"/>
      <c r="Q102" s="750"/>
      <c r="R102" s="750"/>
    </row>
    <row r="103" spans="1:18" s="4" customFormat="1" ht="14.5" x14ac:dyDescent="0.35">
      <c r="A103" s="755"/>
      <c r="B103" s="187"/>
      <c r="C103" s="153"/>
      <c r="D103" s="102"/>
      <c r="E103" s="154"/>
      <c r="F103" s="155"/>
      <c r="G103" s="5"/>
      <c r="H103" s="155"/>
      <c r="I103" s="155"/>
      <c r="J103" s="155"/>
      <c r="K103" s="155"/>
      <c r="L103" s="155"/>
      <c r="M103" s="155"/>
      <c r="N103" s="155"/>
      <c r="O103" s="155"/>
      <c r="P103" s="156"/>
      <c r="Q103" s="750"/>
      <c r="R103" s="750"/>
    </row>
    <row r="104" spans="1:18" s="4" customFormat="1" ht="14.5" x14ac:dyDescent="0.35">
      <c r="A104" s="162"/>
      <c r="B104" s="187"/>
      <c r="C104" s="153"/>
      <c r="D104" s="102"/>
      <c r="E104" s="154"/>
      <c r="F104" s="155"/>
      <c r="G104" s="5"/>
      <c r="H104" s="5"/>
      <c r="I104" s="155"/>
      <c r="J104" s="155"/>
      <c r="K104" s="155"/>
      <c r="L104" s="155"/>
      <c r="M104" s="155"/>
      <c r="N104" s="155"/>
      <c r="O104" s="155"/>
      <c r="P104" s="156"/>
      <c r="Q104" s="750"/>
      <c r="R104" s="750"/>
    </row>
    <row r="105" spans="1:18" s="185" customFormat="1" ht="14.75" customHeight="1" x14ac:dyDescent="0.5">
      <c r="A105" s="472" t="str">
        <f>A90</f>
        <v>osimertinib alone</v>
      </c>
      <c r="B105" s="473"/>
      <c r="C105" s="433"/>
      <c r="D105" s="433"/>
      <c r="E105" s="433"/>
      <c r="F105" s="433"/>
      <c r="G105" s="433"/>
      <c r="H105" s="433"/>
      <c r="I105" s="433"/>
      <c r="J105" s="433"/>
      <c r="K105" s="433"/>
      <c r="L105" s="433"/>
      <c r="M105" s="433"/>
      <c r="N105" s="433"/>
      <c r="O105" s="433"/>
      <c r="P105" s="474"/>
      <c r="Q105" s="187"/>
      <c r="R105" s="744"/>
    </row>
    <row r="106" spans="1:18" s="185" customFormat="1" ht="14.75" customHeight="1" thickBot="1" x14ac:dyDescent="0.55000000000000004">
      <c r="A106" s="475"/>
      <c r="B106" s="524"/>
      <c r="C106" s="525"/>
      <c r="D106" s="525"/>
      <c r="E106" s="525"/>
      <c r="F106" s="525"/>
      <c r="G106" s="525"/>
      <c r="H106" s="525"/>
      <c r="I106" s="525"/>
      <c r="J106" s="525"/>
      <c r="K106" s="525"/>
      <c r="L106" s="525"/>
      <c r="M106" s="525"/>
      <c r="N106" s="525"/>
      <c r="O106" s="525"/>
      <c r="P106" s="622"/>
      <c r="Q106" s="187"/>
      <c r="R106" s="744"/>
    </row>
    <row r="107" spans="1:18" s="185" customFormat="1" ht="15" thickBot="1" x14ac:dyDescent="0.4">
      <c r="A107" s="183" t="s">
        <v>2190</v>
      </c>
      <c r="B107" s="854" t="s">
        <v>2036</v>
      </c>
      <c r="C107" s="855"/>
      <c r="D107" s="855"/>
      <c r="E107" s="855"/>
      <c r="F107" s="855"/>
      <c r="G107" s="856" t="s">
        <v>2068</v>
      </c>
      <c r="H107" s="856"/>
      <c r="I107" s="855"/>
      <c r="J107" s="855"/>
      <c r="K107" s="855"/>
      <c r="L107" s="855"/>
      <c r="M107" s="855"/>
      <c r="N107" s="855"/>
      <c r="O107" s="855"/>
      <c r="P107" s="857"/>
      <c r="Q107" s="187"/>
      <c r="R107" s="744"/>
    </row>
    <row r="108" spans="1:18" s="185" customFormat="1" ht="66" customHeight="1" x14ac:dyDescent="0.35">
      <c r="A108" s="831" t="s">
        <v>1888</v>
      </c>
      <c r="B108" s="817" t="s">
        <v>2035</v>
      </c>
      <c r="C108" s="189" t="s">
        <v>1858</v>
      </c>
      <c r="D108" s="189" t="s">
        <v>1859</v>
      </c>
      <c r="E108" s="189" t="s">
        <v>1860</v>
      </c>
      <c r="F108" s="823" t="s">
        <v>1861</v>
      </c>
      <c r="G108" s="189" t="s">
        <v>1889</v>
      </c>
      <c r="H108" s="189" t="s">
        <v>2178</v>
      </c>
      <c r="I108" s="189" t="s">
        <v>1890</v>
      </c>
      <c r="J108" s="189" t="s">
        <v>2002</v>
      </c>
      <c r="K108" s="189" t="s">
        <v>1892</v>
      </c>
      <c r="L108" s="189" t="s">
        <v>1893</v>
      </c>
      <c r="M108" s="189" t="s">
        <v>1894</v>
      </c>
      <c r="N108" s="186" t="s">
        <v>1895</v>
      </c>
      <c r="O108" s="189" t="s">
        <v>2069</v>
      </c>
      <c r="P108" s="822" t="s">
        <v>1896</v>
      </c>
      <c r="Q108" s="187"/>
      <c r="R108" s="744"/>
    </row>
    <row r="109" spans="1:18" s="185" customFormat="1" ht="15" thickBot="1" x14ac:dyDescent="0.4">
      <c r="A109" s="924" t="s">
        <v>2191</v>
      </c>
      <c r="B109" s="867" t="str">
        <f>B33</f>
        <v>Oral</v>
      </c>
      <c r="C109" s="868" t="str">
        <f t="shared" ref="C109:F109" si="11">C33</f>
        <v>tablet</v>
      </c>
      <c r="D109" s="868">
        <f t="shared" si="11"/>
        <v>80</v>
      </c>
      <c r="E109" s="868">
        <f t="shared" si="11"/>
        <v>30</v>
      </c>
      <c r="F109" s="871">
        <f t="shared" si="11"/>
        <v>2400</v>
      </c>
      <c r="G109" s="859">
        <v>80</v>
      </c>
      <c r="H109" s="859" t="s">
        <v>2179</v>
      </c>
      <c r="I109" s="860">
        <v>30</v>
      </c>
      <c r="J109" s="829">
        <v>12</v>
      </c>
      <c r="K109" s="848">
        <f>J109*I109*G109</f>
        <v>28800</v>
      </c>
      <c r="L109" s="849">
        <f>K109/F109</f>
        <v>12</v>
      </c>
      <c r="M109" s="850">
        <f>G33</f>
        <v>0</v>
      </c>
      <c r="N109" s="851">
        <f>H33</f>
        <v>0.2</v>
      </c>
      <c r="O109" s="830">
        <v>1</v>
      </c>
      <c r="P109" s="918">
        <f>L109*M109*(1+N109)*O109</f>
        <v>0</v>
      </c>
      <c r="Q109" s="187"/>
      <c r="R109" s="744"/>
    </row>
    <row r="110" spans="1:18" s="185" customFormat="1" ht="15" thickBot="1" x14ac:dyDescent="0.4">
      <c r="A110" s="650" t="s">
        <v>1897</v>
      </c>
      <c r="B110" s="321"/>
      <c r="C110" s="321"/>
      <c r="D110" s="321"/>
      <c r="E110" s="321"/>
      <c r="F110" s="321"/>
      <c r="G110" s="321"/>
      <c r="H110" s="321"/>
      <c r="I110" s="321"/>
      <c r="J110" s="321"/>
      <c r="K110" s="321"/>
      <c r="L110" s="321"/>
      <c r="M110" s="321"/>
      <c r="N110" s="321"/>
      <c r="O110" s="321"/>
      <c r="P110" s="862">
        <f>SUM(P109:P109)</f>
        <v>0</v>
      </c>
      <c r="Q110" s="187"/>
      <c r="R110" s="744"/>
    </row>
    <row r="111" spans="1:18" s="185" customFormat="1" ht="14.5" x14ac:dyDescent="0.35">
      <c r="A111" s="602"/>
      <c r="B111" s="187"/>
      <c r="C111" s="187"/>
      <c r="D111" s="187"/>
      <c r="E111" s="187"/>
      <c r="F111" s="187"/>
      <c r="G111" s="187"/>
      <c r="H111" s="187"/>
      <c r="I111" s="187"/>
      <c r="J111" s="187"/>
      <c r="K111" s="187"/>
      <c r="L111" s="187"/>
      <c r="M111" s="187"/>
      <c r="N111" s="187"/>
      <c r="O111" s="187"/>
      <c r="P111" s="434"/>
      <c r="Q111" s="187"/>
      <c r="R111" s="744"/>
    </row>
    <row r="112" spans="1:18" s="185" customFormat="1" ht="14.5" x14ac:dyDescent="0.35">
      <c r="A112" s="601" t="s">
        <v>1898</v>
      </c>
      <c r="B112" s="187"/>
      <c r="C112" s="153"/>
      <c r="D112" s="102"/>
      <c r="E112" s="154"/>
      <c r="F112" s="155"/>
      <c r="G112" s="5"/>
      <c r="H112" s="5"/>
      <c r="I112" s="155"/>
      <c r="J112" s="155"/>
      <c r="K112" s="155"/>
      <c r="L112" s="155"/>
      <c r="M112" s="187"/>
      <c r="N112" s="187"/>
      <c r="O112" s="187"/>
      <c r="P112" s="434"/>
      <c r="Q112" s="187"/>
      <c r="R112" s="744"/>
    </row>
    <row r="113" spans="1:18" s="185" customFormat="1" ht="29" x14ac:dyDescent="0.35">
      <c r="A113" s="526" t="s">
        <v>1899</v>
      </c>
      <c r="B113" s="188" t="s">
        <v>1900</v>
      </c>
      <c r="C113" s="191" t="s">
        <v>1901</v>
      </c>
      <c r="D113" s="227"/>
      <c r="E113" s="228"/>
      <c r="F113" s="228"/>
      <c r="G113" s="228"/>
      <c r="H113" s="228"/>
      <c r="I113" s="228"/>
      <c r="J113" s="229"/>
      <c r="K113" s="228"/>
      <c r="L113" s="228"/>
      <c r="M113" s="228"/>
      <c r="N113" s="189" t="s">
        <v>1891</v>
      </c>
      <c r="O113" s="186" t="s">
        <v>1902</v>
      </c>
      <c r="P113" s="189" t="s">
        <v>1896</v>
      </c>
      <c r="Q113" s="187"/>
      <c r="R113" s="744"/>
    </row>
    <row r="114" spans="1:18" s="185" customFormat="1" ht="14.5" x14ac:dyDescent="0.35">
      <c r="A114" s="925" t="s">
        <v>2191</v>
      </c>
      <c r="B114" s="754" t="s">
        <v>1903</v>
      </c>
      <c r="C114" s="435" t="s">
        <v>1904</v>
      </c>
      <c r="D114" s="317"/>
      <c r="E114" s="756"/>
      <c r="F114" s="317"/>
      <c r="G114" s="317"/>
      <c r="H114" s="317"/>
      <c r="I114" s="317"/>
      <c r="J114" s="313"/>
      <c r="K114" s="313"/>
      <c r="L114" s="313"/>
      <c r="M114" s="315"/>
      <c r="N114" s="310">
        <f>J109</f>
        <v>12</v>
      </c>
      <c r="O114" s="316">
        <v>147</v>
      </c>
      <c r="P114" s="316">
        <f>O114*N114</f>
        <v>1764</v>
      </c>
      <c r="Q114" s="187"/>
      <c r="R114" s="744"/>
    </row>
    <row r="115" spans="1:18" s="4" customFormat="1" ht="14.5" x14ac:dyDescent="0.35">
      <c r="A115" s="724"/>
      <c r="B115" s="187"/>
      <c r="C115" s="153"/>
      <c r="D115" s="102"/>
      <c r="E115" s="154"/>
      <c r="F115" s="155"/>
      <c r="G115" s="5"/>
      <c r="H115" s="5"/>
      <c r="I115" s="155"/>
      <c r="J115" s="155"/>
      <c r="K115" s="155"/>
      <c r="L115" s="155"/>
      <c r="M115" s="155"/>
      <c r="N115" s="155"/>
      <c r="O115" s="155"/>
      <c r="P115" s="926">
        <f>P114</f>
        <v>1764</v>
      </c>
      <c r="Q115" s="750"/>
      <c r="R115" s="750"/>
    </row>
    <row r="116" spans="1:18" s="4" customFormat="1" ht="14.5" x14ac:dyDescent="0.35">
      <c r="A116" s="723" t="s">
        <v>2199</v>
      </c>
      <c r="B116" s="187"/>
      <c r="C116" s="153"/>
      <c r="D116" s="102"/>
      <c r="E116" s="154"/>
      <c r="F116" s="155"/>
      <c r="G116" s="5"/>
      <c r="H116" s="155"/>
      <c r="I116" s="155"/>
      <c r="J116" s="155"/>
      <c r="K116" s="155"/>
      <c r="L116" s="155"/>
      <c r="M116" s="155"/>
      <c r="N116" s="155"/>
      <c r="O116" s="155"/>
      <c r="P116" s="156"/>
      <c r="Q116" s="750"/>
      <c r="R116" s="750"/>
    </row>
    <row r="117" spans="1:18" s="4" customFormat="1" ht="14.5" x14ac:dyDescent="0.35">
      <c r="A117" s="694" t="s">
        <v>2167</v>
      </c>
      <c r="B117" s="187"/>
      <c r="C117" s="153"/>
      <c r="D117" s="102"/>
      <c r="E117" s="154"/>
      <c r="F117" s="155"/>
      <c r="G117" s="5"/>
      <c r="H117" s="155"/>
      <c r="I117" s="155"/>
      <c r="J117" s="155"/>
      <c r="K117" s="155"/>
      <c r="L117" s="155"/>
      <c r="M117" s="155"/>
      <c r="N117" s="155"/>
      <c r="O117" s="155"/>
      <c r="P117" s="156"/>
      <c r="Q117" s="750"/>
      <c r="R117" s="750"/>
    </row>
    <row r="118" spans="1:18" s="4" customFormat="1" ht="14.5" x14ac:dyDescent="0.35">
      <c r="A118" s="755"/>
      <c r="B118" s="187"/>
      <c r="C118" s="153"/>
      <c r="D118" s="102"/>
      <c r="E118" s="154"/>
      <c r="F118" s="155"/>
      <c r="G118" s="5"/>
      <c r="H118" s="155"/>
      <c r="I118" s="155"/>
      <c r="J118" s="155"/>
      <c r="K118" s="155"/>
      <c r="L118" s="155"/>
      <c r="M118" s="155"/>
      <c r="N118" s="155"/>
      <c r="O118" s="155"/>
      <c r="P118" s="156"/>
      <c r="Q118" s="750"/>
      <c r="R118" s="750"/>
    </row>
    <row r="119" spans="1:18" s="4" customFormat="1" ht="14.5" x14ac:dyDescent="0.35">
      <c r="A119" s="694"/>
      <c r="B119" s="187"/>
      <c r="C119" s="153"/>
      <c r="D119" s="102"/>
      <c r="E119" s="154"/>
      <c r="F119" s="155"/>
      <c r="G119" s="5"/>
      <c r="H119" s="155"/>
      <c r="I119" s="155"/>
      <c r="J119" s="155"/>
      <c r="K119" s="155"/>
      <c r="L119" s="155"/>
      <c r="M119" s="155"/>
      <c r="N119" s="155"/>
      <c r="O119" s="155"/>
      <c r="P119" s="156"/>
      <c r="Q119" s="750"/>
      <c r="R119" s="750"/>
    </row>
    <row r="120" spans="1:18" s="4" customFormat="1" ht="14.5" x14ac:dyDescent="0.35">
      <c r="A120" s="162"/>
      <c r="B120" s="187"/>
      <c r="C120" s="153"/>
      <c r="D120" s="102"/>
      <c r="E120" s="154"/>
      <c r="F120" s="155"/>
      <c r="G120" s="5"/>
      <c r="H120" s="155"/>
      <c r="I120" s="155"/>
      <c r="J120" s="155"/>
      <c r="K120" s="155"/>
      <c r="L120" s="155"/>
      <c r="M120" s="155"/>
      <c r="N120" s="155"/>
      <c r="O120" s="155"/>
      <c r="P120" s="156"/>
      <c r="Q120" s="750"/>
      <c r="R120" s="750"/>
    </row>
    <row r="121" spans="1:18" s="185" customFormat="1" ht="14.75" customHeight="1" x14ac:dyDescent="0.5">
      <c r="A121" s="472" t="str">
        <f>A105</f>
        <v>osimertinib alone</v>
      </c>
      <c r="B121" s="473"/>
      <c r="C121" s="433"/>
      <c r="D121" s="433"/>
      <c r="E121" s="433"/>
      <c r="F121" s="433"/>
      <c r="G121" s="433"/>
      <c r="H121" s="433"/>
      <c r="I121" s="433"/>
      <c r="J121" s="433"/>
      <c r="K121" s="433"/>
      <c r="L121" s="433"/>
      <c r="M121" s="433"/>
      <c r="N121" s="433"/>
      <c r="O121" s="433"/>
      <c r="P121" s="474"/>
      <c r="Q121" s="187"/>
      <c r="R121" s="744"/>
    </row>
    <row r="122" spans="1:18" s="185" customFormat="1" ht="14.75" customHeight="1" thickBot="1" x14ac:dyDescent="0.55000000000000004">
      <c r="A122" s="475"/>
      <c r="B122" s="524"/>
      <c r="C122" s="525"/>
      <c r="D122" s="525"/>
      <c r="E122" s="525"/>
      <c r="F122" s="525"/>
      <c r="G122" s="525"/>
      <c r="H122" s="525"/>
      <c r="I122" s="525"/>
      <c r="J122" s="525"/>
      <c r="K122" s="525"/>
      <c r="L122" s="525"/>
      <c r="M122" s="525"/>
      <c r="N122" s="525"/>
      <c r="O122" s="525"/>
      <c r="P122" s="622"/>
      <c r="Q122" s="187"/>
      <c r="R122" s="744"/>
    </row>
    <row r="123" spans="1:18" s="185" customFormat="1" ht="15" thickBot="1" x14ac:dyDescent="0.4">
      <c r="A123" s="183" t="s">
        <v>2193</v>
      </c>
      <c r="B123" s="854" t="s">
        <v>2036</v>
      </c>
      <c r="C123" s="855"/>
      <c r="D123" s="855"/>
      <c r="E123" s="855"/>
      <c r="F123" s="855"/>
      <c r="G123" s="856" t="s">
        <v>2068</v>
      </c>
      <c r="H123" s="856"/>
      <c r="I123" s="855"/>
      <c r="J123" s="855"/>
      <c r="K123" s="855"/>
      <c r="L123" s="855"/>
      <c r="M123" s="855"/>
      <c r="N123" s="855"/>
      <c r="O123" s="855"/>
      <c r="P123" s="857"/>
      <c r="Q123" s="187"/>
      <c r="R123" s="744"/>
    </row>
    <row r="124" spans="1:18" s="185" customFormat="1" ht="66" customHeight="1" x14ac:dyDescent="0.35">
      <c r="A124" s="831" t="s">
        <v>1888</v>
      </c>
      <c r="B124" s="817" t="s">
        <v>2035</v>
      </c>
      <c r="C124" s="189" t="s">
        <v>1858</v>
      </c>
      <c r="D124" s="189" t="s">
        <v>1859</v>
      </c>
      <c r="E124" s="189" t="s">
        <v>1860</v>
      </c>
      <c r="F124" s="823" t="s">
        <v>1861</v>
      </c>
      <c r="G124" s="189" t="s">
        <v>1889</v>
      </c>
      <c r="H124" s="189" t="s">
        <v>2178</v>
      </c>
      <c r="I124" s="189" t="s">
        <v>1890</v>
      </c>
      <c r="J124" s="189" t="s">
        <v>2002</v>
      </c>
      <c r="K124" s="189" t="s">
        <v>1892</v>
      </c>
      <c r="L124" s="189" t="s">
        <v>1893</v>
      </c>
      <c r="M124" s="189" t="s">
        <v>1894</v>
      </c>
      <c r="N124" s="186" t="s">
        <v>1895</v>
      </c>
      <c r="O124" s="189" t="s">
        <v>2069</v>
      </c>
      <c r="P124" s="822" t="s">
        <v>1896</v>
      </c>
      <c r="Q124" s="187"/>
      <c r="R124" s="744"/>
    </row>
    <row r="125" spans="1:18" s="185" customFormat="1" ht="15" thickBot="1" x14ac:dyDescent="0.4">
      <c r="A125" s="924" t="s">
        <v>2191</v>
      </c>
      <c r="B125" s="864" t="str">
        <f>B33</f>
        <v>Oral</v>
      </c>
      <c r="C125" s="858" t="str">
        <f t="shared" ref="C125:F125" si="12">C33</f>
        <v>tablet</v>
      </c>
      <c r="D125" s="858">
        <f t="shared" si="12"/>
        <v>80</v>
      </c>
      <c r="E125" s="858">
        <f t="shared" si="12"/>
        <v>30</v>
      </c>
      <c r="F125" s="861">
        <f t="shared" si="12"/>
        <v>2400</v>
      </c>
      <c r="G125" s="859">
        <v>80</v>
      </c>
      <c r="H125" s="859" t="s">
        <v>2179</v>
      </c>
      <c r="I125" s="860">
        <v>30</v>
      </c>
      <c r="J125" s="829">
        <v>8.9</v>
      </c>
      <c r="K125" s="860">
        <f>J125*I125*G125</f>
        <v>21360</v>
      </c>
      <c r="L125" s="829">
        <f>K125/F125</f>
        <v>8.9</v>
      </c>
      <c r="M125" s="927">
        <f>G33</f>
        <v>0</v>
      </c>
      <c r="N125" s="830">
        <f>H33</f>
        <v>0.2</v>
      </c>
      <c r="O125" s="830">
        <v>1</v>
      </c>
      <c r="P125" s="918">
        <f>L125*M125*(1+N125)*O125</f>
        <v>0</v>
      </c>
      <c r="Q125" s="187"/>
      <c r="R125" s="744"/>
    </row>
    <row r="126" spans="1:18" s="185" customFormat="1" ht="15" thickBot="1" x14ac:dyDescent="0.4">
      <c r="A126" s="650" t="s">
        <v>1897</v>
      </c>
      <c r="B126" s="321"/>
      <c r="C126" s="321"/>
      <c r="D126" s="321"/>
      <c r="E126" s="321"/>
      <c r="F126" s="321"/>
      <c r="G126" s="321"/>
      <c r="H126" s="321"/>
      <c r="I126" s="321"/>
      <c r="J126" s="321"/>
      <c r="K126" s="321"/>
      <c r="L126" s="321"/>
      <c r="M126" s="321"/>
      <c r="N126" s="321"/>
      <c r="O126" s="321"/>
      <c r="P126" s="862">
        <f>SUM(P125:P125)</f>
        <v>0</v>
      </c>
      <c r="Q126" s="187"/>
      <c r="R126" s="744"/>
    </row>
    <row r="127" spans="1:18" s="185" customFormat="1" ht="14.5" x14ac:dyDescent="0.35">
      <c r="A127" s="602"/>
      <c r="B127" s="187"/>
      <c r="C127" s="187"/>
      <c r="D127" s="187"/>
      <c r="E127" s="187"/>
      <c r="F127" s="187"/>
      <c r="G127" s="187"/>
      <c r="H127" s="187"/>
      <c r="I127" s="187"/>
      <c r="J127" s="187"/>
      <c r="K127" s="187"/>
      <c r="L127" s="187"/>
      <c r="M127" s="187"/>
      <c r="N127" s="187"/>
      <c r="O127" s="187"/>
      <c r="P127" s="434"/>
      <c r="Q127" s="187"/>
      <c r="R127" s="744"/>
    </row>
    <row r="128" spans="1:18" s="185" customFormat="1" ht="14.5" x14ac:dyDescent="0.35">
      <c r="A128" s="601" t="s">
        <v>1898</v>
      </c>
      <c r="B128" s="187"/>
      <c r="C128" s="153"/>
      <c r="D128" s="102"/>
      <c r="E128" s="154"/>
      <c r="F128" s="155"/>
      <c r="G128" s="5"/>
      <c r="H128" s="5"/>
      <c r="I128" s="155"/>
      <c r="J128" s="155"/>
      <c r="K128" s="155"/>
      <c r="L128" s="155"/>
      <c r="M128" s="187"/>
      <c r="N128" s="187"/>
      <c r="O128" s="187"/>
      <c r="P128" s="434"/>
      <c r="Q128" s="187"/>
      <c r="R128" s="744"/>
    </row>
    <row r="129" spans="1:18" s="185" customFormat="1" ht="29" x14ac:dyDescent="0.35">
      <c r="A129" s="526" t="s">
        <v>1899</v>
      </c>
      <c r="B129" s="188" t="s">
        <v>1900</v>
      </c>
      <c r="C129" s="191" t="s">
        <v>1901</v>
      </c>
      <c r="D129" s="227"/>
      <c r="E129" s="228"/>
      <c r="F129" s="228"/>
      <c r="G129" s="228"/>
      <c r="H129" s="228"/>
      <c r="I129" s="228"/>
      <c r="J129" s="229"/>
      <c r="K129" s="228"/>
      <c r="L129" s="228"/>
      <c r="M129" s="228"/>
      <c r="N129" s="189" t="s">
        <v>1891</v>
      </c>
      <c r="O129" s="186" t="s">
        <v>1902</v>
      </c>
      <c r="P129" s="189" t="s">
        <v>1896</v>
      </c>
      <c r="Q129" s="187"/>
      <c r="R129" s="744"/>
    </row>
    <row r="130" spans="1:18" s="185" customFormat="1" ht="14.5" x14ac:dyDescent="0.35">
      <c r="A130" s="925" t="s">
        <v>2191</v>
      </c>
      <c r="B130" s="754" t="s">
        <v>1903</v>
      </c>
      <c r="C130" s="435" t="s">
        <v>1904</v>
      </c>
      <c r="D130" s="317"/>
      <c r="E130" s="756"/>
      <c r="F130" s="317"/>
      <c r="G130" s="317"/>
      <c r="H130" s="317"/>
      <c r="I130" s="317"/>
      <c r="J130" s="313"/>
      <c r="K130" s="313"/>
      <c r="L130" s="313"/>
      <c r="M130" s="315"/>
      <c r="N130" s="310">
        <f>J125</f>
        <v>8.9</v>
      </c>
      <c r="O130" s="316">
        <v>147</v>
      </c>
      <c r="P130" s="316">
        <f>O130*N130</f>
        <v>1308.3</v>
      </c>
      <c r="Q130" s="187"/>
      <c r="R130" s="744"/>
    </row>
    <row r="131" spans="1:18" s="4" customFormat="1" ht="14.5" x14ac:dyDescent="0.35">
      <c r="A131" s="724"/>
      <c r="B131" s="187"/>
      <c r="C131" s="153"/>
      <c r="D131" s="102"/>
      <c r="E131" s="154"/>
      <c r="F131" s="155"/>
      <c r="G131" s="5"/>
      <c r="H131" s="5"/>
      <c r="I131" s="155"/>
      <c r="J131" s="155"/>
      <c r="K131" s="155"/>
      <c r="L131" s="155"/>
      <c r="M131" s="155"/>
      <c r="N131" s="155"/>
      <c r="O131" s="155"/>
      <c r="P131" s="926">
        <f>P130</f>
        <v>1308.3</v>
      </c>
      <c r="Q131" s="750"/>
      <c r="R131" s="750"/>
    </row>
    <row r="132" spans="1:18" s="4" customFormat="1" ht="14.5" x14ac:dyDescent="0.35">
      <c r="A132" s="723" t="s">
        <v>2200</v>
      </c>
      <c r="B132" s="187"/>
      <c r="C132" s="153"/>
      <c r="D132" s="102"/>
      <c r="E132" s="154"/>
      <c r="F132" s="155"/>
      <c r="G132" s="5"/>
      <c r="H132" s="155"/>
      <c r="I132" s="155"/>
      <c r="J132" s="155"/>
      <c r="K132" s="155"/>
      <c r="L132" s="155"/>
      <c r="M132" s="155"/>
      <c r="N132" s="155"/>
      <c r="O132" s="155"/>
      <c r="P132" s="156"/>
      <c r="Q132" s="750"/>
      <c r="R132" s="750"/>
    </row>
    <row r="133" spans="1:18" s="4" customFormat="1" ht="14.5" x14ac:dyDescent="0.35">
      <c r="A133" s="694" t="s">
        <v>2167</v>
      </c>
      <c r="B133" s="187"/>
      <c r="C133" s="153"/>
      <c r="D133" s="102"/>
      <c r="E133" s="154"/>
      <c r="F133" s="155"/>
      <c r="G133" s="5"/>
      <c r="H133" s="155"/>
      <c r="I133" s="155"/>
      <c r="J133" s="155"/>
      <c r="K133" s="155"/>
      <c r="L133" s="155"/>
      <c r="M133" s="155"/>
      <c r="N133" s="155"/>
      <c r="O133" s="155"/>
      <c r="P133" s="156"/>
      <c r="Q133" s="750"/>
      <c r="R133" s="750"/>
    </row>
    <row r="134" spans="1:18" s="4" customFormat="1" ht="14.5" x14ac:dyDescent="0.35">
      <c r="A134" s="755"/>
      <c r="B134" s="187"/>
      <c r="C134" s="153"/>
      <c r="D134" s="102"/>
      <c r="E134" s="154"/>
      <c r="F134" s="155"/>
      <c r="G134" s="5"/>
      <c r="H134" s="155"/>
      <c r="I134" s="155"/>
      <c r="J134" s="155"/>
      <c r="K134" s="155"/>
      <c r="L134" s="155"/>
      <c r="M134" s="155"/>
      <c r="N134" s="155"/>
      <c r="O134" s="155"/>
      <c r="P134" s="156"/>
      <c r="Q134" s="750"/>
      <c r="R134" s="750"/>
    </row>
    <row r="135" spans="1:18" s="4" customFormat="1" ht="14.5" x14ac:dyDescent="0.35">
      <c r="A135" s="694"/>
      <c r="B135" s="187"/>
      <c r="C135" s="153"/>
      <c r="D135" s="102"/>
      <c r="E135" s="154"/>
      <c r="F135" s="155"/>
      <c r="G135" s="5"/>
      <c r="H135" s="155"/>
      <c r="I135" s="155"/>
      <c r="J135" s="155"/>
      <c r="K135" s="155"/>
      <c r="L135" s="155"/>
      <c r="M135" s="155"/>
      <c r="N135" s="155"/>
      <c r="O135" s="155"/>
      <c r="P135" s="156"/>
      <c r="Q135" s="750"/>
      <c r="R135" s="750"/>
    </row>
    <row r="136" spans="1:18" s="185" customFormat="1" ht="14.5" x14ac:dyDescent="0.35">
      <c r="A136" s="187"/>
      <c r="B136" s="187"/>
      <c r="C136" s="187"/>
      <c r="D136" s="187"/>
      <c r="E136" s="187"/>
      <c r="F136" s="187"/>
      <c r="G136" s="187"/>
      <c r="H136" s="187"/>
      <c r="I136" s="187"/>
      <c r="J136" s="187"/>
      <c r="K136" s="305"/>
      <c r="L136" s="305"/>
      <c r="M136" s="305"/>
      <c r="N136" s="187"/>
      <c r="O136" s="187"/>
      <c r="P136" s="187"/>
      <c r="Q136" s="744"/>
      <c r="R136" s="744"/>
    </row>
    <row r="137" spans="1:18" s="185" customFormat="1" ht="14.5" x14ac:dyDescent="0.35">
      <c r="A137" s="183"/>
      <c r="B137" s="183"/>
      <c r="C137" s="183"/>
      <c r="D137" s="183"/>
      <c r="E137" s="183"/>
      <c r="F137" s="183"/>
      <c r="G137" s="183"/>
      <c r="H137" s="183"/>
      <c r="I137" s="183"/>
      <c r="J137" s="183"/>
      <c r="K137" s="183"/>
      <c r="L137" s="183"/>
      <c r="M137" s="183"/>
      <c r="N137" s="183"/>
      <c r="O137" s="183"/>
      <c r="P137" s="187"/>
      <c r="Q137" s="744"/>
      <c r="R137" s="744"/>
    </row>
    <row r="138" spans="1:18" s="185" customFormat="1" ht="14.75" customHeight="1" x14ac:dyDescent="0.5">
      <c r="A138" s="472" t="str">
        <f>A19</f>
        <v xml:space="preserve">osimertinib plus chemotherapy </v>
      </c>
      <c r="B138" s="473"/>
      <c r="C138" s="433"/>
      <c r="D138" s="433"/>
      <c r="E138" s="433"/>
      <c r="F138" s="433"/>
      <c r="G138" s="433"/>
      <c r="H138" s="433"/>
      <c r="I138" s="433"/>
      <c r="J138" s="433"/>
      <c r="K138" s="433"/>
      <c r="L138" s="433"/>
      <c r="M138" s="433"/>
      <c r="N138" s="433"/>
      <c r="O138" s="433"/>
      <c r="P138" s="474"/>
      <c r="Q138" s="187"/>
      <c r="R138" s="744"/>
    </row>
    <row r="139" spans="1:18" s="185" customFormat="1" ht="14.75" customHeight="1" thickBot="1" x14ac:dyDescent="0.55000000000000004">
      <c r="A139" s="475"/>
      <c r="B139" s="524"/>
      <c r="C139" s="525"/>
      <c r="D139" s="525"/>
      <c r="E139" s="525"/>
      <c r="F139" s="525"/>
      <c r="G139" s="525"/>
      <c r="H139" s="525"/>
      <c r="I139" s="525"/>
      <c r="J139" s="525"/>
      <c r="K139" s="525"/>
      <c r="L139" s="525"/>
      <c r="M139" s="525"/>
      <c r="N139" s="525"/>
      <c r="O139" s="525"/>
      <c r="P139" s="622"/>
      <c r="Q139" s="187"/>
      <c r="R139" s="744"/>
    </row>
    <row r="140" spans="1:18" s="185" customFormat="1" ht="15" thickBot="1" x14ac:dyDescent="0.4">
      <c r="A140" s="183" t="s">
        <v>2176</v>
      </c>
      <c r="B140" s="854" t="s">
        <v>2036</v>
      </c>
      <c r="C140" s="855"/>
      <c r="D140" s="855"/>
      <c r="E140" s="855"/>
      <c r="F140" s="855"/>
      <c r="G140" s="856" t="s">
        <v>2068</v>
      </c>
      <c r="H140" s="856"/>
      <c r="I140" s="855"/>
      <c r="J140" s="855"/>
      <c r="K140" s="855"/>
      <c r="L140" s="855"/>
      <c r="M140" s="855"/>
      <c r="N140" s="855"/>
      <c r="O140" s="855"/>
      <c r="P140" s="857"/>
      <c r="Q140" s="187"/>
      <c r="R140" s="744"/>
    </row>
    <row r="141" spans="1:18" s="185" customFormat="1" ht="66" customHeight="1" x14ac:dyDescent="0.35">
      <c r="A141" s="831" t="s">
        <v>1888</v>
      </c>
      <c r="B141" s="817" t="s">
        <v>2035</v>
      </c>
      <c r="C141" s="189" t="s">
        <v>1858</v>
      </c>
      <c r="D141" s="189" t="s">
        <v>1859</v>
      </c>
      <c r="E141" s="189" t="s">
        <v>1860</v>
      </c>
      <c r="F141" s="823" t="s">
        <v>1861</v>
      </c>
      <c r="G141" s="189" t="s">
        <v>2177</v>
      </c>
      <c r="H141" s="189" t="s">
        <v>2178</v>
      </c>
      <c r="I141" s="189" t="s">
        <v>1890</v>
      </c>
      <c r="J141" s="189" t="s">
        <v>2002</v>
      </c>
      <c r="K141" s="189" t="s">
        <v>1892</v>
      </c>
      <c r="L141" s="189" t="s">
        <v>1893</v>
      </c>
      <c r="M141" s="189" t="s">
        <v>1894</v>
      </c>
      <c r="N141" s="186" t="s">
        <v>1895</v>
      </c>
      <c r="O141" s="189" t="s">
        <v>2069</v>
      </c>
      <c r="P141" s="822" t="s">
        <v>1896</v>
      </c>
      <c r="Q141" s="187"/>
      <c r="R141" s="744"/>
    </row>
    <row r="142" spans="1:18" s="185" customFormat="1" ht="14.5" x14ac:dyDescent="0.35">
      <c r="A142" s="923" t="s">
        <v>2180</v>
      </c>
      <c r="B142" s="872" t="str">
        <f>B33</f>
        <v>Oral</v>
      </c>
      <c r="C142" s="806" t="str">
        <f t="shared" ref="C142:F142" si="13">C33</f>
        <v>tablet</v>
      </c>
      <c r="D142" s="873">
        <f t="shared" si="13"/>
        <v>80</v>
      </c>
      <c r="E142" s="873">
        <f t="shared" si="13"/>
        <v>30</v>
      </c>
      <c r="F142" s="874">
        <f t="shared" si="13"/>
        <v>2400</v>
      </c>
      <c r="G142" s="647">
        <v>80</v>
      </c>
      <c r="H142" s="647" t="s">
        <v>2179</v>
      </c>
      <c r="I142" s="552">
        <v>30</v>
      </c>
      <c r="J142" s="551">
        <v>3</v>
      </c>
      <c r="K142" s="814">
        <f>J142*I142*G142</f>
        <v>7200</v>
      </c>
      <c r="L142" s="816">
        <f>K142/F142</f>
        <v>3</v>
      </c>
      <c r="M142" s="812">
        <f t="shared" ref="M142:N144" si="14">G33</f>
        <v>0</v>
      </c>
      <c r="N142" s="813">
        <f t="shared" si="14"/>
        <v>0.2</v>
      </c>
      <c r="O142" s="648">
        <v>1</v>
      </c>
      <c r="P142" s="917">
        <f>L142*M142*(1+N142)*O142</f>
        <v>0</v>
      </c>
      <c r="Q142" s="187"/>
      <c r="R142" s="744"/>
    </row>
    <row r="143" spans="1:18" s="185" customFormat="1" ht="14.5" x14ac:dyDescent="0.35">
      <c r="A143" s="923" t="s">
        <v>2181</v>
      </c>
      <c r="B143" s="836" t="str">
        <f>B34</f>
        <v>IV</v>
      </c>
      <c r="C143" s="805" t="str">
        <f t="shared" ref="C143:F143" si="15">C34</f>
        <v xml:space="preserve">infusion bag </v>
      </c>
      <c r="D143" s="875">
        <f t="shared" si="15"/>
        <v>900</v>
      </c>
      <c r="E143" s="875">
        <f t="shared" si="15"/>
        <v>1</v>
      </c>
      <c r="F143" s="876">
        <f t="shared" si="15"/>
        <v>900</v>
      </c>
      <c r="G143" s="647">
        <v>500</v>
      </c>
      <c r="H143" s="753">
        <v>1.79</v>
      </c>
      <c r="I143" s="552">
        <v>1</v>
      </c>
      <c r="J143" s="551">
        <f>J142*30.25/21</f>
        <v>4.3214285714285712</v>
      </c>
      <c r="K143" s="814">
        <f>G143*H143*I143*J143</f>
        <v>3867.6785714285711</v>
      </c>
      <c r="L143" s="816">
        <f>K143/F143</f>
        <v>4.297420634920635</v>
      </c>
      <c r="M143" s="812">
        <f t="shared" si="14"/>
        <v>136.72</v>
      </c>
      <c r="N143" s="813">
        <f t="shared" si="14"/>
        <v>0.2</v>
      </c>
      <c r="O143" s="648">
        <v>1</v>
      </c>
      <c r="P143" s="917">
        <f>L143*M143*(1+N143)*O143</f>
        <v>705.05201904761907</v>
      </c>
      <c r="Q143" s="187"/>
      <c r="R143" s="744"/>
    </row>
    <row r="144" spans="1:18" s="185" customFormat="1" ht="14.5" x14ac:dyDescent="0.35">
      <c r="A144" s="923" t="s">
        <v>2182</v>
      </c>
      <c r="B144" s="764" t="str">
        <f>B35</f>
        <v>IV</v>
      </c>
      <c r="C144" s="811" t="str">
        <f t="shared" ref="C144:F144" si="16">C35</f>
        <v>vial</v>
      </c>
      <c r="D144" s="877">
        <f t="shared" si="16"/>
        <v>600</v>
      </c>
      <c r="E144" s="877">
        <f t="shared" si="16"/>
        <v>1</v>
      </c>
      <c r="F144" s="878">
        <f t="shared" si="16"/>
        <v>600</v>
      </c>
      <c r="G144" s="647">
        <v>575</v>
      </c>
      <c r="H144" s="647" t="s">
        <v>2179</v>
      </c>
      <c r="I144" s="552">
        <v>1</v>
      </c>
      <c r="J144" s="551">
        <f>J142*30.25/21</f>
        <v>4.3214285714285712</v>
      </c>
      <c r="K144" s="814">
        <f>G144*I144*J144</f>
        <v>2484.8214285714284</v>
      </c>
      <c r="L144" s="816">
        <f>ROUNDUP(K144/F144,0)</f>
        <v>5</v>
      </c>
      <c r="M144" s="812">
        <f t="shared" si="14"/>
        <v>21.85</v>
      </c>
      <c r="N144" s="813">
        <f t="shared" si="14"/>
        <v>0.2</v>
      </c>
      <c r="O144" s="648">
        <v>1</v>
      </c>
      <c r="P144" s="917">
        <f>L144*M144*(1+N144)*O144</f>
        <v>131.1</v>
      </c>
      <c r="Q144" s="187"/>
      <c r="R144" s="744"/>
    </row>
    <row r="145" spans="1:18" s="185" customFormat="1" ht="14.5" x14ac:dyDescent="0.35">
      <c r="A145" s="923" t="s">
        <v>2183</v>
      </c>
      <c r="B145" s="764" t="str">
        <f>B33</f>
        <v>Oral</v>
      </c>
      <c r="C145" s="811" t="str">
        <f t="shared" ref="C145:F145" si="17">C33</f>
        <v>tablet</v>
      </c>
      <c r="D145" s="877">
        <f t="shared" si="17"/>
        <v>80</v>
      </c>
      <c r="E145" s="877">
        <f t="shared" si="17"/>
        <v>30</v>
      </c>
      <c r="F145" s="878">
        <f t="shared" si="17"/>
        <v>2400</v>
      </c>
      <c r="G145" s="647">
        <v>80</v>
      </c>
      <c r="H145" s="647" t="s">
        <v>2179</v>
      </c>
      <c r="I145" s="552">
        <v>30</v>
      </c>
      <c r="J145" s="551">
        <f>12-J142</f>
        <v>9</v>
      </c>
      <c r="K145" s="814">
        <f>G145*I145*J145</f>
        <v>21600</v>
      </c>
      <c r="L145" s="816">
        <f>ROUNDUP(K145/F145,0)</f>
        <v>9</v>
      </c>
      <c r="M145" s="812">
        <f>G33</f>
        <v>0</v>
      </c>
      <c r="N145" s="813">
        <f>H33</f>
        <v>0.2</v>
      </c>
      <c r="O145" s="648">
        <v>1</v>
      </c>
      <c r="P145" s="917">
        <f>L145*M145*(1+N145)*O145</f>
        <v>0</v>
      </c>
      <c r="Q145" s="187"/>
      <c r="R145" s="744"/>
    </row>
    <row r="146" spans="1:18" s="185" customFormat="1" ht="15" thickBot="1" x14ac:dyDescent="0.4">
      <c r="A146" s="924" t="s">
        <v>2184</v>
      </c>
      <c r="B146" s="843" t="str">
        <f>B34</f>
        <v>IV</v>
      </c>
      <c r="C146" s="844" t="str">
        <f t="shared" ref="C146:F146" si="18">C34</f>
        <v xml:space="preserve">infusion bag </v>
      </c>
      <c r="D146" s="879">
        <f t="shared" si="18"/>
        <v>900</v>
      </c>
      <c r="E146" s="879">
        <f t="shared" si="18"/>
        <v>1</v>
      </c>
      <c r="F146" s="880">
        <f t="shared" si="18"/>
        <v>900</v>
      </c>
      <c r="G146" s="828">
        <v>500</v>
      </c>
      <c r="H146" s="863">
        <v>1.79</v>
      </c>
      <c r="I146" s="860">
        <v>1</v>
      </c>
      <c r="J146" s="829">
        <v>13</v>
      </c>
      <c r="K146" s="848">
        <f>G146*H146*I146*J146</f>
        <v>11635</v>
      </c>
      <c r="L146" s="849">
        <f>K146/F146</f>
        <v>12.927777777777777</v>
      </c>
      <c r="M146" s="850">
        <f>G34</f>
        <v>136.72</v>
      </c>
      <c r="N146" s="851">
        <f>H34</f>
        <v>0.2</v>
      </c>
      <c r="O146" s="830">
        <v>1</v>
      </c>
      <c r="P146" s="918">
        <f>L146*M146*(1+N146)*O146</f>
        <v>2120.9829333333332</v>
      </c>
      <c r="Q146" s="187"/>
      <c r="R146" s="744"/>
    </row>
    <row r="147" spans="1:18" s="185" customFormat="1" ht="15" thickBot="1" x14ac:dyDescent="0.4">
      <c r="A147" s="650" t="s">
        <v>1897</v>
      </c>
      <c r="B147" s="321"/>
      <c r="C147" s="321"/>
      <c r="D147" s="321"/>
      <c r="E147" s="321"/>
      <c r="F147" s="321"/>
      <c r="G147" s="321"/>
      <c r="H147" s="321"/>
      <c r="I147" s="321"/>
      <c r="J147" s="321"/>
      <c r="K147" s="321"/>
      <c r="L147" s="321"/>
      <c r="M147" s="321"/>
      <c r="N147" s="321"/>
      <c r="O147" s="321"/>
      <c r="P147" s="862">
        <f>SUM(P142:P146)</f>
        <v>2957.1349523809522</v>
      </c>
      <c r="Q147" s="187"/>
      <c r="R147" s="744"/>
    </row>
    <row r="148" spans="1:18" s="185" customFormat="1" ht="14.5" x14ac:dyDescent="0.35">
      <c r="A148" s="602"/>
      <c r="B148" s="187"/>
      <c r="C148" s="187"/>
      <c r="D148" s="187"/>
      <c r="E148" s="187"/>
      <c r="F148" s="187"/>
      <c r="G148" s="187"/>
      <c r="H148" s="187"/>
      <c r="I148" s="187"/>
      <c r="J148" s="187"/>
      <c r="K148" s="187"/>
      <c r="L148" s="187"/>
      <c r="M148" s="187"/>
      <c r="N148" s="187"/>
      <c r="O148" s="187"/>
      <c r="P148" s="434"/>
      <c r="Q148" s="187"/>
      <c r="R148" s="744"/>
    </row>
    <row r="149" spans="1:18" s="185" customFormat="1" ht="14.5" x14ac:dyDescent="0.35">
      <c r="A149" s="601" t="s">
        <v>1898</v>
      </c>
      <c r="B149" s="187"/>
      <c r="C149" s="153"/>
      <c r="D149" s="102"/>
      <c r="E149" s="154"/>
      <c r="F149" s="155"/>
      <c r="G149" s="5"/>
      <c r="H149" s="5"/>
      <c r="I149" s="155"/>
      <c r="J149" s="155"/>
      <c r="K149" s="155"/>
      <c r="L149" s="155"/>
      <c r="M149" s="187"/>
      <c r="N149" s="187"/>
      <c r="O149" s="187"/>
      <c r="P149" s="434"/>
      <c r="Q149" s="187"/>
      <c r="R149" s="744"/>
    </row>
    <row r="150" spans="1:18" s="185" customFormat="1" ht="29" x14ac:dyDescent="0.35">
      <c r="A150" s="526" t="s">
        <v>1899</v>
      </c>
      <c r="B150" s="188" t="s">
        <v>1900</v>
      </c>
      <c r="C150" s="191" t="s">
        <v>1901</v>
      </c>
      <c r="D150" s="227"/>
      <c r="E150" s="228"/>
      <c r="F150" s="228"/>
      <c r="G150" s="228"/>
      <c r="H150" s="228"/>
      <c r="I150" s="228"/>
      <c r="J150" s="229"/>
      <c r="K150" s="228"/>
      <c r="L150" s="228"/>
      <c r="M150" s="228"/>
      <c r="N150" s="189" t="s">
        <v>1891</v>
      </c>
      <c r="O150" s="186" t="s">
        <v>1902</v>
      </c>
      <c r="P150" s="189" t="s">
        <v>1896</v>
      </c>
      <c r="Q150" s="187"/>
      <c r="R150" s="744"/>
    </row>
    <row r="151" spans="1:18" s="185" customFormat="1" ht="14.5" x14ac:dyDescent="0.35">
      <c r="A151" s="925" t="s">
        <v>2180</v>
      </c>
      <c r="B151" s="754" t="s">
        <v>2185</v>
      </c>
      <c r="C151" s="311" t="s">
        <v>2186</v>
      </c>
      <c r="D151" s="312"/>
      <c r="E151" s="313"/>
      <c r="F151" s="314"/>
      <c r="G151" s="314"/>
      <c r="H151" s="314"/>
      <c r="I151" s="314"/>
      <c r="J151" s="313"/>
      <c r="K151" s="313"/>
      <c r="L151" s="313"/>
      <c r="M151" s="313"/>
      <c r="N151" s="310">
        <f>L142</f>
        <v>3</v>
      </c>
      <c r="O151" s="316">
        <v>367</v>
      </c>
      <c r="P151" s="316">
        <f>O151*N151</f>
        <v>1101</v>
      </c>
      <c r="Q151" s="187"/>
      <c r="R151" s="744"/>
    </row>
    <row r="152" spans="1:18" s="185" customFormat="1" ht="14.5" x14ac:dyDescent="0.35">
      <c r="A152" s="925" t="s">
        <v>2183</v>
      </c>
      <c r="B152" s="754" t="s">
        <v>2170</v>
      </c>
      <c r="C152" s="311" t="s">
        <v>2187</v>
      </c>
      <c r="D152" s="312"/>
      <c r="E152" s="313"/>
      <c r="F152" s="314"/>
      <c r="G152" s="314"/>
      <c r="H152" s="314"/>
      <c r="I152" s="314"/>
      <c r="J152" s="313"/>
      <c r="K152" s="313"/>
      <c r="L152" s="313"/>
      <c r="M152" s="315"/>
      <c r="N152" s="310">
        <f>J145</f>
        <v>9</v>
      </c>
      <c r="O152" s="316">
        <v>184</v>
      </c>
      <c r="P152" s="316">
        <f>O152*N152</f>
        <v>1656</v>
      </c>
      <c r="Q152" s="187"/>
      <c r="R152" s="744"/>
    </row>
    <row r="153" spans="1:18" s="4" customFormat="1" ht="14.5" x14ac:dyDescent="0.35">
      <c r="A153" s="724"/>
      <c r="B153" s="187"/>
      <c r="C153" s="153"/>
      <c r="D153" s="102"/>
      <c r="E153" s="154"/>
      <c r="F153" s="155"/>
      <c r="G153" s="5"/>
      <c r="H153" s="155"/>
      <c r="I153" s="155"/>
      <c r="J153" s="155"/>
      <c r="K153" s="155"/>
      <c r="L153" s="155"/>
      <c r="M153" s="155"/>
      <c r="N153" s="792">
        <f>N151+N152</f>
        <v>12</v>
      </c>
      <c r="O153" s="155"/>
      <c r="P153" s="926">
        <f>P151+P152</f>
        <v>2757</v>
      </c>
      <c r="Q153" s="750"/>
      <c r="R153" s="750"/>
    </row>
    <row r="154" spans="1:18" s="4" customFormat="1" ht="14.5" x14ac:dyDescent="0.35">
      <c r="A154" s="723" t="s">
        <v>2188</v>
      </c>
      <c r="B154" s="187"/>
      <c r="C154" s="153"/>
      <c r="D154" s="102"/>
      <c r="E154" s="154"/>
      <c r="F154" s="155"/>
      <c r="G154" s="5"/>
      <c r="H154" s="155"/>
      <c r="I154" s="155"/>
      <c r="J154" s="155"/>
      <c r="K154" s="155"/>
      <c r="L154" s="155"/>
      <c r="M154" s="155"/>
      <c r="N154" s="155"/>
      <c r="O154" s="155"/>
      <c r="P154" s="156"/>
      <c r="Q154" s="750"/>
      <c r="R154" s="750"/>
    </row>
    <row r="155" spans="1:18" s="4" customFormat="1" ht="14.5" x14ac:dyDescent="0.35">
      <c r="A155" s="694" t="s">
        <v>2167</v>
      </c>
      <c r="B155" s="187"/>
      <c r="C155" s="153"/>
      <c r="D155" s="102"/>
      <c r="E155" s="154"/>
      <c r="F155" s="155"/>
      <c r="G155" s="5"/>
      <c r="H155" s="155"/>
      <c r="I155" s="155"/>
      <c r="J155" s="155"/>
      <c r="K155" s="155"/>
      <c r="L155" s="155"/>
      <c r="M155" s="155"/>
      <c r="N155" s="155"/>
      <c r="O155" s="750"/>
      <c r="P155" s="155"/>
      <c r="Q155" s="750"/>
      <c r="R155" s="750"/>
    </row>
    <row r="156" spans="1:18" s="4" customFormat="1" ht="14.5" x14ac:dyDescent="0.35">
      <c r="A156" s="755" t="s">
        <v>2189</v>
      </c>
      <c r="B156" s="187"/>
      <c r="C156" s="153"/>
      <c r="D156" s="102"/>
      <c r="E156" s="154"/>
      <c r="F156" s="155"/>
      <c r="G156" s="5"/>
      <c r="H156" s="155"/>
      <c r="I156" s="155"/>
      <c r="J156" s="155"/>
      <c r="K156" s="155"/>
      <c r="L156" s="155"/>
      <c r="M156" s="155"/>
      <c r="N156" s="155"/>
      <c r="O156" s="155"/>
      <c r="P156" s="156"/>
      <c r="Q156" s="750"/>
      <c r="R156" s="750"/>
    </row>
    <row r="157" spans="1:18" s="4" customFormat="1" ht="14.5" x14ac:dyDescent="0.35">
      <c r="A157" s="162"/>
      <c r="B157" s="187"/>
      <c r="C157" s="153"/>
      <c r="D157" s="102"/>
      <c r="E157" s="154"/>
      <c r="F157" s="155"/>
      <c r="G157" s="5"/>
      <c r="H157" s="155"/>
      <c r="I157" s="155"/>
      <c r="J157" s="155"/>
      <c r="K157" s="155"/>
      <c r="L157" s="155"/>
      <c r="M157" s="155"/>
      <c r="N157" s="155"/>
      <c r="O157" s="155"/>
      <c r="P157" s="156"/>
      <c r="Q157" s="750"/>
      <c r="R157" s="750"/>
    </row>
    <row r="158" spans="1:18" s="185" customFormat="1" ht="14.75" customHeight="1" x14ac:dyDescent="0.5">
      <c r="A158" s="472" t="str">
        <f>A138</f>
        <v xml:space="preserve">osimertinib plus chemotherapy </v>
      </c>
      <c r="B158" s="473"/>
      <c r="C158" s="433"/>
      <c r="D158" s="433"/>
      <c r="E158" s="433"/>
      <c r="F158" s="433"/>
      <c r="G158" s="433"/>
      <c r="H158" s="433"/>
      <c r="I158" s="433"/>
      <c r="J158" s="433"/>
      <c r="K158" s="433"/>
      <c r="L158" s="433"/>
      <c r="M158" s="433"/>
      <c r="N158" s="433"/>
      <c r="O158" s="433"/>
      <c r="P158" s="474"/>
      <c r="Q158" s="187"/>
      <c r="R158" s="744"/>
    </row>
    <row r="159" spans="1:18" s="185" customFormat="1" ht="14.75" customHeight="1" thickBot="1" x14ac:dyDescent="0.55000000000000004">
      <c r="A159" s="475"/>
      <c r="B159" s="524"/>
      <c r="C159" s="525"/>
      <c r="D159" s="525"/>
      <c r="E159" s="525"/>
      <c r="F159" s="525"/>
      <c r="G159" s="525"/>
      <c r="H159" s="525"/>
      <c r="I159" s="525"/>
      <c r="J159" s="525"/>
      <c r="K159" s="525"/>
      <c r="L159" s="525"/>
      <c r="M159" s="525"/>
      <c r="N159" s="525"/>
      <c r="O159" s="525"/>
      <c r="P159" s="622"/>
      <c r="Q159" s="187"/>
      <c r="R159" s="744"/>
    </row>
    <row r="160" spans="1:18" s="185" customFormat="1" ht="15" thickBot="1" x14ac:dyDescent="0.4">
      <c r="A160" s="183" t="s">
        <v>2190</v>
      </c>
      <c r="B160" s="854" t="s">
        <v>2036</v>
      </c>
      <c r="C160" s="855"/>
      <c r="D160" s="855"/>
      <c r="E160" s="855"/>
      <c r="F160" s="855"/>
      <c r="G160" s="856" t="s">
        <v>2068</v>
      </c>
      <c r="H160" s="856"/>
      <c r="I160" s="855"/>
      <c r="J160" s="855"/>
      <c r="K160" s="855"/>
      <c r="L160" s="855"/>
      <c r="M160" s="855"/>
      <c r="N160" s="855"/>
      <c r="O160" s="855"/>
      <c r="P160" s="857"/>
      <c r="Q160" s="187"/>
      <c r="R160" s="744"/>
    </row>
    <row r="161" spans="1:18" s="185" customFormat="1" ht="66" customHeight="1" x14ac:dyDescent="0.35">
      <c r="A161" s="831" t="s">
        <v>1888</v>
      </c>
      <c r="B161" s="817" t="s">
        <v>2035</v>
      </c>
      <c r="C161" s="189" t="s">
        <v>1858</v>
      </c>
      <c r="D161" s="189" t="s">
        <v>1859</v>
      </c>
      <c r="E161" s="189" t="s">
        <v>1860</v>
      </c>
      <c r="F161" s="823" t="s">
        <v>1861</v>
      </c>
      <c r="G161" s="189" t="s">
        <v>2177</v>
      </c>
      <c r="H161" s="189" t="s">
        <v>2178</v>
      </c>
      <c r="I161" s="189" t="s">
        <v>1890</v>
      </c>
      <c r="J161" s="189" t="s">
        <v>2002</v>
      </c>
      <c r="K161" s="189" t="s">
        <v>1892</v>
      </c>
      <c r="L161" s="189" t="s">
        <v>1893</v>
      </c>
      <c r="M161" s="189" t="s">
        <v>1894</v>
      </c>
      <c r="N161" s="186" t="s">
        <v>1895</v>
      </c>
      <c r="O161" s="189" t="s">
        <v>2069</v>
      </c>
      <c r="P161" s="822" t="s">
        <v>1896</v>
      </c>
      <c r="Q161" s="187"/>
      <c r="R161" s="744"/>
    </row>
    <row r="162" spans="1:18" s="185" customFormat="1" ht="14.5" x14ac:dyDescent="0.35">
      <c r="A162" s="923" t="s">
        <v>2191</v>
      </c>
      <c r="B162" s="872" t="str">
        <f t="shared" ref="B162:F163" si="19">B33</f>
        <v>Oral</v>
      </c>
      <c r="C162" s="806" t="str">
        <f t="shared" si="19"/>
        <v>tablet</v>
      </c>
      <c r="D162" s="881">
        <f t="shared" si="19"/>
        <v>80</v>
      </c>
      <c r="E162" s="881">
        <f t="shared" si="19"/>
        <v>30</v>
      </c>
      <c r="F162" s="882">
        <f t="shared" si="19"/>
        <v>2400</v>
      </c>
      <c r="G162" s="647">
        <v>80</v>
      </c>
      <c r="H162" s="647" t="s">
        <v>2179</v>
      </c>
      <c r="I162" s="552">
        <v>30</v>
      </c>
      <c r="J162" s="551">
        <f>((16.5-(J142+J145))*30.25)/30</f>
        <v>4.5374999999999996</v>
      </c>
      <c r="K162" s="814">
        <f>J162*I162*G162</f>
        <v>10890</v>
      </c>
      <c r="L162" s="816">
        <f>K162/F162</f>
        <v>4.5374999999999996</v>
      </c>
      <c r="M162" s="812">
        <f>G33</f>
        <v>0</v>
      </c>
      <c r="N162" s="813">
        <f>H33</f>
        <v>0.2</v>
      </c>
      <c r="O162" s="648">
        <v>1</v>
      </c>
      <c r="P162" s="917">
        <f>L162*M162*(1+N162)*O162</f>
        <v>0</v>
      </c>
      <c r="Q162" s="187"/>
      <c r="R162" s="744"/>
    </row>
    <row r="163" spans="1:18" s="185" customFormat="1" ht="14.5" x14ac:dyDescent="0.35">
      <c r="A163" s="923" t="s">
        <v>2192</v>
      </c>
      <c r="B163" s="836" t="str">
        <f t="shared" si="19"/>
        <v>IV</v>
      </c>
      <c r="C163" s="805" t="str">
        <f t="shared" si="19"/>
        <v xml:space="preserve">infusion bag </v>
      </c>
      <c r="D163" s="883">
        <f t="shared" si="19"/>
        <v>900</v>
      </c>
      <c r="E163" s="875">
        <f t="shared" si="19"/>
        <v>1</v>
      </c>
      <c r="F163" s="876">
        <f t="shared" si="19"/>
        <v>900</v>
      </c>
      <c r="G163" s="647">
        <v>500</v>
      </c>
      <c r="H163" s="753">
        <v>1.79</v>
      </c>
      <c r="I163" s="552">
        <v>1</v>
      </c>
      <c r="J163" s="928">
        <f>((16.5-(J142+J145))*30.25)/21</f>
        <v>6.4821428571428568</v>
      </c>
      <c r="K163" s="814">
        <f>G163*H163*I163*J163</f>
        <v>5801.5178571428569</v>
      </c>
      <c r="L163" s="816">
        <f>K163/F163</f>
        <v>6.446130952380952</v>
      </c>
      <c r="M163" s="812">
        <f>G34</f>
        <v>136.72</v>
      </c>
      <c r="N163" s="813">
        <f>H34</f>
        <v>0.2</v>
      </c>
      <c r="O163" s="648">
        <v>1</v>
      </c>
      <c r="P163" s="917">
        <f>L163*M163*(1+N163)*O163</f>
        <v>1057.5780285714284</v>
      </c>
      <c r="Q163" s="187"/>
      <c r="R163" s="744"/>
    </row>
    <row r="164" spans="1:18" s="185" customFormat="1" ht="15" thickBot="1" x14ac:dyDescent="0.4">
      <c r="A164" s="924" t="s">
        <v>2191</v>
      </c>
      <c r="B164" s="867" t="str">
        <f>B33</f>
        <v>Oral</v>
      </c>
      <c r="C164" s="868" t="str">
        <f>C33</f>
        <v>tablet</v>
      </c>
      <c r="D164" s="884">
        <f>D33</f>
        <v>80</v>
      </c>
      <c r="E164" s="884">
        <f>E33</f>
        <v>30</v>
      </c>
      <c r="F164" s="885">
        <f>F33</f>
        <v>2400</v>
      </c>
      <c r="G164" s="859">
        <v>80</v>
      </c>
      <c r="H164" s="859" t="s">
        <v>2179</v>
      </c>
      <c r="I164" s="860">
        <v>30</v>
      </c>
      <c r="J164" s="829">
        <f>12-J162</f>
        <v>7.4625000000000004</v>
      </c>
      <c r="K164" s="848">
        <f>J164*I164*G164</f>
        <v>17910</v>
      </c>
      <c r="L164" s="849">
        <f>K164/F164</f>
        <v>7.4625000000000004</v>
      </c>
      <c r="M164" s="850">
        <f>G33</f>
        <v>0</v>
      </c>
      <c r="N164" s="851">
        <f>H35</f>
        <v>0.2</v>
      </c>
      <c r="O164" s="830">
        <v>1</v>
      </c>
      <c r="P164" s="918">
        <f>L164*M164*(1+N164)*O164</f>
        <v>0</v>
      </c>
      <c r="Q164" s="187"/>
      <c r="R164" s="744"/>
    </row>
    <row r="165" spans="1:18" s="185" customFormat="1" ht="15" thickBot="1" x14ac:dyDescent="0.4">
      <c r="A165" s="650" t="s">
        <v>1897</v>
      </c>
      <c r="B165" s="321"/>
      <c r="C165" s="321"/>
      <c r="D165" s="321"/>
      <c r="E165" s="321"/>
      <c r="F165" s="321"/>
      <c r="G165" s="321"/>
      <c r="H165" s="321"/>
      <c r="I165" s="321"/>
      <c r="J165" s="321"/>
      <c r="K165" s="321"/>
      <c r="L165" s="321"/>
      <c r="M165" s="321"/>
      <c r="N165" s="321"/>
      <c r="O165" s="321"/>
      <c r="P165" s="862">
        <f>SUM(P162:P164)</f>
        <v>1057.5780285714284</v>
      </c>
      <c r="Q165" s="187"/>
      <c r="R165" s="744"/>
    </row>
    <row r="166" spans="1:18" s="185" customFormat="1" ht="14.5" x14ac:dyDescent="0.35">
      <c r="A166" s="602"/>
      <c r="B166" s="187"/>
      <c r="C166" s="187"/>
      <c r="D166" s="187"/>
      <c r="E166" s="187"/>
      <c r="F166" s="187"/>
      <c r="G166" s="187"/>
      <c r="H166" s="187"/>
      <c r="I166" s="187"/>
      <c r="J166" s="187"/>
      <c r="K166" s="187"/>
      <c r="L166" s="187"/>
      <c r="M166" s="187"/>
      <c r="N166" s="187"/>
      <c r="O166" s="187"/>
      <c r="P166" s="434"/>
      <c r="Q166" s="187"/>
      <c r="R166" s="744"/>
    </row>
    <row r="167" spans="1:18" s="185" customFormat="1" ht="14.5" x14ac:dyDescent="0.35">
      <c r="A167" s="183" t="s">
        <v>1898</v>
      </c>
      <c r="B167" s="187"/>
      <c r="C167" s="153"/>
      <c r="D167" s="102"/>
      <c r="E167" s="154"/>
      <c r="F167" s="155"/>
      <c r="G167" s="5"/>
      <c r="H167" s="5"/>
      <c r="I167" s="155"/>
      <c r="J167" s="155"/>
      <c r="K167" s="155"/>
      <c r="L167" s="155"/>
      <c r="M167" s="187"/>
      <c r="N167" s="187"/>
      <c r="O167" s="187"/>
      <c r="P167" s="434"/>
      <c r="Q167" s="187"/>
      <c r="R167" s="744"/>
    </row>
    <row r="168" spans="1:18" s="185" customFormat="1" ht="29" x14ac:dyDescent="0.35">
      <c r="A168" s="186" t="s">
        <v>1899</v>
      </c>
      <c r="B168" s="865" t="s">
        <v>1900</v>
      </c>
      <c r="C168" s="191" t="s">
        <v>1901</v>
      </c>
      <c r="D168" s="227"/>
      <c r="E168" s="228"/>
      <c r="F168" s="228"/>
      <c r="G168" s="228"/>
      <c r="H168" s="228"/>
      <c r="I168" s="228"/>
      <c r="J168" s="229"/>
      <c r="K168" s="228"/>
      <c r="L168" s="228"/>
      <c r="M168" s="228"/>
      <c r="N168" s="189" t="s">
        <v>1891</v>
      </c>
      <c r="O168" s="186" t="s">
        <v>1902</v>
      </c>
      <c r="P168" s="189" t="s">
        <v>1896</v>
      </c>
      <c r="Q168" s="187"/>
      <c r="R168" s="744"/>
    </row>
    <row r="169" spans="1:18" s="185" customFormat="1" ht="14.5" x14ac:dyDescent="0.35">
      <c r="A169" s="925" t="s">
        <v>2191</v>
      </c>
      <c r="B169" s="866" t="s">
        <v>2170</v>
      </c>
      <c r="C169" s="311" t="s">
        <v>2187</v>
      </c>
      <c r="D169" s="312"/>
      <c r="E169" s="313"/>
      <c r="F169" s="314"/>
      <c r="G169" s="314"/>
      <c r="H169" s="314"/>
      <c r="I169" s="314"/>
      <c r="J169" s="313"/>
      <c r="K169" s="313"/>
      <c r="L169" s="313"/>
      <c r="M169" s="315"/>
      <c r="N169" s="310">
        <f>J162</f>
        <v>4.5374999999999996</v>
      </c>
      <c r="O169" s="316">
        <v>184</v>
      </c>
      <c r="P169" s="316">
        <f>O169*N169</f>
        <v>834.9</v>
      </c>
      <c r="Q169" s="187"/>
      <c r="R169" s="744"/>
    </row>
    <row r="170" spans="1:18" s="185" customFormat="1" ht="14.5" x14ac:dyDescent="0.35">
      <c r="A170" s="925" t="s">
        <v>2191</v>
      </c>
      <c r="B170" s="866" t="s">
        <v>1903</v>
      </c>
      <c r="C170" s="435" t="s">
        <v>1904</v>
      </c>
      <c r="D170" s="317"/>
      <c r="E170" s="756"/>
      <c r="F170" s="317"/>
      <c r="G170" s="317"/>
      <c r="H170" s="317"/>
      <c r="I170" s="317"/>
      <c r="J170" s="313"/>
      <c r="K170" s="313"/>
      <c r="L170" s="313"/>
      <c r="M170" s="315"/>
      <c r="N170" s="310">
        <f>J164</f>
        <v>7.4625000000000004</v>
      </c>
      <c r="O170" s="316">
        <v>147</v>
      </c>
      <c r="P170" s="316">
        <f>O170*N170</f>
        <v>1096.9875</v>
      </c>
      <c r="Q170" s="187"/>
      <c r="R170" s="744"/>
    </row>
    <row r="171" spans="1:18" s="4" customFormat="1" ht="14.5" x14ac:dyDescent="0.35">
      <c r="A171" s="724"/>
      <c r="B171" s="187"/>
      <c r="C171" s="153"/>
      <c r="D171" s="102"/>
      <c r="E171" s="154"/>
      <c r="F171" s="155"/>
      <c r="G171" s="5"/>
      <c r="H171" s="155"/>
      <c r="I171" s="155"/>
      <c r="J171" s="155"/>
      <c r="K171" s="155"/>
      <c r="L171" s="155"/>
      <c r="M171" s="155"/>
      <c r="N171" s="792">
        <f>N169+N170</f>
        <v>12</v>
      </c>
      <c r="O171" s="155"/>
      <c r="P171" s="926">
        <f>P169+P170</f>
        <v>1931.8874999999998</v>
      </c>
      <c r="Q171" s="750"/>
      <c r="R171" s="750"/>
    </row>
    <row r="172" spans="1:18" s="4" customFormat="1" ht="14.5" x14ac:dyDescent="0.35">
      <c r="A172" s="723" t="s">
        <v>2188</v>
      </c>
      <c r="B172" s="187"/>
      <c r="C172" s="153"/>
      <c r="D172" s="102"/>
      <c r="E172" s="154"/>
      <c r="F172" s="155"/>
      <c r="G172" s="5"/>
      <c r="H172" s="155"/>
      <c r="I172" s="155"/>
      <c r="J172" s="155"/>
      <c r="K172" s="155"/>
      <c r="L172" s="155"/>
      <c r="M172" s="155"/>
      <c r="N172" s="155"/>
      <c r="O172" s="155"/>
      <c r="P172" s="156"/>
      <c r="Q172" s="750"/>
      <c r="R172" s="750"/>
    </row>
    <row r="173" spans="1:18" s="4" customFormat="1" ht="14.5" x14ac:dyDescent="0.35">
      <c r="A173" s="694" t="s">
        <v>2167</v>
      </c>
      <c r="B173" s="187"/>
      <c r="C173" s="153"/>
      <c r="D173" s="102"/>
      <c r="E173" s="154"/>
      <c r="F173" s="155"/>
      <c r="G173" s="5"/>
      <c r="H173" s="155"/>
      <c r="I173" s="155"/>
      <c r="J173" s="155"/>
      <c r="K173" s="155"/>
      <c r="L173" s="155"/>
      <c r="M173" s="155"/>
      <c r="N173" s="155"/>
      <c r="O173" s="155"/>
      <c r="P173" s="156"/>
      <c r="Q173" s="750"/>
      <c r="R173" s="750"/>
    </row>
    <row r="174" spans="1:18" s="4" customFormat="1" ht="14.5" x14ac:dyDescent="0.35">
      <c r="A174" s="755" t="s">
        <v>2189</v>
      </c>
      <c r="B174" s="187"/>
      <c r="C174" s="153"/>
      <c r="D174" s="102"/>
      <c r="E174" s="154"/>
      <c r="F174" s="155"/>
      <c r="G174" s="5"/>
      <c r="H174" s="155"/>
      <c r="I174" s="155"/>
      <c r="J174" s="155"/>
      <c r="K174" s="155"/>
      <c r="L174" s="155"/>
      <c r="M174" s="155"/>
      <c r="N174" s="155"/>
      <c r="O174" s="155"/>
      <c r="P174" s="156"/>
      <c r="Q174" s="750"/>
      <c r="R174" s="750"/>
    </row>
    <row r="175" spans="1:18" s="4" customFormat="1" ht="14.5" x14ac:dyDescent="0.35">
      <c r="A175" s="694"/>
      <c r="B175" s="187"/>
      <c r="C175" s="153"/>
      <c r="D175" s="102"/>
      <c r="E175" s="154"/>
      <c r="F175" s="155"/>
      <c r="G175" s="5"/>
      <c r="H175" s="155"/>
      <c r="I175" s="155"/>
      <c r="J175" s="155"/>
      <c r="K175" s="155"/>
      <c r="L175" s="155"/>
      <c r="M175" s="155"/>
      <c r="N175" s="155"/>
      <c r="O175" s="155"/>
      <c r="P175" s="156"/>
      <c r="Q175" s="750"/>
      <c r="R175" s="750"/>
    </row>
    <row r="176" spans="1:18" s="4" customFormat="1" ht="14.5" x14ac:dyDescent="0.35">
      <c r="A176" s="162"/>
      <c r="B176" s="187"/>
      <c r="C176" s="153"/>
      <c r="D176" s="102"/>
      <c r="E176" s="154"/>
      <c r="F176" s="155"/>
      <c r="G176" s="5"/>
      <c r="H176" s="155"/>
      <c r="I176" s="155"/>
      <c r="J176" s="155"/>
      <c r="K176" s="155"/>
      <c r="L176" s="155"/>
      <c r="M176" s="155"/>
      <c r="N176" s="155"/>
      <c r="O176" s="155"/>
      <c r="P176" s="156"/>
      <c r="Q176" s="750"/>
      <c r="R176" s="750"/>
    </row>
    <row r="177" spans="1:18" s="185" customFormat="1" ht="14.75" customHeight="1" x14ac:dyDescent="0.5">
      <c r="A177" s="472" t="str">
        <f>A158</f>
        <v xml:space="preserve">osimertinib plus chemotherapy </v>
      </c>
      <c r="B177" s="473"/>
      <c r="C177" s="433"/>
      <c r="D177" s="433"/>
      <c r="E177" s="433"/>
      <c r="F177" s="433"/>
      <c r="G177" s="433"/>
      <c r="H177" s="433"/>
      <c r="I177" s="433"/>
      <c r="J177" s="433"/>
      <c r="K177" s="433"/>
      <c r="L177" s="433"/>
      <c r="M177" s="433"/>
      <c r="N177" s="433"/>
      <c r="O177" s="433"/>
      <c r="P177" s="474"/>
      <c r="Q177" s="187"/>
      <c r="R177" s="744"/>
    </row>
    <row r="178" spans="1:18" s="185" customFormat="1" ht="14.75" customHeight="1" thickBot="1" x14ac:dyDescent="0.55000000000000004">
      <c r="A178" s="475"/>
      <c r="B178" s="524"/>
      <c r="C178" s="525"/>
      <c r="D178" s="525"/>
      <c r="E178" s="525"/>
      <c r="F178" s="525"/>
      <c r="G178" s="525"/>
      <c r="H178" s="525"/>
      <c r="I178" s="525"/>
      <c r="J178" s="525"/>
      <c r="K178" s="525"/>
      <c r="L178" s="525"/>
      <c r="M178" s="525"/>
      <c r="N178" s="525"/>
      <c r="O178" s="525"/>
      <c r="P178" s="622"/>
      <c r="Q178" s="187"/>
      <c r="R178" s="744"/>
    </row>
    <row r="179" spans="1:18" s="185" customFormat="1" ht="15" thickBot="1" x14ac:dyDescent="0.4">
      <c r="A179" s="183" t="s">
        <v>2193</v>
      </c>
      <c r="B179" s="854" t="s">
        <v>2036</v>
      </c>
      <c r="C179" s="855"/>
      <c r="D179" s="855"/>
      <c r="E179" s="855"/>
      <c r="F179" s="855"/>
      <c r="G179" s="856" t="s">
        <v>2068</v>
      </c>
      <c r="H179" s="856"/>
      <c r="I179" s="855"/>
      <c r="J179" s="855"/>
      <c r="K179" s="855"/>
      <c r="L179" s="855"/>
      <c r="M179" s="855"/>
      <c r="N179" s="855"/>
      <c r="O179" s="855"/>
      <c r="P179" s="857"/>
      <c r="Q179" s="187"/>
      <c r="R179" s="744"/>
    </row>
    <row r="180" spans="1:18" s="185" customFormat="1" ht="66" customHeight="1" x14ac:dyDescent="0.35">
      <c r="A180" s="831" t="s">
        <v>1888</v>
      </c>
      <c r="B180" s="817" t="s">
        <v>2035</v>
      </c>
      <c r="C180" s="189" t="s">
        <v>1858</v>
      </c>
      <c r="D180" s="189" t="s">
        <v>1859</v>
      </c>
      <c r="E180" s="189" t="s">
        <v>1860</v>
      </c>
      <c r="F180" s="823" t="s">
        <v>1861</v>
      </c>
      <c r="G180" s="189" t="s">
        <v>1889</v>
      </c>
      <c r="H180" s="189" t="s">
        <v>2178</v>
      </c>
      <c r="I180" s="189" t="s">
        <v>1890</v>
      </c>
      <c r="J180" s="189" t="s">
        <v>2002</v>
      </c>
      <c r="K180" s="189" t="s">
        <v>1892</v>
      </c>
      <c r="L180" s="189" t="s">
        <v>1893</v>
      </c>
      <c r="M180" s="189" t="s">
        <v>1894</v>
      </c>
      <c r="N180" s="186" t="s">
        <v>1895</v>
      </c>
      <c r="O180" s="189" t="s">
        <v>2069</v>
      </c>
      <c r="P180" s="822" t="s">
        <v>1896</v>
      </c>
      <c r="Q180" s="187"/>
      <c r="R180" s="744"/>
    </row>
    <row r="181" spans="1:18" s="185" customFormat="1" ht="15" thickBot="1" x14ac:dyDescent="0.4">
      <c r="A181" s="924" t="s">
        <v>2191</v>
      </c>
      <c r="B181" s="867" t="str">
        <f>B33</f>
        <v>Oral</v>
      </c>
      <c r="C181" s="868" t="str">
        <f t="shared" ref="C181:E181" si="20">C33</f>
        <v>tablet</v>
      </c>
      <c r="D181" s="868">
        <f t="shared" si="20"/>
        <v>80</v>
      </c>
      <c r="E181" s="868">
        <f t="shared" si="20"/>
        <v>30</v>
      </c>
      <c r="F181" s="885">
        <f>D181*E181</f>
        <v>2400</v>
      </c>
      <c r="G181" s="859">
        <v>80</v>
      </c>
      <c r="H181" s="859" t="s">
        <v>2179</v>
      </c>
      <c r="I181" s="860">
        <v>30</v>
      </c>
      <c r="J181" s="829">
        <v>8.9</v>
      </c>
      <c r="K181" s="848">
        <f>J181*I181*G181</f>
        <v>21360</v>
      </c>
      <c r="L181" s="849">
        <f>K181/F181</f>
        <v>8.9</v>
      </c>
      <c r="M181" s="850">
        <f>G33</f>
        <v>0</v>
      </c>
      <c r="N181" s="851">
        <f>H33</f>
        <v>0.2</v>
      </c>
      <c r="O181" s="830">
        <v>1</v>
      </c>
      <c r="P181" s="918">
        <f>L181*M181*(1+N181)*O181</f>
        <v>0</v>
      </c>
      <c r="Q181" s="187"/>
      <c r="R181" s="744"/>
    </row>
    <row r="182" spans="1:18" s="185" customFormat="1" ht="15" thickBot="1" x14ac:dyDescent="0.4">
      <c r="A182" s="650" t="s">
        <v>1897</v>
      </c>
      <c r="B182" s="321"/>
      <c r="C182" s="321"/>
      <c r="D182" s="321"/>
      <c r="E182" s="321"/>
      <c r="F182" s="321"/>
      <c r="G182" s="321"/>
      <c r="H182" s="321"/>
      <c r="I182" s="321"/>
      <c r="J182" s="321"/>
      <c r="K182" s="321"/>
      <c r="L182" s="321"/>
      <c r="M182" s="321"/>
      <c r="N182" s="321"/>
      <c r="O182" s="321"/>
      <c r="P182" s="862">
        <f>SUM(P181:P181)</f>
        <v>0</v>
      </c>
      <c r="Q182" s="187"/>
      <c r="R182" s="744"/>
    </row>
    <row r="183" spans="1:18" s="185" customFormat="1" ht="14.5" x14ac:dyDescent="0.35">
      <c r="A183" s="602"/>
      <c r="B183" s="187"/>
      <c r="C183" s="187"/>
      <c r="D183" s="187"/>
      <c r="E183" s="187"/>
      <c r="F183" s="187"/>
      <c r="G183" s="187"/>
      <c r="H183" s="187"/>
      <c r="I183" s="187"/>
      <c r="J183" s="187"/>
      <c r="K183" s="187"/>
      <c r="L183" s="187"/>
      <c r="M183" s="187"/>
      <c r="N183" s="187"/>
      <c r="O183" s="187"/>
      <c r="P183" s="434"/>
      <c r="Q183" s="187"/>
      <c r="R183" s="744"/>
    </row>
    <row r="184" spans="1:18" s="185" customFormat="1" ht="14.5" x14ac:dyDescent="0.35">
      <c r="A184" s="601" t="s">
        <v>1898</v>
      </c>
      <c r="B184" s="187"/>
      <c r="C184" s="153"/>
      <c r="D184" s="102"/>
      <c r="E184" s="154"/>
      <c r="F184" s="155"/>
      <c r="G184" s="5"/>
      <c r="H184" s="5"/>
      <c r="I184" s="155"/>
      <c r="J184" s="155"/>
      <c r="K184" s="155"/>
      <c r="L184" s="155"/>
      <c r="M184" s="187"/>
      <c r="N184" s="187"/>
      <c r="O184" s="187"/>
      <c r="P184" s="434"/>
      <c r="Q184" s="187"/>
      <c r="R184" s="744"/>
    </row>
    <row r="185" spans="1:18" s="185" customFormat="1" ht="29" x14ac:dyDescent="0.35">
      <c r="A185" s="526" t="s">
        <v>1899</v>
      </c>
      <c r="B185" s="188" t="s">
        <v>1900</v>
      </c>
      <c r="C185" s="191" t="s">
        <v>1901</v>
      </c>
      <c r="D185" s="227"/>
      <c r="E185" s="228"/>
      <c r="F185" s="228"/>
      <c r="G185" s="228"/>
      <c r="H185" s="228"/>
      <c r="I185" s="228"/>
      <c r="J185" s="229"/>
      <c r="K185" s="228"/>
      <c r="L185" s="228"/>
      <c r="M185" s="228"/>
      <c r="N185" s="189" t="s">
        <v>1891</v>
      </c>
      <c r="O185" s="186" t="s">
        <v>1902</v>
      </c>
      <c r="P185" s="189" t="s">
        <v>1896</v>
      </c>
      <c r="Q185" s="187"/>
      <c r="R185" s="744"/>
    </row>
    <row r="186" spans="1:18" s="185" customFormat="1" ht="14.5" x14ac:dyDescent="0.35">
      <c r="A186" s="925" t="s">
        <v>2191</v>
      </c>
      <c r="B186" s="754" t="s">
        <v>1903</v>
      </c>
      <c r="C186" s="435" t="s">
        <v>1904</v>
      </c>
      <c r="D186" s="317"/>
      <c r="E186" s="756"/>
      <c r="F186" s="317"/>
      <c r="G186" s="317"/>
      <c r="H186" s="317"/>
      <c r="I186" s="317"/>
      <c r="J186" s="313"/>
      <c r="K186" s="313"/>
      <c r="L186" s="313"/>
      <c r="M186" s="315"/>
      <c r="N186" s="310">
        <f>J181</f>
        <v>8.9</v>
      </c>
      <c r="O186" s="316">
        <v>147</v>
      </c>
      <c r="P186" s="316">
        <f>O186*N186</f>
        <v>1308.3</v>
      </c>
      <c r="Q186" s="187"/>
      <c r="R186" s="744"/>
    </row>
    <row r="187" spans="1:18" s="4" customFormat="1" ht="14.5" x14ac:dyDescent="0.35">
      <c r="A187" s="724"/>
      <c r="B187" s="187"/>
      <c r="C187" s="153"/>
      <c r="D187" s="102"/>
      <c r="E187" s="154"/>
      <c r="F187" s="155"/>
      <c r="G187" s="5"/>
      <c r="H187" s="5"/>
      <c r="I187" s="155"/>
      <c r="J187" s="155"/>
      <c r="K187" s="155"/>
      <c r="L187" s="155"/>
      <c r="M187" s="155"/>
      <c r="N187" s="155"/>
      <c r="O187" s="155"/>
      <c r="P187" s="926">
        <f>P186</f>
        <v>1308.3</v>
      </c>
      <c r="Q187" s="750"/>
      <c r="R187" s="750"/>
    </row>
    <row r="188" spans="1:18" s="4" customFormat="1" ht="14.5" x14ac:dyDescent="0.35">
      <c r="A188" s="723" t="s">
        <v>2188</v>
      </c>
      <c r="B188" s="187"/>
      <c r="C188" s="153"/>
      <c r="D188" s="102"/>
      <c r="E188" s="154"/>
      <c r="F188" s="155"/>
      <c r="G188" s="5"/>
      <c r="H188" s="155"/>
      <c r="I188" s="155"/>
      <c r="J188" s="155"/>
      <c r="K188" s="155"/>
      <c r="L188" s="155"/>
      <c r="M188" s="155"/>
      <c r="N188" s="155"/>
      <c r="O188" s="155"/>
      <c r="P188" s="156"/>
      <c r="Q188" s="750"/>
      <c r="R188" s="750"/>
    </row>
    <row r="189" spans="1:18" s="4" customFormat="1" ht="14.5" x14ac:dyDescent="0.35">
      <c r="A189" s="694" t="s">
        <v>2167</v>
      </c>
      <c r="B189" s="187"/>
      <c r="C189" s="153"/>
      <c r="D189" s="102"/>
      <c r="E189" s="154"/>
      <c r="F189" s="155"/>
      <c r="G189" s="5"/>
      <c r="H189" s="155"/>
      <c r="I189" s="155"/>
      <c r="J189" s="155"/>
      <c r="K189" s="155"/>
      <c r="L189" s="155"/>
      <c r="M189" s="155"/>
      <c r="N189" s="155"/>
      <c r="O189" s="155"/>
      <c r="P189" s="156"/>
      <c r="Q189" s="750"/>
      <c r="R189" s="750"/>
    </row>
    <row r="190" spans="1:18" s="4" customFormat="1" ht="14.5" x14ac:dyDescent="0.35">
      <c r="A190" s="755" t="s">
        <v>2189</v>
      </c>
      <c r="B190" s="187"/>
      <c r="C190" s="153"/>
      <c r="D190" s="102"/>
      <c r="E190" s="154"/>
      <c r="F190" s="155"/>
      <c r="G190" s="5"/>
      <c r="H190" s="155"/>
      <c r="I190" s="155"/>
      <c r="J190" s="155"/>
      <c r="K190" s="155"/>
      <c r="L190" s="155"/>
      <c r="M190" s="155"/>
      <c r="N190" s="155"/>
      <c r="O190" s="155"/>
      <c r="P190" s="156"/>
      <c r="Q190" s="750"/>
      <c r="R190" s="750"/>
    </row>
    <row r="191" spans="1:18" s="4" customFormat="1" ht="14.5" x14ac:dyDescent="0.35">
      <c r="A191" s="694"/>
      <c r="B191" s="187"/>
      <c r="C191" s="153"/>
      <c r="D191" s="102"/>
      <c r="E191" s="154"/>
      <c r="F191" s="155"/>
      <c r="G191" s="5"/>
      <c r="H191" s="155"/>
      <c r="I191" s="155"/>
      <c r="J191" s="155"/>
      <c r="K191" s="155"/>
      <c r="L191" s="155"/>
      <c r="M191" s="155"/>
      <c r="N191" s="155"/>
      <c r="O191" s="155"/>
      <c r="P191" s="156"/>
      <c r="Q191" s="750"/>
      <c r="R191" s="750"/>
    </row>
    <row r="192" spans="1:18" s="4" customFormat="1" ht="14" x14ac:dyDescent="0.3">
      <c r="A192" s="153"/>
      <c r="B192" s="153"/>
      <c r="C192" s="153"/>
      <c r="D192" s="102"/>
      <c r="E192" s="154"/>
      <c r="F192" s="155"/>
      <c r="G192" s="5"/>
      <c r="H192" s="155"/>
      <c r="I192" s="155"/>
      <c r="J192" s="155"/>
      <c r="K192" s="155"/>
      <c r="L192" s="155"/>
      <c r="M192" s="155"/>
      <c r="N192" s="155"/>
      <c r="O192" s="155"/>
      <c r="P192" s="156"/>
      <c r="Q192" s="750"/>
      <c r="R192" s="750"/>
    </row>
    <row r="193" spans="1:18" s="4" customFormat="1" ht="14.5" x14ac:dyDescent="0.35">
      <c r="A193" s="230" t="s">
        <v>1905</v>
      </c>
      <c r="B193" s="188" t="s">
        <v>1900</v>
      </c>
      <c r="C193" s="191" t="s">
        <v>1901</v>
      </c>
      <c r="D193" s="226"/>
      <c r="E193" s="227"/>
      <c r="F193" s="228"/>
      <c r="G193" s="229"/>
      <c r="H193" s="228"/>
      <c r="I193" s="229"/>
      <c r="J193" s="228"/>
      <c r="K193" s="231" t="s">
        <v>1902</v>
      </c>
      <c r="L193" s="155"/>
      <c r="M193" s="744"/>
      <c r="N193" s="745"/>
      <c r="O193" s="745"/>
      <c r="P193" s="156"/>
      <c r="Q193" s="750"/>
      <c r="R193" s="750"/>
    </row>
    <row r="194" spans="1:18" s="4" customFormat="1" ht="14.5" x14ac:dyDescent="0.35">
      <c r="A194" s="309" t="s">
        <v>1906</v>
      </c>
      <c r="B194" s="651" t="s">
        <v>1907</v>
      </c>
      <c r="C194" s="311" t="s">
        <v>1908</v>
      </c>
      <c r="D194" s="317"/>
      <c r="E194" s="312"/>
      <c r="F194" s="313"/>
      <c r="G194" s="314"/>
      <c r="H194" s="314"/>
      <c r="I194" s="313"/>
      <c r="J194" s="315"/>
      <c r="K194" s="316">
        <v>154</v>
      </c>
      <c r="L194" s="155"/>
      <c r="M194" s="745"/>
      <c r="N194" s="745"/>
      <c r="O194" s="745"/>
      <c r="P194" s="156"/>
      <c r="Q194" s="750"/>
      <c r="R194" s="750"/>
    </row>
    <row r="195" spans="1:18" s="4" customFormat="1" ht="14.5" x14ac:dyDescent="0.3">
      <c r="A195" s="694" t="s">
        <v>2218</v>
      </c>
      <c r="B195" s="5"/>
      <c r="C195" s="5"/>
      <c r="D195" s="5"/>
      <c r="E195" s="5"/>
      <c r="F195" s="5"/>
      <c r="G195" s="5"/>
      <c r="H195" s="5"/>
      <c r="I195" s="5"/>
      <c r="J195" s="5"/>
      <c r="K195" s="5"/>
      <c r="L195" s="155"/>
      <c r="M195" s="155"/>
      <c r="N195" s="155"/>
      <c r="O195" s="155"/>
      <c r="P195" s="156"/>
      <c r="Q195" s="750"/>
      <c r="R195" s="750"/>
    </row>
    <row r="196" spans="1:18" s="4" customFormat="1" ht="14.5" x14ac:dyDescent="0.35">
      <c r="A196" s="162"/>
      <c r="B196" s="5"/>
      <c r="C196" s="153"/>
      <c r="D196" s="102"/>
      <c r="E196" s="154"/>
      <c r="F196" s="155"/>
      <c r="G196" s="5"/>
      <c r="H196" s="155"/>
      <c r="I196" s="155"/>
      <c r="J196" s="155"/>
      <c r="K196" s="155"/>
      <c r="L196" s="155"/>
      <c r="M196" s="155"/>
      <c r="N196" s="155"/>
      <c r="O196" s="155"/>
      <c r="P196" s="156"/>
      <c r="Q196" s="750"/>
      <c r="R196" s="750"/>
    </row>
    <row r="197" spans="1:18" s="4" customFormat="1" ht="14.5" x14ac:dyDescent="0.35">
      <c r="A197" s="162"/>
      <c r="B197" s="5"/>
      <c r="C197" s="153"/>
      <c r="D197" s="102"/>
      <c r="E197" s="154"/>
      <c r="F197" s="155"/>
      <c r="G197" s="5"/>
      <c r="H197" s="155"/>
      <c r="I197" s="155"/>
      <c r="J197" s="155"/>
      <c r="K197" s="155"/>
      <c r="L197" s="155"/>
      <c r="M197" s="155"/>
      <c r="N197" s="155"/>
      <c r="O197" s="155"/>
      <c r="P197" s="156"/>
      <c r="Q197" s="750"/>
      <c r="R197" s="750"/>
    </row>
    <row r="198" spans="1:18" s="4" customFormat="1" ht="14.5" x14ac:dyDescent="0.35">
      <c r="A198" s="230"/>
      <c r="B198" s="153"/>
      <c r="C198" s="153"/>
      <c r="D198" s="102"/>
      <c r="E198" s="154"/>
      <c r="F198" s="155"/>
      <c r="G198" s="5"/>
      <c r="H198" s="155"/>
      <c r="I198" s="155"/>
      <c r="J198" s="155"/>
      <c r="K198" s="155"/>
      <c r="L198" s="155"/>
      <c r="M198" s="155"/>
      <c r="N198" s="155"/>
      <c r="O198" s="155"/>
      <c r="P198" s="156"/>
      <c r="Q198" s="750"/>
      <c r="R198" s="750"/>
    </row>
    <row r="199" spans="1:18" s="4" customFormat="1" ht="14.5" x14ac:dyDescent="0.35">
      <c r="A199" s="230" t="s">
        <v>2072</v>
      </c>
      <c r="B199" s="188" t="s">
        <v>1900</v>
      </c>
      <c r="C199" s="191" t="s">
        <v>1901</v>
      </c>
      <c r="D199" s="226"/>
      <c r="E199" s="227"/>
      <c r="F199" s="228"/>
      <c r="G199" s="229"/>
      <c r="H199" s="228"/>
      <c r="I199" s="229"/>
      <c r="J199" s="228"/>
      <c r="K199" s="231" t="s">
        <v>1902</v>
      </c>
      <c r="L199" s="155"/>
      <c r="M199" s="155"/>
      <c r="N199" s="155"/>
      <c r="O199" s="155"/>
      <c r="P199" s="156"/>
      <c r="Q199" s="750"/>
      <c r="R199" s="750"/>
    </row>
    <row r="200" spans="1:18" s="4" customFormat="1" ht="14.5" x14ac:dyDescent="0.35">
      <c r="A200" s="320" t="s">
        <v>2071</v>
      </c>
      <c r="B200" s="651" t="s">
        <v>1909</v>
      </c>
      <c r="C200" s="311" t="s">
        <v>1910</v>
      </c>
      <c r="D200" s="317"/>
      <c r="E200" s="312"/>
      <c r="F200" s="313"/>
      <c r="G200" s="314"/>
      <c r="H200" s="314"/>
      <c r="I200" s="313"/>
      <c r="J200" s="315"/>
      <c r="K200" s="316">
        <v>93</v>
      </c>
      <c r="L200" s="155"/>
      <c r="M200" s="155"/>
      <c r="N200" s="155"/>
      <c r="O200" s="155"/>
      <c r="P200" s="156"/>
      <c r="Q200" s="750"/>
      <c r="R200" s="750"/>
    </row>
    <row r="201" spans="1:18" s="4" customFormat="1" ht="14.5" x14ac:dyDescent="0.35">
      <c r="A201" s="309" t="s">
        <v>2229</v>
      </c>
      <c r="B201" s="651" t="s">
        <v>2228</v>
      </c>
      <c r="C201" s="311" t="s">
        <v>2227</v>
      </c>
      <c r="D201" s="653"/>
      <c r="E201" s="653"/>
      <c r="F201" s="653"/>
      <c r="G201" s="653"/>
      <c r="H201" s="653"/>
      <c r="I201" s="313"/>
      <c r="J201" s="315"/>
      <c r="K201" s="316">
        <v>115</v>
      </c>
      <c r="L201" s="155"/>
      <c r="M201" s="155"/>
      <c r="N201" s="155"/>
      <c r="O201" s="155"/>
      <c r="P201" s="156"/>
      <c r="Q201" s="750"/>
      <c r="R201" s="750"/>
    </row>
    <row r="202" spans="1:18" s="4" customFormat="1" ht="14.5" x14ac:dyDescent="0.3">
      <c r="A202" s="694" t="s">
        <v>2206</v>
      </c>
      <c r="B202" s="507"/>
      <c r="C202" s="508"/>
      <c r="D202" s="509"/>
      <c r="E202" s="510"/>
      <c r="F202" s="511"/>
      <c r="G202" s="507"/>
      <c r="H202" s="511"/>
      <c r="I202" s="511"/>
      <c r="J202" s="511"/>
      <c r="K202" s="511"/>
      <c r="L202" s="155"/>
      <c r="M202" s="155"/>
      <c r="N202" s="155"/>
      <c r="O202" s="155"/>
      <c r="P202" s="156"/>
      <c r="Q202" s="750"/>
      <c r="R202" s="750"/>
    </row>
    <row r="203" spans="1:18" s="4" customFormat="1" ht="14.5" x14ac:dyDescent="0.3">
      <c r="A203" s="323"/>
      <c r="B203" s="5"/>
      <c r="C203" s="153"/>
      <c r="D203" s="102"/>
      <c r="E203" s="154"/>
      <c r="F203" s="155"/>
      <c r="G203" s="5"/>
      <c r="H203" s="155"/>
      <c r="I203" s="155"/>
      <c r="J203" s="155"/>
      <c r="K203" s="155"/>
      <c r="L203" s="155"/>
      <c r="M203" s="155"/>
      <c r="N203" s="155"/>
      <c r="O203" s="155"/>
      <c r="P203" s="156"/>
      <c r="Q203" s="750"/>
      <c r="R203" s="750"/>
    </row>
    <row r="204" spans="1:18" s="4" customFormat="1" ht="14.5" x14ac:dyDescent="0.3">
      <c r="A204" s="323"/>
      <c r="B204" s="5"/>
      <c r="C204" s="153"/>
      <c r="D204" s="102"/>
      <c r="E204" s="154"/>
      <c r="F204" s="155"/>
      <c r="G204" s="5"/>
      <c r="H204" s="155"/>
      <c r="I204" s="155"/>
      <c r="J204" s="155"/>
      <c r="K204" s="155"/>
      <c r="L204" s="155"/>
      <c r="M204" s="155"/>
      <c r="N204" s="155"/>
      <c r="O204" s="155"/>
      <c r="P204" s="156"/>
      <c r="Q204" s="750"/>
      <c r="R204" s="750"/>
    </row>
    <row r="205" spans="1:18" s="4" customFormat="1" ht="14" x14ac:dyDescent="0.3">
      <c r="A205" s="153"/>
      <c r="B205" s="153"/>
      <c r="C205" s="153"/>
      <c r="D205" s="102"/>
      <c r="E205" s="154"/>
      <c r="F205" s="155"/>
      <c r="G205" s="5"/>
      <c r="H205" s="155"/>
      <c r="I205" s="155"/>
      <c r="J205" s="155"/>
      <c r="K205" s="155"/>
      <c r="L205" s="155"/>
      <c r="M205" s="155"/>
      <c r="N205" s="155"/>
      <c r="O205" s="155"/>
      <c r="P205" s="156"/>
      <c r="Q205" s="750"/>
      <c r="R205" s="750"/>
    </row>
    <row r="206" spans="1:18" s="4" customFormat="1" ht="14.5" x14ac:dyDescent="0.35">
      <c r="A206" s="230" t="s">
        <v>1911</v>
      </c>
      <c r="B206" s="188" t="s">
        <v>1900</v>
      </c>
      <c r="C206" s="191" t="s">
        <v>1901</v>
      </c>
      <c r="D206" s="226"/>
      <c r="E206" s="227"/>
      <c r="F206" s="228"/>
      <c r="G206" s="229"/>
      <c r="H206" s="654"/>
      <c r="I206" s="229"/>
      <c r="J206" s="228"/>
      <c r="K206" s="231" t="s">
        <v>1902</v>
      </c>
      <c r="L206" s="155"/>
      <c r="M206" s="155"/>
      <c r="N206" s="155"/>
      <c r="O206" s="155"/>
      <c r="P206" s="156"/>
      <c r="Q206" s="750"/>
      <c r="R206" s="750"/>
    </row>
    <row r="207" spans="1:18" s="4" customFormat="1" ht="14.5" x14ac:dyDescent="0.35">
      <c r="A207" s="320" t="s">
        <v>2224</v>
      </c>
      <c r="B207" s="651" t="s">
        <v>1912</v>
      </c>
      <c r="C207" s="311" t="s">
        <v>2223</v>
      </c>
      <c r="D207" s="317"/>
      <c r="E207" s="312"/>
      <c r="F207" s="313"/>
      <c r="G207" s="314"/>
      <c r="H207" s="655"/>
      <c r="I207" s="313"/>
      <c r="J207" s="315"/>
      <c r="K207" s="316">
        <v>15</v>
      </c>
      <c r="L207" s="155"/>
      <c r="M207" s="155"/>
      <c r="N207" s="155"/>
      <c r="O207" s="155"/>
      <c r="P207" s="156"/>
      <c r="Q207" s="750"/>
      <c r="R207" s="750"/>
    </row>
    <row r="208" spans="1:18" s="4" customFormat="1" ht="14.5" x14ac:dyDescent="0.35">
      <c r="A208" s="642" t="s">
        <v>2207</v>
      </c>
      <c r="B208" s="5"/>
      <c r="C208" s="153"/>
      <c r="D208" s="102"/>
      <c r="E208" s="154"/>
      <c r="F208" s="155"/>
      <c r="G208" s="5"/>
      <c r="H208" s="155"/>
      <c r="I208" s="155"/>
      <c r="J208" s="155"/>
      <c r="K208" s="155"/>
      <c r="L208" s="155"/>
      <c r="M208" s="155"/>
      <c r="N208" s="155"/>
      <c r="O208" s="155"/>
      <c r="P208" s="156"/>
      <c r="Q208" s="750"/>
      <c r="R208" s="750"/>
    </row>
    <row r="209" spans="1:18" s="4" customFormat="1" ht="14.5" x14ac:dyDescent="0.35">
      <c r="A209" s="213"/>
      <c r="B209" s="5"/>
      <c r="C209" s="153"/>
      <c r="D209" s="102"/>
      <c r="E209" s="154"/>
      <c r="F209" s="155"/>
      <c r="G209" s="5"/>
      <c r="H209" s="155"/>
      <c r="I209" s="155"/>
      <c r="J209" s="155"/>
      <c r="K209" s="155"/>
      <c r="L209" s="155"/>
      <c r="M209" s="155"/>
      <c r="N209" s="155"/>
      <c r="O209" s="155"/>
      <c r="P209" s="156"/>
      <c r="Q209" s="750"/>
      <c r="R209" s="750"/>
    </row>
    <row r="210" spans="1:18" s="4" customFormat="1" ht="14.5" x14ac:dyDescent="0.35">
      <c r="A210" s="213"/>
      <c r="B210" s="5"/>
      <c r="C210" s="153"/>
      <c r="D210" s="102"/>
      <c r="E210" s="154"/>
      <c r="F210" s="155"/>
      <c r="G210" s="5"/>
      <c r="H210" s="155"/>
      <c r="I210" s="155"/>
      <c r="J210" s="155"/>
      <c r="K210" s="155"/>
      <c r="L210" s="155"/>
      <c r="M210" s="155"/>
      <c r="N210" s="155"/>
      <c r="O210" s="155"/>
      <c r="P210" s="156"/>
      <c r="Q210" s="750"/>
      <c r="R210" s="750"/>
    </row>
    <row r="211" spans="1:18" s="4" customFormat="1" ht="14.5" x14ac:dyDescent="0.35">
      <c r="A211" s="187"/>
      <c r="B211" s="187"/>
      <c r="C211" s="187"/>
      <c r="D211" s="187"/>
      <c r="E211" s="187"/>
      <c r="F211" s="187"/>
      <c r="G211" s="652"/>
      <c r="H211" s="652"/>
      <c r="I211" s="652"/>
      <c r="J211" s="161"/>
      <c r="K211" s="161"/>
      <c r="L211" s="155"/>
      <c r="M211" s="155"/>
      <c r="N211" s="155"/>
      <c r="O211" s="155"/>
      <c r="P211" s="156"/>
      <c r="Q211" s="750"/>
      <c r="R211" s="750"/>
    </row>
    <row r="212" spans="1:18" x14ac:dyDescent="0.25">
      <c r="Q212" s="3"/>
    </row>
    <row r="213" spans="1:18" x14ac:dyDescent="0.25">
      <c r="Q213" s="3"/>
    </row>
    <row r="214" spans="1:18" x14ac:dyDescent="0.25">
      <c r="Q214" s="3"/>
    </row>
    <row r="215" spans="1:18" x14ac:dyDescent="0.25">
      <c r="Q215" s="3"/>
    </row>
    <row r="216" spans="1:18" x14ac:dyDescent="0.25">
      <c r="Q216" s="3"/>
    </row>
    <row r="217" spans="1:18" x14ac:dyDescent="0.25">
      <c r="Q217" s="3"/>
    </row>
    <row r="218" spans="1:18" x14ac:dyDescent="0.25">
      <c r="Q218" s="3"/>
    </row>
    <row r="219" spans="1:18" x14ac:dyDescent="0.25">
      <c r="Q219" s="3"/>
    </row>
    <row r="220" spans="1:18" x14ac:dyDescent="0.25">
      <c r="Q220" s="3"/>
    </row>
    <row r="221" spans="1:18" x14ac:dyDescent="0.25">
      <c r="Q221" s="3"/>
    </row>
    <row r="222" spans="1:18" x14ac:dyDescent="0.25">
      <c r="Q222" s="3"/>
    </row>
    <row r="223" spans="1:18" x14ac:dyDescent="0.25">
      <c r="Q223" s="3"/>
    </row>
    <row r="224" spans="1:18" x14ac:dyDescent="0.25">
      <c r="Q224" s="3"/>
    </row>
    <row r="225" spans="17:17" x14ac:dyDescent="0.25">
      <c r="Q225" s="3"/>
    </row>
    <row r="226" spans="17:17" x14ac:dyDescent="0.25">
      <c r="Q226" s="3"/>
    </row>
    <row r="227" spans="17:17" x14ac:dyDescent="0.25">
      <c r="Q227" s="3"/>
    </row>
    <row r="228" spans="17:17" x14ac:dyDescent="0.25">
      <c r="Q228" s="3"/>
    </row>
    <row r="229" spans="17:17" x14ac:dyDescent="0.25">
      <c r="Q229" s="3"/>
    </row>
    <row r="230" spans="17:17" x14ac:dyDescent="0.25">
      <c r="Q230" s="3"/>
    </row>
    <row r="231" spans="17:17" x14ac:dyDescent="0.25">
      <c r="Q231" s="3"/>
    </row>
    <row r="232" spans="17:17" x14ac:dyDescent="0.25">
      <c r="Q232" s="3"/>
    </row>
    <row r="233" spans="17:17" x14ac:dyDescent="0.25">
      <c r="Q233" s="3"/>
    </row>
    <row r="234" spans="17:17" x14ac:dyDescent="0.25">
      <c r="Q234" s="3"/>
    </row>
    <row r="235" spans="17:17" x14ac:dyDescent="0.25">
      <c r="Q235" s="3"/>
    </row>
    <row r="236" spans="17:17" x14ac:dyDescent="0.25">
      <c r="Q236" s="3"/>
    </row>
    <row r="237" spans="17:17" x14ac:dyDescent="0.25">
      <c r="Q237" s="3"/>
    </row>
    <row r="238" spans="17:17" x14ac:dyDescent="0.25">
      <c r="Q238" s="3"/>
    </row>
    <row r="239" spans="17:17" x14ac:dyDescent="0.25">
      <c r="Q239" s="3"/>
    </row>
    <row r="240" spans="17:17" x14ac:dyDescent="0.25">
      <c r="Q240" s="3"/>
    </row>
    <row r="241" spans="17:17" x14ac:dyDescent="0.25">
      <c r="Q241" s="3"/>
    </row>
    <row r="242" spans="17:17" x14ac:dyDescent="0.25">
      <c r="Q242" s="3"/>
    </row>
    <row r="243" spans="17:17" x14ac:dyDescent="0.25">
      <c r="Q243" s="3"/>
    </row>
    <row r="244" spans="17:17" x14ac:dyDescent="0.25">
      <c r="Q244" s="3"/>
    </row>
    <row r="245" spans="17:17" x14ac:dyDescent="0.25">
      <c r="Q245" s="3"/>
    </row>
    <row r="246" spans="17:17" x14ac:dyDescent="0.25">
      <c r="Q246" s="3"/>
    </row>
    <row r="247" spans="17:17" x14ac:dyDescent="0.25">
      <c r="Q247" s="3"/>
    </row>
    <row r="248" spans="17:17" x14ac:dyDescent="0.25">
      <c r="Q248" s="3"/>
    </row>
    <row r="249" spans="17:17" x14ac:dyDescent="0.25">
      <c r="Q249" s="3"/>
    </row>
    <row r="250" spans="17:17" x14ac:dyDescent="0.25">
      <c r="Q250" s="3"/>
    </row>
    <row r="251" spans="17:17" x14ac:dyDescent="0.25">
      <c r="Q251" s="3"/>
    </row>
    <row r="252" spans="17:17" x14ac:dyDescent="0.25">
      <c r="Q252" s="3"/>
    </row>
    <row r="253" spans="17:17" x14ac:dyDescent="0.25">
      <c r="Q253" s="3"/>
    </row>
    <row r="254" spans="17:17" x14ac:dyDescent="0.25">
      <c r="Q254" s="3"/>
    </row>
    <row r="255" spans="17:17" x14ac:dyDescent="0.25">
      <c r="Q255" s="3"/>
    </row>
    <row r="256" spans="17:17" x14ac:dyDescent="0.25">
      <c r="Q256" s="3"/>
    </row>
    <row r="257" spans="17:17" x14ac:dyDescent="0.25">
      <c r="Q257" s="3"/>
    </row>
    <row r="258" spans="17:17" x14ac:dyDescent="0.25">
      <c r="Q258" s="3"/>
    </row>
    <row r="259" spans="17:17" x14ac:dyDescent="0.25">
      <c r="Q259" s="3"/>
    </row>
    <row r="260" spans="17:17" x14ac:dyDescent="0.25">
      <c r="Q260" s="3"/>
    </row>
    <row r="261" spans="17:17" x14ac:dyDescent="0.25">
      <c r="Q261" s="3"/>
    </row>
    <row r="262" spans="17:17" x14ac:dyDescent="0.25">
      <c r="Q262" s="3"/>
    </row>
    <row r="263" spans="17:17" x14ac:dyDescent="0.25">
      <c r="Q263" s="3"/>
    </row>
    <row r="264" spans="17:17" x14ac:dyDescent="0.25">
      <c r="Q264" s="3"/>
    </row>
    <row r="265" spans="17:17" x14ac:dyDescent="0.25">
      <c r="Q265" s="3"/>
    </row>
    <row r="266" spans="17:17" x14ac:dyDescent="0.25">
      <c r="Q266" s="3"/>
    </row>
    <row r="267" spans="17:17" x14ac:dyDescent="0.25">
      <c r="Q267" s="3"/>
    </row>
    <row r="268" spans="17:17" x14ac:dyDescent="0.25">
      <c r="Q268" s="3"/>
    </row>
    <row r="269" spans="17:17" x14ac:dyDescent="0.25">
      <c r="Q269" s="3"/>
    </row>
    <row r="270" spans="17:17" x14ac:dyDescent="0.25">
      <c r="Q270" s="3"/>
    </row>
    <row r="271" spans="17:17" x14ac:dyDescent="0.25">
      <c r="Q271" s="3"/>
    </row>
    <row r="272" spans="17:17" x14ac:dyDescent="0.25">
      <c r="Q272" s="3"/>
    </row>
    <row r="273" spans="17:17" x14ac:dyDescent="0.25">
      <c r="Q273" s="3"/>
    </row>
    <row r="274" spans="17:17" x14ac:dyDescent="0.25">
      <c r="Q274" s="3"/>
    </row>
    <row r="275" spans="17:17" x14ac:dyDescent="0.25">
      <c r="Q275" s="3"/>
    </row>
    <row r="276" spans="17:17" x14ac:dyDescent="0.25">
      <c r="Q276" s="3"/>
    </row>
    <row r="277" spans="17:17" x14ac:dyDescent="0.25">
      <c r="Q277" s="3"/>
    </row>
    <row r="278" spans="17:17" x14ac:dyDescent="0.25">
      <c r="Q278" s="3"/>
    </row>
    <row r="279" spans="17:17" x14ac:dyDescent="0.25">
      <c r="Q279" s="3"/>
    </row>
    <row r="280" spans="17:17" x14ac:dyDescent="0.25">
      <c r="Q280" s="3"/>
    </row>
    <row r="281" spans="17:17" x14ac:dyDescent="0.25">
      <c r="Q281" s="3"/>
    </row>
    <row r="282" spans="17:17" x14ac:dyDescent="0.25">
      <c r="Q282" s="3"/>
    </row>
    <row r="283" spans="17:17" x14ac:dyDescent="0.25">
      <c r="Q283" s="3"/>
    </row>
    <row r="284" spans="17:17" x14ac:dyDescent="0.25">
      <c r="Q284" s="3"/>
    </row>
    <row r="285" spans="17:17" x14ac:dyDescent="0.25">
      <c r="Q285" s="3"/>
    </row>
    <row r="286" spans="17:17" x14ac:dyDescent="0.25">
      <c r="Q286" s="3"/>
    </row>
    <row r="287" spans="17:17" x14ac:dyDescent="0.25">
      <c r="Q287" s="3"/>
    </row>
    <row r="288" spans="17:17" x14ac:dyDescent="0.25">
      <c r="Q288" s="3"/>
    </row>
    <row r="289" spans="17:17" x14ac:dyDescent="0.25">
      <c r="Q289" s="3"/>
    </row>
    <row r="290" spans="17:17" x14ac:dyDescent="0.25">
      <c r="Q290" s="3"/>
    </row>
    <row r="291" spans="17:17" x14ac:dyDescent="0.25">
      <c r="Q291" s="3"/>
    </row>
    <row r="292" spans="17:17" x14ac:dyDescent="0.25">
      <c r="Q292" s="3"/>
    </row>
    <row r="293" spans="17:17" x14ac:dyDescent="0.25">
      <c r="Q293" s="3"/>
    </row>
    <row r="294" spans="17:17" x14ac:dyDescent="0.25">
      <c r="Q294" s="3"/>
    </row>
    <row r="295" spans="17:17" x14ac:dyDescent="0.25">
      <c r="Q295" s="3"/>
    </row>
    <row r="296" spans="17:17" x14ac:dyDescent="0.25">
      <c r="Q296" s="3"/>
    </row>
    <row r="297" spans="17:17" x14ac:dyDescent="0.25">
      <c r="Q297" s="3"/>
    </row>
    <row r="298" spans="17:17" x14ac:dyDescent="0.25">
      <c r="Q298" s="3"/>
    </row>
    <row r="299" spans="17:17" x14ac:dyDescent="0.25">
      <c r="Q299" s="3"/>
    </row>
    <row r="300" spans="17:17" x14ac:dyDescent="0.25">
      <c r="Q300" s="3"/>
    </row>
    <row r="301" spans="17:17" x14ac:dyDescent="0.25">
      <c r="Q301" s="3"/>
    </row>
    <row r="302" spans="17:17" x14ac:dyDescent="0.25">
      <c r="Q302" s="3"/>
    </row>
    <row r="303" spans="17:17" x14ac:dyDescent="0.25">
      <c r="Q303" s="3"/>
    </row>
    <row r="304" spans="17:17" x14ac:dyDescent="0.25">
      <c r="Q304" s="3"/>
    </row>
    <row r="305" spans="17:17" x14ac:dyDescent="0.25">
      <c r="Q305" s="3"/>
    </row>
    <row r="306" spans="17:17" x14ac:dyDescent="0.25">
      <c r="Q306" s="3"/>
    </row>
    <row r="307" spans="17:17" x14ac:dyDescent="0.25">
      <c r="Q307" s="3"/>
    </row>
    <row r="308" spans="17:17" x14ac:dyDescent="0.25">
      <c r="Q308" s="3"/>
    </row>
    <row r="309" spans="17:17" x14ac:dyDescent="0.25">
      <c r="Q309" s="3"/>
    </row>
    <row r="310" spans="17:17" x14ac:dyDescent="0.25">
      <c r="Q310" s="3"/>
    </row>
    <row r="311" spans="17:17" x14ac:dyDescent="0.25">
      <c r="Q311" s="3"/>
    </row>
    <row r="312" spans="17:17" x14ac:dyDescent="0.25">
      <c r="Q312" s="3"/>
    </row>
    <row r="313" spans="17:17" x14ac:dyDescent="0.25">
      <c r="Q313" s="3"/>
    </row>
    <row r="314" spans="17:17" x14ac:dyDescent="0.25">
      <c r="Q314" s="3"/>
    </row>
    <row r="315" spans="17:17" x14ac:dyDescent="0.25">
      <c r="Q315" s="3"/>
    </row>
    <row r="316" spans="17:17" x14ac:dyDescent="0.25">
      <c r="Q316" s="3"/>
    </row>
    <row r="317" spans="17:17" x14ac:dyDescent="0.25">
      <c r="Q317" s="3"/>
    </row>
    <row r="318" spans="17:17" x14ac:dyDescent="0.25">
      <c r="Q318" s="3"/>
    </row>
    <row r="319" spans="17:17" x14ac:dyDescent="0.25">
      <c r="Q319" s="3"/>
    </row>
    <row r="320" spans="17:17" x14ac:dyDescent="0.25">
      <c r="Q320" s="3"/>
    </row>
    <row r="321" spans="17:17" x14ac:dyDescent="0.25">
      <c r="Q321" s="3"/>
    </row>
    <row r="322" spans="17:17" x14ac:dyDescent="0.25">
      <c r="Q322" s="3"/>
    </row>
    <row r="323" spans="17:17" x14ac:dyDescent="0.25">
      <c r="Q323" s="3"/>
    </row>
    <row r="324" spans="17:17" x14ac:dyDescent="0.25">
      <c r="Q324" s="3"/>
    </row>
    <row r="325" spans="17:17" x14ac:dyDescent="0.25">
      <c r="Q325" s="3"/>
    </row>
    <row r="326" spans="17:17" x14ac:dyDescent="0.25">
      <c r="Q326" s="3"/>
    </row>
    <row r="327" spans="17:17" x14ac:dyDescent="0.25">
      <c r="Q327" s="3"/>
    </row>
    <row r="328" spans="17:17" x14ac:dyDescent="0.25">
      <c r="Q328" s="3"/>
    </row>
    <row r="329" spans="17:17" x14ac:dyDescent="0.25">
      <c r="Q329" s="3"/>
    </row>
    <row r="330" spans="17:17" x14ac:dyDescent="0.25">
      <c r="Q330" s="3"/>
    </row>
    <row r="331" spans="17:17" x14ac:dyDescent="0.25">
      <c r="Q331" s="3"/>
    </row>
    <row r="332" spans="17:17" x14ac:dyDescent="0.25">
      <c r="Q332" s="3"/>
    </row>
    <row r="333" spans="17:17" x14ac:dyDescent="0.25">
      <c r="Q333" s="3"/>
    </row>
    <row r="334" spans="17:17" x14ac:dyDescent="0.25">
      <c r="Q334" s="3"/>
    </row>
    <row r="335" spans="17:17" x14ac:dyDescent="0.25">
      <c r="Q335" s="3"/>
    </row>
    <row r="336" spans="17:17" x14ac:dyDescent="0.25">
      <c r="Q336" s="3"/>
    </row>
    <row r="337" spans="17:17" x14ac:dyDescent="0.25">
      <c r="Q337" s="3"/>
    </row>
    <row r="338" spans="17:17" x14ac:dyDescent="0.25">
      <c r="Q338" s="3"/>
    </row>
    <row r="339" spans="17:17" x14ac:dyDescent="0.25">
      <c r="Q339" s="3"/>
    </row>
  </sheetData>
  <sheetProtection algorithmName="SHA-512" hashValue="NN6I1AGon10TsCjrSR2mmfqk/nzhl9EuHE+bjYAIAtzchE4D/SDUwuxZr4OzVtxMLFo5ruKx9jyEA8VgKc/4qQ==" saltValue="vIM2Kd2R19M/VPe5lNg0LA==" spinCount="100000" sheet="1" objects="1" scenarios="1"/>
  <protectedRanges>
    <protectedRange sqref="A188 A154 A172 A132 A101 A116" name="Range7"/>
    <protectedRange sqref="K201" name="Range7_1"/>
    <protectedRange sqref="K201" name="Range18"/>
    <protectedRange sqref="B151" name="Range6"/>
    <protectedRange sqref="J163" name="Range3_2"/>
  </protectedRanges>
  <mergeCells count="1">
    <mergeCell ref="B9:H9"/>
  </mergeCells>
  <phoneticPr fontId="43" type="noConversion"/>
  <hyperlinks>
    <hyperlink ref="A208" r:id="rId1" display="https://www.england.nhs.uk/costing-in-the-nhs/national-cost-collection/" xr:uid="{74B5B122-8A24-461F-BFFD-A30E96FBACA2}"/>
    <hyperlink ref="A195" r:id="rId2" location="National-Tariff-Payment-System" xr:uid="{FD87E253-06EE-4FE4-AFA6-3074BB45CC18}"/>
    <hyperlink ref="A55" r:id="rId3" location="National-Tariff-Payment-System" display="Based on 2023-25 National Tariff Payment System –  24-25 prices" xr:uid="{20650065-B89E-4ADF-B46B-5A63D4BC1EA8}"/>
    <hyperlink ref="A155" r:id="rId4" location="National-Tariff-Payment-System" xr:uid="{A981FBC2-09D1-4FE8-AE7F-314B446AA6F5}"/>
    <hyperlink ref="A202" r:id="rId5" location="National-Tariff-Payment-System" display="Based on 2023-25 National Tariff Payment System –  24-25 prices" xr:uid="{F32EC6BB-566B-47D6-B75C-59B7BDAD5444}"/>
    <hyperlink ref="A36" r:id="rId6" display="Drug costs from Gov.UK electronic market information tool (eMIT): online [accessed dd.mm.yy]" xr:uid="{6AC0B736-5B04-4A6E-8266-638AFC234BA0}"/>
    <hyperlink ref="A71" r:id="rId7" location="National-Tariff-Payment-System" display="Based on 2023-25 National Tariff Payment System –  24-25 prices" xr:uid="{49DD7D7D-9DF6-4243-8493-4884575F156E}"/>
    <hyperlink ref="A87" r:id="rId8" location="National-Tariff-Payment-System" display="Based on 2023-25 National Tariff Payment System –  24-25 prices" xr:uid="{9E36E5E7-E88D-42B0-A0AB-94D7B5CF5CBA}"/>
    <hyperlink ref="A173" r:id="rId9" location="National-Tariff-Payment-System" xr:uid="{DBE3CDBA-39C1-4A4E-8673-8CC2FBD99061}"/>
    <hyperlink ref="A189" r:id="rId10" location="National-Tariff-Payment-System" xr:uid="{6E785F2E-4B3B-4142-973E-F94E96940FD9}"/>
    <hyperlink ref="B9" r:id="rId11" display="Source; Health Survey for England, 2021." xr:uid="{79B882A7-2011-4FDB-9527-98BE1377306E}"/>
    <hyperlink ref="B10" r:id="rId12" display="Source: https://pmc.ncbi.nlm.nih.gov/articles/PMC2812484/" xr:uid="{DA0472EB-3276-444F-9E42-8639FFF1FDFD}"/>
    <hyperlink ref="A102" r:id="rId13" location="National-Tariff-Payment-System" xr:uid="{EFBC1064-B5C2-4454-8568-8BD64C90659D}"/>
    <hyperlink ref="A117" r:id="rId14" location="National-Tariff-Payment-System" xr:uid="{DB668F46-A5DB-4152-95D6-8110014FAD79}"/>
    <hyperlink ref="A133" r:id="rId15" location="National-Tariff-Payment-System" xr:uid="{F88B1256-B183-404C-96DF-7DBCDDDFC536}"/>
    <hyperlink ref="C11" r:id="rId16" display="https://www.nejm.org/doi/full/10.1056/NEJMoa2503001" xr:uid="{FA61F1A4-20A1-4172-B268-89C0FA7CCE8D}"/>
  </hyperlinks>
  <pageMargins left="0.70866141732283472" right="0.70866141732283472" top="0.74803149606299213" bottom="0.74803149606299213" header="0.31496062992125984" footer="0.31496062992125984"/>
  <pageSetup paperSize="9" scale="35" orientation="portrait" r:id="rId17"/>
  <ignoredErrors>
    <ignoredError sqref="L47" formula="1"/>
    <ignoredError sqref="J78"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J147"/>
  <sheetViews>
    <sheetView showGridLines="0" zoomScale="80" zoomScaleNormal="80" workbookViewId="0"/>
  </sheetViews>
  <sheetFormatPr defaultRowHeight="14.5" x14ac:dyDescent="0.35"/>
  <cols>
    <col min="1" max="1" width="79.26953125" customWidth="1"/>
    <col min="2" max="2" width="50.81640625" customWidth="1"/>
    <col min="3" max="3" width="13.36328125" customWidth="1"/>
    <col min="4" max="6" width="15.7265625" customWidth="1"/>
    <col min="7" max="8" width="16.26953125" customWidth="1"/>
    <col min="9" max="9" width="14.26953125" customWidth="1"/>
    <col min="10" max="10" width="15.7265625" customWidth="1"/>
  </cols>
  <sheetData>
    <row r="1" spans="1:10" ht="30" customHeight="1" x14ac:dyDescent="0.35">
      <c r="A1" s="582" t="str">
        <f>'Population and treatments'!A1</f>
        <v>Treatments for untreated EGFR mutation-positive advanced non-small-cell lung cancer</v>
      </c>
    </row>
    <row r="2" spans="1:10" ht="30" customHeight="1" x14ac:dyDescent="0.35">
      <c r="A2" s="581" t="s">
        <v>2050</v>
      </c>
      <c r="B2" s="138"/>
      <c r="C2" s="763"/>
      <c r="D2" s="151"/>
      <c r="E2" s="151"/>
      <c r="F2" s="151"/>
      <c r="G2" s="151"/>
      <c r="H2" s="138"/>
      <c r="I2" s="138"/>
    </row>
    <row r="4" spans="1:10" x14ac:dyDescent="0.35">
      <c r="A4" s="621" t="s">
        <v>2089</v>
      </c>
      <c r="B4" s="610"/>
      <c r="C4" s="610"/>
      <c r="D4" s="610"/>
      <c r="E4" s="610"/>
      <c r="F4" s="610"/>
      <c r="G4" s="610"/>
      <c r="H4" s="610"/>
      <c r="I4" s="611"/>
    </row>
    <row r="6" spans="1:10" x14ac:dyDescent="0.35">
      <c r="A6" s="152" t="s">
        <v>2221</v>
      </c>
      <c r="B6" s="458"/>
      <c r="C6" s="458"/>
      <c r="D6" s="459"/>
      <c r="E6" s="602"/>
      <c r="F6" s="459"/>
      <c r="G6" s="459"/>
      <c r="H6" s="459"/>
      <c r="I6" s="799"/>
    </row>
    <row r="7" spans="1:10" x14ac:dyDescent="0.35">
      <c r="A7" s="585" t="s">
        <v>2160</v>
      </c>
      <c r="B7" s="136"/>
      <c r="C7" s="136"/>
      <c r="E7" s="744"/>
      <c r="F7" s="734"/>
      <c r="G7" s="734"/>
      <c r="H7" s="734"/>
      <c r="I7" s="749"/>
    </row>
    <row r="8" spans="1:10" ht="31.4" customHeight="1" x14ac:dyDescent="0.35">
      <c r="A8" s="950" t="s">
        <v>2288</v>
      </c>
      <c r="B8" s="951"/>
      <c r="C8" s="951"/>
      <c r="D8" s="951"/>
      <c r="E8" s="951"/>
      <c r="F8" s="951"/>
      <c r="G8" s="951"/>
      <c r="H8" s="951"/>
      <c r="I8" s="952"/>
    </row>
    <row r="9" spans="1:10" ht="53.75" customHeight="1" x14ac:dyDescent="0.35">
      <c r="A9" s="947" t="s">
        <v>2262</v>
      </c>
      <c r="B9" s="948"/>
      <c r="C9" s="948"/>
      <c r="D9" s="948"/>
      <c r="E9" s="948"/>
      <c r="F9" s="948"/>
      <c r="G9" s="948"/>
      <c r="H9" s="948"/>
      <c r="I9" s="949"/>
    </row>
    <row r="10" spans="1:10" x14ac:dyDescent="0.35">
      <c r="A10" s="752"/>
      <c r="B10" s="136"/>
    </row>
    <row r="11" spans="1:10" ht="88.4" customHeight="1" x14ac:dyDescent="0.35">
      <c r="A11" s="591" t="s">
        <v>1875</v>
      </c>
      <c r="B11" s="768" t="s">
        <v>1876</v>
      </c>
      <c r="C11" s="769"/>
      <c r="D11" s="765" t="s">
        <v>2257</v>
      </c>
      <c r="E11" s="765" t="s">
        <v>2258</v>
      </c>
      <c r="F11" s="765" t="s">
        <v>2259</v>
      </c>
      <c r="G11" s="542" t="str">
        <f>'Unit costs'!A18</f>
        <v>osimertinib alone</v>
      </c>
      <c r="H11" s="542" t="s">
        <v>2230</v>
      </c>
      <c r="I11" s="542" t="s">
        <v>2231</v>
      </c>
      <c r="J11" s="542" t="s">
        <v>2232</v>
      </c>
    </row>
    <row r="12" spans="1:10" x14ac:dyDescent="0.35">
      <c r="A12" s="766" t="s">
        <v>1994</v>
      </c>
      <c r="B12" s="772" t="s">
        <v>1993</v>
      </c>
      <c r="C12" s="773"/>
      <c r="D12" s="767">
        <v>10</v>
      </c>
      <c r="E12" s="767">
        <v>10</v>
      </c>
      <c r="F12" s="767">
        <v>10</v>
      </c>
      <c r="G12" s="635">
        <v>10</v>
      </c>
      <c r="H12" s="635">
        <v>10</v>
      </c>
      <c r="I12" s="635">
        <v>10</v>
      </c>
      <c r="J12" s="635">
        <v>10</v>
      </c>
    </row>
    <row r="13" spans="1:10" x14ac:dyDescent="0.35">
      <c r="A13" s="774" t="s">
        <v>2250</v>
      </c>
      <c r="B13" s="772" t="s">
        <v>2251</v>
      </c>
      <c r="C13" s="773"/>
      <c r="D13" s="894">
        <f>'Unit costs'!N53</f>
        <v>26</v>
      </c>
      <c r="E13" s="894">
        <f>'Unit costs'!N69</f>
        <v>26</v>
      </c>
      <c r="F13" s="894">
        <f>'Unit costs'!N85</f>
        <v>6.5</v>
      </c>
      <c r="G13" s="911"/>
      <c r="H13" s="911"/>
      <c r="I13" s="911"/>
      <c r="J13" s="911"/>
    </row>
    <row r="14" spans="1:10" x14ac:dyDescent="0.35">
      <c r="A14" s="774" t="s">
        <v>2265</v>
      </c>
      <c r="B14" s="772" t="s">
        <v>2233</v>
      </c>
      <c r="C14" s="773"/>
      <c r="D14" s="767"/>
      <c r="E14" s="767"/>
      <c r="F14" s="767"/>
      <c r="G14" s="911"/>
      <c r="H14" s="911"/>
      <c r="I14" s="911"/>
      <c r="J14" s="911"/>
    </row>
    <row r="15" spans="1:10" x14ac:dyDescent="0.35">
      <c r="A15" s="774" t="s">
        <v>2266</v>
      </c>
      <c r="B15" s="802" t="s">
        <v>2237</v>
      </c>
      <c r="C15" s="773"/>
      <c r="D15" s="611"/>
      <c r="E15" s="611"/>
      <c r="F15" s="611"/>
      <c r="G15" s="911"/>
      <c r="H15" s="803">
        <f>'Unit costs'!J144</f>
        <v>4.3214285714285712</v>
      </c>
      <c r="I15" s="797"/>
      <c r="J15" s="797"/>
    </row>
    <row r="16" spans="1:10" x14ac:dyDescent="0.35">
      <c r="A16" s="774" t="s">
        <v>2263</v>
      </c>
      <c r="B16" s="772" t="s">
        <v>2233</v>
      </c>
      <c r="C16" s="773"/>
      <c r="D16" s="611"/>
      <c r="E16" s="611"/>
      <c r="F16" s="611"/>
      <c r="G16" s="911"/>
      <c r="H16" s="635">
        <v>130</v>
      </c>
      <c r="I16" s="797"/>
      <c r="J16" s="797"/>
    </row>
    <row r="17" spans="1:10" x14ac:dyDescent="0.35">
      <c r="A17" s="774" t="s">
        <v>2268</v>
      </c>
      <c r="B17" s="802" t="s">
        <v>2237</v>
      </c>
      <c r="C17" s="773"/>
      <c r="D17" s="611"/>
      <c r="E17" s="611"/>
      <c r="F17" s="611"/>
      <c r="G17" s="911"/>
      <c r="H17" s="803">
        <f>'Unit costs'!J146-'Unit costs'!J144</f>
        <v>8.6785714285714288</v>
      </c>
      <c r="I17" s="897">
        <f>'Unit costs'!J163</f>
        <v>6.4821428571428568</v>
      </c>
      <c r="J17" s="797"/>
    </row>
    <row r="18" spans="1:10" x14ac:dyDescent="0.35">
      <c r="A18" s="774" t="s">
        <v>2264</v>
      </c>
      <c r="B18" s="772" t="s">
        <v>2233</v>
      </c>
      <c r="C18" s="773"/>
      <c r="D18" s="611"/>
      <c r="E18" s="611"/>
      <c r="F18" s="611"/>
      <c r="G18" s="911"/>
      <c r="H18" s="635">
        <v>30</v>
      </c>
      <c r="I18" s="635">
        <v>30</v>
      </c>
      <c r="J18" s="797"/>
    </row>
    <row r="19" spans="1:10" x14ac:dyDescent="0.35">
      <c r="A19" s="774" t="s">
        <v>2267</v>
      </c>
      <c r="B19" s="772" t="s">
        <v>2233</v>
      </c>
      <c r="C19" s="773"/>
      <c r="D19" s="767"/>
      <c r="E19" s="767"/>
      <c r="F19" s="767"/>
      <c r="G19" s="635"/>
      <c r="H19" s="635"/>
      <c r="I19" s="635"/>
      <c r="J19" s="635"/>
    </row>
    <row r="20" spans="1:10" x14ac:dyDescent="0.35">
      <c r="A20" s="775" t="s">
        <v>2003</v>
      </c>
      <c r="B20" s="772" t="s">
        <v>2004</v>
      </c>
      <c r="C20" s="773"/>
      <c r="D20" s="767"/>
      <c r="E20" s="767"/>
      <c r="F20" s="767"/>
      <c r="G20" s="635"/>
      <c r="H20" s="635"/>
      <c r="I20" s="635"/>
      <c r="J20" s="635"/>
    </row>
    <row r="21" spans="1:10" x14ac:dyDescent="0.35">
      <c r="A21" s="776" t="s">
        <v>1995</v>
      </c>
      <c r="B21" s="772" t="s">
        <v>2088</v>
      </c>
      <c r="C21" s="773"/>
      <c r="D21" s="767"/>
      <c r="E21" s="767"/>
      <c r="F21" s="767"/>
      <c r="G21" s="635"/>
      <c r="H21" s="635"/>
      <c r="I21" s="635"/>
      <c r="J21" s="635"/>
    </row>
    <row r="22" spans="1:10" x14ac:dyDescent="0.35">
      <c r="A22" s="776" t="s">
        <v>2202</v>
      </c>
      <c r="B22" s="772" t="s">
        <v>2088</v>
      </c>
      <c r="C22" s="773"/>
      <c r="D22" s="767"/>
      <c r="E22" s="767"/>
      <c r="F22" s="767"/>
      <c r="G22" s="635"/>
      <c r="H22" s="635"/>
      <c r="I22" s="635"/>
      <c r="J22" s="635"/>
    </row>
    <row r="23" spans="1:10" x14ac:dyDescent="0.35">
      <c r="A23" s="776" t="s">
        <v>2225</v>
      </c>
      <c r="B23" s="770" t="s">
        <v>1880</v>
      </c>
      <c r="C23" s="771"/>
      <c r="D23" s="767"/>
      <c r="E23" s="767"/>
      <c r="F23" s="767"/>
      <c r="G23" s="635"/>
      <c r="H23" s="635"/>
      <c r="I23" s="635"/>
      <c r="J23" s="635"/>
    </row>
    <row r="24" spans="1:10" x14ac:dyDescent="0.35">
      <c r="A24" s="697"/>
      <c r="B24" s="171"/>
      <c r="C24" s="171"/>
      <c r="D24" s="171"/>
      <c r="E24" s="171"/>
      <c r="F24" s="171"/>
    </row>
    <row r="25" spans="1:10" x14ac:dyDescent="0.35">
      <c r="A25" s="145"/>
      <c r="B25" s="147"/>
      <c r="C25" s="147"/>
      <c r="D25" s="147"/>
      <c r="E25" s="147"/>
      <c r="F25" s="147"/>
      <c r="G25" s="147"/>
    </row>
    <row r="26" spans="1:10" ht="29" x14ac:dyDescent="0.35">
      <c r="A26" s="698" t="s">
        <v>2023</v>
      </c>
      <c r="B26" s="699"/>
      <c r="C26" s="699"/>
      <c r="D26" s="695" t="s">
        <v>2245</v>
      </c>
      <c r="E26" s="198" t="s">
        <v>2242</v>
      </c>
      <c r="F26" s="198" t="s">
        <v>2243</v>
      </c>
      <c r="G26" s="199" t="s">
        <v>2244</v>
      </c>
    </row>
    <row r="27" spans="1:10" x14ac:dyDescent="0.35">
      <c r="A27" s="592" t="str">
        <f>'Population and treatments'!B58</f>
        <v>People having amivantamab plus lazertinib  - year 1 of treatment</v>
      </c>
      <c r="B27" s="164"/>
      <c r="C27" s="149"/>
      <c r="D27" s="535">
        <f>'Population and treatments'!I58</f>
        <v>0</v>
      </c>
      <c r="E27" s="535">
        <f>'Population and treatments'!J58</f>
        <v>168.19465774205736</v>
      </c>
      <c r="F27" s="535">
        <f>'Population and treatments'!K58</f>
        <v>224.25954365607652</v>
      </c>
      <c r="G27" s="535">
        <f>'Population and treatments'!L58</f>
        <v>280.32442957009562</v>
      </c>
    </row>
    <row r="28" spans="1:10" ht="17.149999999999999" customHeight="1" x14ac:dyDescent="0.35">
      <c r="A28" s="945" t="str">
        <f>'Population and treatments'!B59</f>
        <v>People having amivantamab plus lazertinib  - year 2 of treatment</v>
      </c>
      <c r="B28" s="946"/>
      <c r="C28" s="764"/>
      <c r="D28" s="535">
        <f>'Population and treatments'!I59</f>
        <v>0</v>
      </c>
      <c r="E28" s="535">
        <f>'Population and treatments'!J59</f>
        <v>0</v>
      </c>
      <c r="F28" s="535">
        <f>'Population and treatments'!K59</f>
        <v>168.19465774205736</v>
      </c>
      <c r="G28" s="535">
        <f>'Population and treatments'!L59</f>
        <v>224.25954365607652</v>
      </c>
    </row>
    <row r="29" spans="1:10" x14ac:dyDescent="0.35">
      <c r="A29" s="762" t="str">
        <f>'Population and treatments'!B60</f>
        <v>People having amivantamab plus lazertinib  - year 3 of treatment</v>
      </c>
      <c r="B29" s="164"/>
      <c r="C29" s="149"/>
      <c r="D29" s="535">
        <f>'Population and treatments'!I60</f>
        <v>0</v>
      </c>
      <c r="E29" s="535">
        <f>'Population and treatments'!J60</f>
        <v>0</v>
      </c>
      <c r="F29" s="535">
        <f>'Population and treatments'!K60</f>
        <v>0</v>
      </c>
      <c r="G29" s="535">
        <f>'Population and treatments'!L60</f>
        <v>168.19465774205736</v>
      </c>
    </row>
    <row r="30" spans="1:10" x14ac:dyDescent="0.35">
      <c r="A30" s="762" t="str">
        <f>'Population and treatments'!B61</f>
        <v>People having osimertinib alone - year 1 of treatment</v>
      </c>
      <c r="B30" s="164"/>
      <c r="C30" s="149"/>
      <c r="D30" s="535">
        <f>'Population and treatments'!I61</f>
        <v>740.05649406505233</v>
      </c>
      <c r="E30" s="535">
        <f>'Population and treatments'!J61</f>
        <v>515.79695040897593</v>
      </c>
      <c r="F30" s="535">
        <f>'Population and treatments'!K61</f>
        <v>403.66717858093773</v>
      </c>
      <c r="G30" s="535">
        <f>'Population and treatments'!L61</f>
        <v>291.53740675289947</v>
      </c>
    </row>
    <row r="31" spans="1:10" x14ac:dyDescent="0.35">
      <c r="A31" s="592" t="str">
        <f>'Population and treatments'!B62</f>
        <v>People having osimertinib alone - year 2 of treatment</v>
      </c>
      <c r="B31" s="164"/>
      <c r="C31" s="149"/>
      <c r="D31" s="535">
        <f>'Population and treatments'!I62</f>
        <v>740.05649406505233</v>
      </c>
      <c r="E31" s="535">
        <f>'Population and treatments'!J62</f>
        <v>740.05649406505233</v>
      </c>
      <c r="F31" s="535">
        <f>'Population and treatments'!K62</f>
        <v>515.79695040897593</v>
      </c>
      <c r="G31" s="535">
        <f>'Population and treatments'!L62</f>
        <v>403.66717858093773</v>
      </c>
    </row>
    <row r="32" spans="1:10" x14ac:dyDescent="0.35">
      <c r="A32" s="762" t="str">
        <f>'Population and treatments'!B63</f>
        <v>People having osimertinib alone - year 3 of treatment</v>
      </c>
      <c r="B32" s="164"/>
      <c r="C32" s="149"/>
      <c r="D32" s="535">
        <f>'Population and treatments'!I63</f>
        <v>740.05649406505233</v>
      </c>
      <c r="E32" s="535">
        <f>'Population and treatments'!J63</f>
        <v>740.05649406505233</v>
      </c>
      <c r="F32" s="535">
        <f>'Population and treatments'!K63</f>
        <v>740.05649406505233</v>
      </c>
      <c r="G32" s="535">
        <f>'Population and treatments'!L63</f>
        <v>515.79695040897593</v>
      </c>
    </row>
    <row r="33" spans="1:7" x14ac:dyDescent="0.35">
      <c r="A33" s="762" t="str">
        <f>'Population and treatments'!B64</f>
        <v>People having osimertinib plus chemotherapy - year 1 of treatment</v>
      </c>
      <c r="B33" s="164"/>
      <c r="C33" s="149"/>
      <c r="D33" s="535">
        <f>'Population and treatments'!I64</f>
        <v>381.24122421533008</v>
      </c>
      <c r="E33" s="535">
        <f>'Population and treatments'!J64</f>
        <v>437.30611012934918</v>
      </c>
      <c r="F33" s="535">
        <f>'Population and treatments'!K64</f>
        <v>493.37099604336828</v>
      </c>
      <c r="G33" s="535">
        <f>'Population and treatments'!L64</f>
        <v>549.43588195738744</v>
      </c>
    </row>
    <row r="34" spans="1:7" x14ac:dyDescent="0.35">
      <c r="A34" s="762" t="str">
        <f>'Population and treatments'!B65</f>
        <v>People having osimertinib plus chemotherapy  - year 2 of treatment</v>
      </c>
      <c r="B34" s="164"/>
      <c r="C34" s="149"/>
      <c r="D34" s="535">
        <f>'Population and treatments'!I65</f>
        <v>381.24122421533008</v>
      </c>
      <c r="E34" s="535">
        <f>'Population and treatments'!J65</f>
        <v>381.24122421533008</v>
      </c>
      <c r="F34" s="535">
        <f>'Population and treatments'!K65</f>
        <v>437.30611012934918</v>
      </c>
      <c r="G34" s="535">
        <f>'Population and treatments'!L65</f>
        <v>493.37099604336828</v>
      </c>
    </row>
    <row r="35" spans="1:7" x14ac:dyDescent="0.35">
      <c r="A35" s="762" t="str">
        <f>'Population and treatments'!B66</f>
        <v>People having osimertinib plus chemotherapy - year 3 of treatment</v>
      </c>
      <c r="B35" s="164"/>
      <c r="C35" s="149"/>
      <c r="D35" s="535">
        <f>'Population and treatments'!I66</f>
        <v>381.24122421533008</v>
      </c>
      <c r="E35" s="535">
        <f>'Population and treatments'!J66</f>
        <v>381.24122421533008</v>
      </c>
      <c r="F35" s="535">
        <f>'Population and treatments'!K66</f>
        <v>381.24122421533008</v>
      </c>
      <c r="G35" s="535">
        <f>'Population and treatments'!L66</f>
        <v>437.30611012934918</v>
      </c>
    </row>
    <row r="36" spans="1:7" x14ac:dyDescent="0.35">
      <c r="A36" s="593" t="s">
        <v>2024</v>
      </c>
      <c r="B36" s="164"/>
      <c r="C36" s="149"/>
      <c r="D36" s="157">
        <f>SUM(D27:D35)</f>
        <v>3363.893154841147</v>
      </c>
      <c r="E36" s="157">
        <f t="shared" ref="E36:G36" si="0">SUM(E27:E35)</f>
        <v>3363.8931548411474</v>
      </c>
      <c r="F36" s="157">
        <f t="shared" si="0"/>
        <v>3363.8931548411479</v>
      </c>
      <c r="G36" s="157">
        <f t="shared" si="0"/>
        <v>3363.8931548411474</v>
      </c>
    </row>
    <row r="38" spans="1:7" ht="29" x14ac:dyDescent="0.35">
      <c r="A38" s="193" t="s">
        <v>1891</v>
      </c>
      <c r="B38" s="610"/>
      <c r="C38" s="591" t="s">
        <v>2219</v>
      </c>
      <c r="D38" s="695" t="s">
        <v>2245</v>
      </c>
      <c r="E38" s="198" t="s">
        <v>2242</v>
      </c>
      <c r="F38" s="198" t="s">
        <v>2243</v>
      </c>
      <c r="G38" s="199" t="s">
        <v>2244</v>
      </c>
    </row>
    <row r="39" spans="1:7" x14ac:dyDescent="0.35">
      <c r="A39" s="592" t="s">
        <v>2130</v>
      </c>
      <c r="B39" s="164"/>
      <c r="C39" s="777">
        <f>'Unit costs'!N53</f>
        <v>26</v>
      </c>
      <c r="D39" s="535">
        <f>D27*$C39</f>
        <v>0</v>
      </c>
      <c r="E39" s="535">
        <f t="shared" ref="E39:G39" si="1">E27*$C39</f>
        <v>4373.0611012934914</v>
      </c>
      <c r="F39" s="535">
        <f t="shared" si="1"/>
        <v>5830.7481350579892</v>
      </c>
      <c r="G39" s="535">
        <f t="shared" si="1"/>
        <v>7288.435168822486</v>
      </c>
    </row>
    <row r="40" spans="1:7" x14ac:dyDescent="0.35">
      <c r="A40" s="592" t="s">
        <v>2131</v>
      </c>
      <c r="B40" s="164"/>
      <c r="C40" s="777">
        <f>'Unit costs'!N69</f>
        <v>26</v>
      </c>
      <c r="D40" s="535">
        <f t="shared" ref="D40:G40" si="2">D28*$C40</f>
        <v>0</v>
      </c>
      <c r="E40" s="535">
        <f t="shared" si="2"/>
        <v>0</v>
      </c>
      <c r="F40" s="535">
        <f t="shared" si="2"/>
        <v>4373.0611012934914</v>
      </c>
      <c r="G40" s="535">
        <f t="shared" si="2"/>
        <v>5830.7481350579892</v>
      </c>
    </row>
    <row r="41" spans="1:7" x14ac:dyDescent="0.35">
      <c r="A41" s="592" t="s">
        <v>2132</v>
      </c>
      <c r="B41" s="164"/>
      <c r="C41" s="777">
        <f>'Unit costs'!N85</f>
        <v>6.5</v>
      </c>
      <c r="D41" s="535">
        <f t="shared" ref="D41:G41" si="3">D29*$C41</f>
        <v>0</v>
      </c>
      <c r="E41" s="535">
        <f t="shared" si="3"/>
        <v>0</v>
      </c>
      <c r="F41" s="535">
        <f t="shared" si="3"/>
        <v>0</v>
      </c>
      <c r="G41" s="535">
        <f t="shared" si="3"/>
        <v>1093.2652753233729</v>
      </c>
    </row>
    <row r="42" spans="1:7" x14ac:dyDescent="0.35">
      <c r="A42" s="592" t="s">
        <v>2133</v>
      </c>
      <c r="B42" s="164"/>
      <c r="C42" s="777">
        <f>'Unit costs'!N99</f>
        <v>12.166666666666666</v>
      </c>
      <c r="D42" s="535">
        <f>D30*$C42</f>
        <v>9004.02067779147</v>
      </c>
      <c r="E42" s="535">
        <f t="shared" ref="E42:G42" si="4">E30*$C42</f>
        <v>6275.5295633092064</v>
      </c>
      <c r="F42" s="535">
        <f t="shared" si="4"/>
        <v>4911.2840060680755</v>
      </c>
      <c r="G42" s="535">
        <f t="shared" si="4"/>
        <v>3547.0384488269433</v>
      </c>
    </row>
    <row r="43" spans="1:7" x14ac:dyDescent="0.35">
      <c r="A43" s="592" t="s">
        <v>2134</v>
      </c>
      <c r="B43" s="164"/>
      <c r="C43" s="777">
        <f>'Unit costs'!N114</f>
        <v>12</v>
      </c>
      <c r="D43" s="535">
        <f t="shared" ref="D43:G43" si="5">D31*$C43</f>
        <v>8880.6779287806276</v>
      </c>
      <c r="E43" s="535">
        <f t="shared" si="5"/>
        <v>8880.6779287806276</v>
      </c>
      <c r="F43" s="535">
        <f t="shared" si="5"/>
        <v>6189.5634049077107</v>
      </c>
      <c r="G43" s="535">
        <f t="shared" si="5"/>
        <v>4844.0061429712532</v>
      </c>
    </row>
    <row r="44" spans="1:7" x14ac:dyDescent="0.35">
      <c r="A44" s="592" t="s">
        <v>2135</v>
      </c>
      <c r="B44" s="164"/>
      <c r="C44" s="777">
        <f>'Unit costs'!N130</f>
        <v>8.9</v>
      </c>
      <c r="D44" s="535">
        <f t="shared" ref="D44:G44" si="6">D32*$C44</f>
        <v>6586.5027971789659</v>
      </c>
      <c r="E44" s="535">
        <f t="shared" si="6"/>
        <v>6586.5027971789659</v>
      </c>
      <c r="F44" s="535">
        <f t="shared" si="6"/>
        <v>6586.5027971789659</v>
      </c>
      <c r="G44" s="535">
        <f t="shared" si="6"/>
        <v>4590.5928586398859</v>
      </c>
    </row>
    <row r="45" spans="1:7" x14ac:dyDescent="0.35">
      <c r="A45" s="592" t="s">
        <v>2136</v>
      </c>
      <c r="B45" s="164"/>
      <c r="C45" s="777">
        <f>'Unit costs'!N153</f>
        <v>12</v>
      </c>
      <c r="D45" s="535">
        <f t="shared" ref="D45:G45" si="7">D33*$C45</f>
        <v>4574.8946905839612</v>
      </c>
      <c r="E45" s="535">
        <f t="shared" si="7"/>
        <v>5247.6733215521899</v>
      </c>
      <c r="F45" s="535">
        <f>F33*$C45</f>
        <v>5920.4519525204196</v>
      </c>
      <c r="G45" s="535">
        <f t="shared" si="7"/>
        <v>6593.2305834886492</v>
      </c>
    </row>
    <row r="46" spans="1:7" x14ac:dyDescent="0.35">
      <c r="A46" s="592" t="s">
        <v>2137</v>
      </c>
      <c r="B46" s="164"/>
      <c r="C46" s="777">
        <f>'Unit costs'!N171</f>
        <v>12</v>
      </c>
      <c r="D46" s="535">
        <f t="shared" ref="D46:G46" si="8">D34*$C46</f>
        <v>4574.8946905839612</v>
      </c>
      <c r="E46" s="535">
        <f t="shared" si="8"/>
        <v>4574.8946905839612</v>
      </c>
      <c r="F46" s="535">
        <f t="shared" si="8"/>
        <v>5247.6733215521899</v>
      </c>
      <c r="G46" s="535">
        <f t="shared" si="8"/>
        <v>5920.4519525204196</v>
      </c>
    </row>
    <row r="47" spans="1:7" x14ac:dyDescent="0.35">
      <c r="A47" s="592" t="s">
        <v>2138</v>
      </c>
      <c r="B47" s="164"/>
      <c r="C47" s="777">
        <f>'Unit costs'!N186</f>
        <v>8.9</v>
      </c>
      <c r="D47" s="535">
        <f t="shared" ref="D47:F47" si="9">D35*$C47</f>
        <v>3393.0468955164379</v>
      </c>
      <c r="E47" s="535">
        <f t="shared" si="9"/>
        <v>3393.0468955164379</v>
      </c>
      <c r="F47" s="535">
        <f t="shared" si="9"/>
        <v>3393.0468955164379</v>
      </c>
      <c r="G47" s="535">
        <f>G35*$C47</f>
        <v>3892.0243801512079</v>
      </c>
    </row>
    <row r="48" spans="1:7" x14ac:dyDescent="0.35">
      <c r="A48" s="593" t="s">
        <v>2025</v>
      </c>
      <c r="B48" s="164"/>
      <c r="C48" s="134"/>
      <c r="D48" s="157">
        <f>SUM(D39:D47)</f>
        <v>37014.037680435431</v>
      </c>
      <c r="E48" s="157">
        <f>SUM(E39:E47)</f>
        <v>39331.386298214886</v>
      </c>
      <c r="F48" s="157">
        <f>SUM(F39:F47)</f>
        <v>42452.331614095288</v>
      </c>
      <c r="G48" s="157">
        <f>SUM(G39:G47)</f>
        <v>43599.792945802212</v>
      </c>
    </row>
    <row r="50" spans="1:7" ht="29" x14ac:dyDescent="0.35">
      <c r="A50" s="604" t="s">
        <v>2005</v>
      </c>
      <c r="B50" s="605"/>
      <c r="C50" s="793"/>
      <c r="D50" s="695" t="s">
        <v>2245</v>
      </c>
      <c r="E50" s="198" t="s">
        <v>2242</v>
      </c>
      <c r="F50" s="198" t="s">
        <v>2243</v>
      </c>
      <c r="G50" s="199" t="s">
        <v>2244</v>
      </c>
    </row>
    <row r="51" spans="1:7" x14ac:dyDescent="0.35">
      <c r="A51" s="603" t="s">
        <v>2130</v>
      </c>
      <c r="B51" s="146"/>
      <c r="C51" s="146">
        <f>D12</f>
        <v>10</v>
      </c>
      <c r="D51" s="535">
        <f>D27*$C51</f>
        <v>0</v>
      </c>
      <c r="E51" s="535">
        <f t="shared" ref="E51:G51" si="10">E27*$C51</f>
        <v>1681.9465774205737</v>
      </c>
      <c r="F51" s="535">
        <f t="shared" si="10"/>
        <v>2242.5954365607649</v>
      </c>
      <c r="G51" s="535">
        <f t="shared" si="10"/>
        <v>2803.2442957009562</v>
      </c>
    </row>
    <row r="52" spans="1:7" x14ac:dyDescent="0.35">
      <c r="A52" s="603" t="s">
        <v>2131</v>
      </c>
      <c r="B52" s="149"/>
      <c r="C52" s="149">
        <f>E12</f>
        <v>10</v>
      </c>
      <c r="D52" s="535">
        <f t="shared" ref="D52:G52" si="11">D28*$C52</f>
        <v>0</v>
      </c>
      <c r="E52" s="535">
        <f t="shared" si="11"/>
        <v>0</v>
      </c>
      <c r="F52" s="535">
        <f t="shared" si="11"/>
        <v>1681.9465774205737</v>
      </c>
      <c r="G52" s="535">
        <f t="shared" si="11"/>
        <v>2242.5954365607649</v>
      </c>
    </row>
    <row r="53" spans="1:7" x14ac:dyDescent="0.35">
      <c r="A53" s="603" t="s">
        <v>2132</v>
      </c>
      <c r="B53" s="149"/>
      <c r="C53" s="149">
        <f>F12</f>
        <v>10</v>
      </c>
      <c r="D53" s="535">
        <f t="shared" ref="D53:G53" si="12">D29*$C53</f>
        <v>0</v>
      </c>
      <c r="E53" s="535">
        <f t="shared" si="12"/>
        <v>0</v>
      </c>
      <c r="F53" s="535">
        <f t="shared" si="12"/>
        <v>0</v>
      </c>
      <c r="G53" s="535">
        <f t="shared" si="12"/>
        <v>1681.9465774205737</v>
      </c>
    </row>
    <row r="54" spans="1:7" x14ac:dyDescent="0.35">
      <c r="A54" s="603" t="s">
        <v>2133</v>
      </c>
      <c r="B54" s="149"/>
      <c r="C54" s="149">
        <f>G12</f>
        <v>10</v>
      </c>
      <c r="D54" s="535">
        <f t="shared" ref="D54:G54" si="13">D30*$C54</f>
        <v>7400.5649406505236</v>
      </c>
      <c r="E54" s="535">
        <f t="shared" si="13"/>
        <v>5157.9695040897595</v>
      </c>
      <c r="F54" s="535">
        <f t="shared" si="13"/>
        <v>4036.6717858093771</v>
      </c>
      <c r="G54" s="535">
        <f t="shared" si="13"/>
        <v>2915.3740675289946</v>
      </c>
    </row>
    <row r="55" spans="1:7" x14ac:dyDescent="0.35">
      <c r="A55" s="603" t="s">
        <v>2134</v>
      </c>
      <c r="B55" s="149"/>
      <c r="C55" s="149">
        <f>G12</f>
        <v>10</v>
      </c>
      <c r="D55" s="535">
        <f t="shared" ref="D55:G55" si="14">D31*$C55</f>
        <v>7400.5649406505236</v>
      </c>
      <c r="E55" s="535">
        <f t="shared" si="14"/>
        <v>7400.5649406505236</v>
      </c>
      <c r="F55" s="535">
        <f t="shared" si="14"/>
        <v>5157.9695040897595</v>
      </c>
      <c r="G55" s="535">
        <f t="shared" si="14"/>
        <v>4036.6717858093771</v>
      </c>
    </row>
    <row r="56" spans="1:7" x14ac:dyDescent="0.35">
      <c r="A56" s="603" t="s">
        <v>2135</v>
      </c>
      <c r="B56" s="149"/>
      <c r="C56" s="149">
        <f>G12</f>
        <v>10</v>
      </c>
      <c r="D56" s="535">
        <f t="shared" ref="D56:G56" si="15">D32*$C56</f>
        <v>7400.5649406505236</v>
      </c>
      <c r="E56" s="535">
        <f t="shared" si="15"/>
        <v>7400.5649406505236</v>
      </c>
      <c r="F56" s="535">
        <f t="shared" si="15"/>
        <v>7400.5649406505236</v>
      </c>
      <c r="G56" s="535">
        <f t="shared" si="15"/>
        <v>5157.9695040897595</v>
      </c>
    </row>
    <row r="57" spans="1:7" x14ac:dyDescent="0.35">
      <c r="A57" s="603" t="s">
        <v>2136</v>
      </c>
      <c r="B57" s="149"/>
      <c r="C57" s="149">
        <f>H12</f>
        <v>10</v>
      </c>
      <c r="D57" s="535">
        <f t="shared" ref="D57:G57" si="16">D33*$C57</f>
        <v>3812.4122421533007</v>
      </c>
      <c r="E57" s="535">
        <f t="shared" si="16"/>
        <v>4373.0611012934914</v>
      </c>
      <c r="F57" s="535">
        <f t="shared" si="16"/>
        <v>4933.7099604336827</v>
      </c>
      <c r="G57" s="535">
        <f t="shared" si="16"/>
        <v>5494.3588195738739</v>
      </c>
    </row>
    <row r="58" spans="1:7" x14ac:dyDescent="0.35">
      <c r="A58" s="603" t="s">
        <v>2137</v>
      </c>
      <c r="B58" s="149"/>
      <c r="C58" s="149">
        <f>I12</f>
        <v>10</v>
      </c>
      <c r="D58" s="535">
        <f t="shared" ref="D58:G58" si="17">D34*$C58</f>
        <v>3812.4122421533007</v>
      </c>
      <c r="E58" s="535">
        <f t="shared" si="17"/>
        <v>3812.4122421533007</v>
      </c>
      <c r="F58" s="535">
        <f t="shared" si="17"/>
        <v>4373.0611012934914</v>
      </c>
      <c r="G58" s="535">
        <f t="shared" si="17"/>
        <v>4933.7099604336827</v>
      </c>
    </row>
    <row r="59" spans="1:7" x14ac:dyDescent="0.35">
      <c r="A59" s="603" t="s">
        <v>2138</v>
      </c>
      <c r="B59" s="149"/>
      <c r="C59" s="149">
        <f>J12</f>
        <v>10</v>
      </c>
      <c r="D59" s="535">
        <f t="shared" ref="D59:G59" si="18">D35*$C59</f>
        <v>3812.4122421533007</v>
      </c>
      <c r="E59" s="535">
        <f t="shared" si="18"/>
        <v>3812.4122421533007</v>
      </c>
      <c r="F59" s="535">
        <f t="shared" si="18"/>
        <v>3812.4122421533007</v>
      </c>
      <c r="G59" s="535">
        <f t="shared" si="18"/>
        <v>4373.0611012934914</v>
      </c>
    </row>
    <row r="60" spans="1:7" x14ac:dyDescent="0.35">
      <c r="A60" s="593" t="s">
        <v>2026</v>
      </c>
      <c r="B60" s="149"/>
      <c r="C60" s="149"/>
      <c r="D60" s="157">
        <f>SUM(D51:D59)</f>
        <v>33638.93154841147</v>
      </c>
      <c r="E60" s="157">
        <f t="shared" ref="E60:G60" si="19">SUM(E51:E59)</f>
        <v>33638.93154841147</v>
      </c>
      <c r="F60" s="157">
        <f t="shared" si="19"/>
        <v>33638.931548411478</v>
      </c>
      <c r="G60" s="157">
        <f t="shared" si="19"/>
        <v>33638.931548411478</v>
      </c>
    </row>
    <row r="62" spans="1:7" ht="29" x14ac:dyDescent="0.35">
      <c r="A62" s="604" t="s">
        <v>2006</v>
      </c>
      <c r="B62" s="605"/>
      <c r="C62" s="793"/>
      <c r="D62" s="695" t="s">
        <v>2245</v>
      </c>
      <c r="E62" s="198" t="s">
        <v>2242</v>
      </c>
      <c r="F62" s="198" t="s">
        <v>2243</v>
      </c>
      <c r="G62" s="199" t="s">
        <v>2244</v>
      </c>
    </row>
    <row r="63" spans="1:7" x14ac:dyDescent="0.35">
      <c r="A63" s="593" t="s">
        <v>2027</v>
      </c>
      <c r="B63" s="149"/>
      <c r="C63" s="149">
        <v>30</v>
      </c>
      <c r="D63" s="157">
        <f>D60*$C63/60</f>
        <v>16819.465774205735</v>
      </c>
      <c r="E63" s="157">
        <f>E60*$C63/60</f>
        <v>16819.465774205735</v>
      </c>
      <c r="F63" s="157">
        <f>F60*$C63/60</f>
        <v>16819.465774205739</v>
      </c>
      <c r="G63" s="157">
        <f>G60*$C63/60</f>
        <v>16819.465774205739</v>
      </c>
    </row>
    <row r="64" spans="1:7" x14ac:dyDescent="0.35">
      <c r="A64" s="476"/>
      <c r="D64" s="214"/>
      <c r="E64" s="214"/>
      <c r="F64" s="214"/>
      <c r="G64" s="214"/>
    </row>
    <row r="65" spans="1:7" ht="29" x14ac:dyDescent="0.35">
      <c r="A65" s="546" t="s">
        <v>2260</v>
      </c>
      <c r="B65" s="547"/>
      <c r="C65" s="794"/>
      <c r="D65" s="695" t="s">
        <v>2245</v>
      </c>
      <c r="E65" s="198" t="s">
        <v>2242</v>
      </c>
      <c r="F65" s="198" t="s">
        <v>2243</v>
      </c>
      <c r="G65" s="199" t="s">
        <v>2244</v>
      </c>
    </row>
    <row r="66" spans="1:7" x14ac:dyDescent="0.35">
      <c r="A66" s="603" t="s">
        <v>2130</v>
      </c>
      <c r="B66" s="146"/>
      <c r="C66" s="895">
        <f>D13</f>
        <v>26</v>
      </c>
      <c r="D66" s="535">
        <f>D27*$C66</f>
        <v>0</v>
      </c>
      <c r="E66" s="535">
        <f t="shared" ref="E66:G66" si="20">E27*$C66</f>
        <v>4373.0611012934914</v>
      </c>
      <c r="F66" s="535">
        <f t="shared" si="20"/>
        <v>5830.7481350579892</v>
      </c>
      <c r="G66" s="535">
        <f t="shared" si="20"/>
        <v>7288.435168822486</v>
      </c>
    </row>
    <row r="67" spans="1:7" x14ac:dyDescent="0.35">
      <c r="A67" s="603" t="s">
        <v>2131</v>
      </c>
      <c r="B67" s="149"/>
      <c r="C67" s="896">
        <f>E13</f>
        <v>26</v>
      </c>
      <c r="D67" s="535">
        <f t="shared" ref="D67:G67" si="21">D28*$C67</f>
        <v>0</v>
      </c>
      <c r="E67" s="535">
        <f t="shared" si="21"/>
        <v>0</v>
      </c>
      <c r="F67" s="535">
        <f t="shared" si="21"/>
        <v>4373.0611012934914</v>
      </c>
      <c r="G67" s="535">
        <f t="shared" si="21"/>
        <v>5830.7481350579892</v>
      </c>
    </row>
    <row r="68" spans="1:7" x14ac:dyDescent="0.35">
      <c r="A68" s="603" t="s">
        <v>2132</v>
      </c>
      <c r="B68" s="149"/>
      <c r="C68" s="896">
        <f>F13</f>
        <v>6.5</v>
      </c>
      <c r="D68" s="535">
        <f t="shared" ref="D68:G68" si="22">D29*$C68</f>
        <v>0</v>
      </c>
      <c r="E68" s="535">
        <f t="shared" si="22"/>
        <v>0</v>
      </c>
      <c r="F68" s="535">
        <f t="shared" si="22"/>
        <v>0</v>
      </c>
      <c r="G68" s="535">
        <f t="shared" si="22"/>
        <v>1093.2652753233729</v>
      </c>
    </row>
    <row r="69" spans="1:7" ht="15.5" customHeight="1" x14ac:dyDescent="0.35">
      <c r="A69" s="593" t="s">
        <v>2261</v>
      </c>
      <c r="B69" s="149"/>
      <c r="C69" s="149"/>
      <c r="D69" s="157">
        <f>SUM(D66:D68)</f>
        <v>0</v>
      </c>
      <c r="E69" s="157">
        <f t="shared" ref="E69:G69" si="23">SUM(E66:E68)</f>
        <v>4373.0611012934914</v>
      </c>
      <c r="F69" s="157">
        <f t="shared" si="23"/>
        <v>10203.809236351481</v>
      </c>
      <c r="G69" s="157">
        <f t="shared" si="23"/>
        <v>14212.448579203849</v>
      </c>
    </row>
    <row r="71" spans="1:7" ht="29" x14ac:dyDescent="0.35">
      <c r="A71" s="546" t="s">
        <v>2269</v>
      </c>
      <c r="B71" s="547"/>
      <c r="C71" s="794"/>
      <c r="D71" s="695" t="s">
        <v>2245</v>
      </c>
      <c r="E71" s="198" t="s">
        <v>2242</v>
      </c>
      <c r="F71" s="198" t="s">
        <v>2243</v>
      </c>
      <c r="G71" s="199" t="s">
        <v>2244</v>
      </c>
    </row>
    <row r="72" spans="1:7" x14ac:dyDescent="0.35">
      <c r="A72" s="603" t="s">
        <v>2130</v>
      </c>
      <c r="B72" s="146"/>
      <c r="C72" s="146">
        <f>D14</f>
        <v>0</v>
      </c>
      <c r="D72" s="535">
        <f>D66*$C72/60</f>
        <v>0</v>
      </c>
      <c r="E72" s="535">
        <f t="shared" ref="E72:G72" si="24">E66*$C72/60</f>
        <v>0</v>
      </c>
      <c r="F72" s="535">
        <f t="shared" si="24"/>
        <v>0</v>
      </c>
      <c r="G72" s="535">
        <f t="shared" si="24"/>
        <v>0</v>
      </c>
    </row>
    <row r="73" spans="1:7" x14ac:dyDescent="0.35">
      <c r="A73" s="603" t="s">
        <v>2131</v>
      </c>
      <c r="B73" s="149"/>
      <c r="C73" s="149">
        <f>E14</f>
        <v>0</v>
      </c>
      <c r="D73" s="535">
        <f t="shared" ref="D73:G73" si="25">D67*$C73/60</f>
        <v>0</v>
      </c>
      <c r="E73" s="535">
        <f t="shared" si="25"/>
        <v>0</v>
      </c>
      <c r="F73" s="535">
        <f t="shared" si="25"/>
        <v>0</v>
      </c>
      <c r="G73" s="535">
        <f t="shared" si="25"/>
        <v>0</v>
      </c>
    </row>
    <row r="74" spans="1:7" x14ac:dyDescent="0.35">
      <c r="A74" s="603" t="s">
        <v>2132</v>
      </c>
      <c r="B74" s="149"/>
      <c r="C74" s="149">
        <f>F14</f>
        <v>0</v>
      </c>
      <c r="D74" s="535">
        <f t="shared" ref="D74:G74" si="26">D68*$C74/60</f>
        <v>0</v>
      </c>
      <c r="E74" s="535">
        <f t="shared" si="26"/>
        <v>0</v>
      </c>
      <c r="F74" s="535">
        <f t="shared" si="26"/>
        <v>0</v>
      </c>
      <c r="G74" s="535">
        <f t="shared" si="26"/>
        <v>0</v>
      </c>
    </row>
    <row r="75" spans="1:7" ht="15.5" customHeight="1" x14ac:dyDescent="0.35">
      <c r="A75" s="593" t="s">
        <v>2235</v>
      </c>
      <c r="B75" s="149"/>
      <c r="C75" s="149"/>
      <c r="D75" s="157">
        <f>SUM(D72:D74)</f>
        <v>0</v>
      </c>
      <c r="E75" s="157">
        <f t="shared" ref="E75:G75" si="27">SUM(E72:E74)</f>
        <v>0</v>
      </c>
      <c r="F75" s="157">
        <f t="shared" si="27"/>
        <v>0</v>
      </c>
      <c r="G75" s="157">
        <f t="shared" si="27"/>
        <v>0</v>
      </c>
    </row>
    <row r="77" spans="1:7" ht="29" x14ac:dyDescent="0.35">
      <c r="A77" s="546" t="s">
        <v>2236</v>
      </c>
      <c r="B77" s="547"/>
      <c r="C77" s="794"/>
      <c r="D77" s="695" t="s">
        <v>2245</v>
      </c>
      <c r="E77" s="198" t="s">
        <v>2242</v>
      </c>
      <c r="F77" s="198" t="s">
        <v>2243</v>
      </c>
      <c r="G77" s="199" t="s">
        <v>2244</v>
      </c>
    </row>
    <row r="78" spans="1:7" x14ac:dyDescent="0.35">
      <c r="A78" s="603" t="s">
        <v>2270</v>
      </c>
      <c r="B78" s="146"/>
      <c r="C78" s="798">
        <f>H15</f>
        <v>4.3214285714285712</v>
      </c>
      <c r="D78" s="535">
        <f>D33*$C78</f>
        <v>1647.5067189305335</v>
      </c>
      <c r="E78" s="535">
        <f t="shared" ref="E78:G78" si="28">E33*$C78</f>
        <v>1889.787118773259</v>
      </c>
      <c r="F78" s="535">
        <f t="shared" si="28"/>
        <v>2132.0675186159842</v>
      </c>
      <c r="G78" s="535">
        <f t="shared" si="28"/>
        <v>2374.34791845871</v>
      </c>
    </row>
    <row r="79" spans="1:7" x14ac:dyDescent="0.35">
      <c r="A79" s="603" t="s">
        <v>2272</v>
      </c>
      <c r="B79" s="146"/>
      <c r="C79" s="798">
        <f>H17</f>
        <v>8.6785714285714288</v>
      </c>
      <c r="D79" s="535">
        <f>D33*$C79</f>
        <v>3308.6291958687575</v>
      </c>
      <c r="E79" s="535">
        <f t="shared" ref="E79:G79" si="29">E33*$C79</f>
        <v>3795.1923129082807</v>
      </c>
      <c r="F79" s="535">
        <f t="shared" si="29"/>
        <v>4281.7554299478033</v>
      </c>
      <c r="G79" s="535">
        <f t="shared" si="29"/>
        <v>4768.318546987327</v>
      </c>
    </row>
    <row r="80" spans="1:7" x14ac:dyDescent="0.35">
      <c r="A80" s="603" t="s">
        <v>2271</v>
      </c>
      <c r="B80" s="146"/>
      <c r="C80" s="798">
        <f>I17</f>
        <v>6.4821428571428568</v>
      </c>
      <c r="D80" s="535">
        <f t="shared" ref="D80:G80" si="30">D34*$C80</f>
        <v>2471.2600783958001</v>
      </c>
      <c r="E80" s="535">
        <f t="shared" si="30"/>
        <v>2471.2600783958001</v>
      </c>
      <c r="F80" s="535">
        <f t="shared" si="30"/>
        <v>2834.6806781598884</v>
      </c>
      <c r="G80" s="535">
        <f t="shared" si="30"/>
        <v>3198.1012779239763</v>
      </c>
    </row>
    <row r="81" spans="1:7" ht="15.5" customHeight="1" x14ac:dyDescent="0.35">
      <c r="A81" s="593" t="s">
        <v>2261</v>
      </c>
      <c r="B81" s="149"/>
      <c r="C81" s="149"/>
      <c r="D81" s="157">
        <f>SUM(D78:D80)</f>
        <v>7427.3959931950903</v>
      </c>
      <c r="E81" s="157">
        <f t="shared" ref="E81:G81" si="31">SUM(E78:E80)</f>
        <v>8156.2395100773392</v>
      </c>
      <c r="F81" s="157">
        <f t="shared" si="31"/>
        <v>9248.5036267236756</v>
      </c>
      <c r="G81" s="157">
        <f t="shared" si="31"/>
        <v>10340.767743370012</v>
      </c>
    </row>
    <row r="83" spans="1:7" ht="29" x14ac:dyDescent="0.35">
      <c r="A83" s="546" t="s">
        <v>2234</v>
      </c>
      <c r="B83" s="547"/>
      <c r="C83" s="794"/>
      <c r="D83" s="695" t="s">
        <v>2245</v>
      </c>
      <c r="E83" s="198" t="s">
        <v>2242</v>
      </c>
      <c r="F83" s="198" t="s">
        <v>2243</v>
      </c>
      <c r="G83" s="199" t="s">
        <v>2244</v>
      </c>
    </row>
    <row r="84" spans="1:7" x14ac:dyDescent="0.35">
      <c r="A84" s="603" t="s">
        <v>2270</v>
      </c>
      <c r="B84" s="146"/>
      <c r="C84" s="146">
        <f>H16</f>
        <v>130</v>
      </c>
      <c r="D84" s="535">
        <f>D78*$C84/60</f>
        <v>3569.5978910161557</v>
      </c>
      <c r="E84" s="535">
        <f t="shared" ref="E84:G84" si="32">E78*$C84/60</f>
        <v>4094.5387573420608</v>
      </c>
      <c r="F84" s="535">
        <f t="shared" si="32"/>
        <v>4619.4796236679658</v>
      </c>
      <c r="G84" s="535">
        <f t="shared" si="32"/>
        <v>5144.4204899938723</v>
      </c>
    </row>
    <row r="85" spans="1:7" x14ac:dyDescent="0.35">
      <c r="A85" s="603" t="s">
        <v>2272</v>
      </c>
      <c r="B85" s="146"/>
      <c r="C85" s="146">
        <f>H18</f>
        <v>30</v>
      </c>
      <c r="D85" s="535">
        <f t="shared" ref="D85:G85" si="33">D79*$C85/60</f>
        <v>1654.3145979343788</v>
      </c>
      <c r="E85" s="535">
        <f t="shared" si="33"/>
        <v>1897.5961564541403</v>
      </c>
      <c r="F85" s="535">
        <f t="shared" si="33"/>
        <v>2140.8777149739017</v>
      </c>
      <c r="G85" s="535">
        <f t="shared" si="33"/>
        <v>2384.1592734936635</v>
      </c>
    </row>
    <row r="86" spans="1:7" x14ac:dyDescent="0.35">
      <c r="A86" s="603" t="s">
        <v>2271</v>
      </c>
      <c r="B86" s="146"/>
      <c r="C86" s="146">
        <f>I18</f>
        <v>30</v>
      </c>
      <c r="D86" s="535">
        <f t="shared" ref="D86:G86" si="34">D80*$C86/60</f>
        <v>1235.6300391979</v>
      </c>
      <c r="E86" s="535">
        <f t="shared" si="34"/>
        <v>1235.6300391979</v>
      </c>
      <c r="F86" s="535">
        <f t="shared" si="34"/>
        <v>1417.3403390799442</v>
      </c>
      <c r="G86" s="535">
        <f t="shared" si="34"/>
        <v>1599.0506389619882</v>
      </c>
    </row>
    <row r="87" spans="1:7" ht="15.5" customHeight="1" x14ac:dyDescent="0.35">
      <c r="A87" s="593" t="s">
        <v>2235</v>
      </c>
      <c r="B87" s="149"/>
      <c r="C87" s="149"/>
      <c r="D87" s="157">
        <f>SUM(D84:D86)</f>
        <v>6459.5425281484349</v>
      </c>
      <c r="E87" s="157">
        <f t="shared" ref="E87:G87" si="35">SUM(E84:E86)</f>
        <v>7227.7649529941009</v>
      </c>
      <c r="F87" s="157">
        <f t="shared" si="35"/>
        <v>8177.6976777218115</v>
      </c>
      <c r="G87" s="157">
        <f t="shared" si="35"/>
        <v>9127.6304024495239</v>
      </c>
    </row>
    <row r="89" spans="1:7" ht="29" x14ac:dyDescent="0.35">
      <c r="A89" s="546" t="s">
        <v>2037</v>
      </c>
      <c r="B89" s="547"/>
      <c r="C89" s="794"/>
      <c r="D89" s="695" t="s">
        <v>2245</v>
      </c>
      <c r="E89" s="198" t="s">
        <v>2242</v>
      </c>
      <c r="F89" s="198" t="s">
        <v>2243</v>
      </c>
      <c r="G89" s="199" t="s">
        <v>2244</v>
      </c>
    </row>
    <row r="90" spans="1:7" x14ac:dyDescent="0.35">
      <c r="A90" s="603" t="s">
        <v>2130</v>
      </c>
      <c r="B90" s="146"/>
      <c r="C90" s="146">
        <f>D19</f>
        <v>0</v>
      </c>
      <c r="D90" s="535">
        <f t="shared" ref="D90:G98" si="36">D39*$C90/60</f>
        <v>0</v>
      </c>
      <c r="E90" s="535">
        <f t="shared" si="36"/>
        <v>0</v>
      </c>
      <c r="F90" s="535">
        <f t="shared" si="36"/>
        <v>0</v>
      </c>
      <c r="G90" s="535">
        <f t="shared" si="36"/>
        <v>0</v>
      </c>
    </row>
    <row r="91" spans="1:7" x14ac:dyDescent="0.35">
      <c r="A91" s="603" t="s">
        <v>2131</v>
      </c>
      <c r="B91" s="149"/>
      <c r="C91" s="149">
        <f>E19</f>
        <v>0</v>
      </c>
      <c r="D91" s="535">
        <f t="shared" si="36"/>
        <v>0</v>
      </c>
      <c r="E91" s="535">
        <f t="shared" si="36"/>
        <v>0</v>
      </c>
      <c r="F91" s="535">
        <f t="shared" si="36"/>
        <v>0</v>
      </c>
      <c r="G91" s="535">
        <f t="shared" si="36"/>
        <v>0</v>
      </c>
    </row>
    <row r="92" spans="1:7" x14ac:dyDescent="0.35">
      <c r="A92" s="603" t="s">
        <v>2132</v>
      </c>
      <c r="B92" s="149"/>
      <c r="C92" s="149">
        <f>F19</f>
        <v>0</v>
      </c>
      <c r="D92" s="535">
        <f t="shared" si="36"/>
        <v>0</v>
      </c>
      <c r="E92" s="535">
        <f t="shared" si="36"/>
        <v>0</v>
      </c>
      <c r="F92" s="535">
        <f t="shared" si="36"/>
        <v>0</v>
      </c>
      <c r="G92" s="535">
        <f t="shared" si="36"/>
        <v>0</v>
      </c>
    </row>
    <row r="93" spans="1:7" x14ac:dyDescent="0.35">
      <c r="A93" s="603" t="s">
        <v>2133</v>
      </c>
      <c r="B93" s="149"/>
      <c r="C93" s="149">
        <f>G19</f>
        <v>0</v>
      </c>
      <c r="D93" s="535">
        <f t="shared" si="36"/>
        <v>0</v>
      </c>
      <c r="E93" s="535">
        <f t="shared" si="36"/>
        <v>0</v>
      </c>
      <c r="F93" s="535">
        <f t="shared" si="36"/>
        <v>0</v>
      </c>
      <c r="G93" s="535">
        <f t="shared" si="36"/>
        <v>0</v>
      </c>
    </row>
    <row r="94" spans="1:7" x14ac:dyDescent="0.35">
      <c r="A94" s="603" t="s">
        <v>2134</v>
      </c>
      <c r="B94" s="149"/>
      <c r="C94" s="149">
        <f>G19</f>
        <v>0</v>
      </c>
      <c r="D94" s="535">
        <f t="shared" si="36"/>
        <v>0</v>
      </c>
      <c r="E94" s="535">
        <f t="shared" si="36"/>
        <v>0</v>
      </c>
      <c r="F94" s="535">
        <f t="shared" si="36"/>
        <v>0</v>
      </c>
      <c r="G94" s="535">
        <f t="shared" si="36"/>
        <v>0</v>
      </c>
    </row>
    <row r="95" spans="1:7" x14ac:dyDescent="0.35">
      <c r="A95" s="603" t="s">
        <v>2135</v>
      </c>
      <c r="B95" s="149"/>
      <c r="C95" s="149">
        <f>G19</f>
        <v>0</v>
      </c>
      <c r="D95" s="535">
        <f t="shared" si="36"/>
        <v>0</v>
      </c>
      <c r="E95" s="535">
        <f t="shared" si="36"/>
        <v>0</v>
      </c>
      <c r="F95" s="535">
        <f t="shared" si="36"/>
        <v>0</v>
      </c>
      <c r="G95" s="535">
        <f t="shared" si="36"/>
        <v>0</v>
      </c>
    </row>
    <row r="96" spans="1:7" x14ac:dyDescent="0.35">
      <c r="A96" s="603" t="s">
        <v>2136</v>
      </c>
      <c r="B96" s="149"/>
      <c r="C96" s="149">
        <f>H19</f>
        <v>0</v>
      </c>
      <c r="D96" s="535">
        <f t="shared" si="36"/>
        <v>0</v>
      </c>
      <c r="E96" s="535">
        <f t="shared" si="36"/>
        <v>0</v>
      </c>
      <c r="F96" s="535">
        <f t="shared" si="36"/>
        <v>0</v>
      </c>
      <c r="G96" s="535">
        <f t="shared" si="36"/>
        <v>0</v>
      </c>
    </row>
    <row r="97" spans="1:7" x14ac:dyDescent="0.35">
      <c r="A97" s="603" t="s">
        <v>2137</v>
      </c>
      <c r="B97" s="149"/>
      <c r="C97" s="149">
        <f>I19</f>
        <v>0</v>
      </c>
      <c r="D97" s="535">
        <f t="shared" si="36"/>
        <v>0</v>
      </c>
      <c r="E97" s="535">
        <f t="shared" si="36"/>
        <v>0</v>
      </c>
      <c r="F97" s="535">
        <f t="shared" si="36"/>
        <v>0</v>
      </c>
      <c r="G97" s="535">
        <f t="shared" si="36"/>
        <v>0</v>
      </c>
    </row>
    <row r="98" spans="1:7" x14ac:dyDescent="0.35">
      <c r="A98" s="603" t="s">
        <v>2138</v>
      </c>
      <c r="B98" s="149"/>
      <c r="C98" s="149">
        <f>J19</f>
        <v>0</v>
      </c>
      <c r="D98" s="535">
        <f t="shared" si="36"/>
        <v>0</v>
      </c>
      <c r="E98" s="535">
        <f t="shared" si="36"/>
        <v>0</v>
      </c>
      <c r="F98" s="535">
        <f t="shared" si="36"/>
        <v>0</v>
      </c>
      <c r="G98" s="535">
        <f t="shared" si="36"/>
        <v>0</v>
      </c>
    </row>
    <row r="99" spans="1:7" x14ac:dyDescent="0.35">
      <c r="A99" s="593" t="s">
        <v>2028</v>
      </c>
      <c r="B99" s="149"/>
      <c r="C99" s="149"/>
      <c r="D99" s="157">
        <f>SUM(D90:D98)</f>
        <v>0</v>
      </c>
      <c r="E99" s="157">
        <f t="shared" ref="E99:G99" si="37">SUM(E90:E98)</f>
        <v>0</v>
      </c>
      <c r="F99" s="157">
        <f t="shared" si="37"/>
        <v>0</v>
      </c>
      <c r="G99" s="157">
        <f t="shared" si="37"/>
        <v>0</v>
      </c>
    </row>
    <row r="101" spans="1:7" ht="29" x14ac:dyDescent="0.35">
      <c r="A101" s="548" t="s">
        <v>2038</v>
      </c>
      <c r="B101" s="549"/>
      <c r="C101" s="795"/>
      <c r="D101" s="695" t="s">
        <v>2245</v>
      </c>
      <c r="E101" s="198" t="s">
        <v>2242</v>
      </c>
      <c r="F101" s="198" t="s">
        <v>2243</v>
      </c>
      <c r="G101" s="199" t="s">
        <v>2244</v>
      </c>
    </row>
    <row r="102" spans="1:7" x14ac:dyDescent="0.35">
      <c r="A102" s="603" t="s">
        <v>2130</v>
      </c>
      <c r="B102" s="146"/>
      <c r="C102" s="146">
        <f>D20</f>
        <v>0</v>
      </c>
      <c r="D102" s="535">
        <f t="shared" ref="D102:G110" si="38">D39*$C102/60</f>
        <v>0</v>
      </c>
      <c r="E102" s="535">
        <f t="shared" si="38"/>
        <v>0</v>
      </c>
      <c r="F102" s="535">
        <f t="shared" si="38"/>
        <v>0</v>
      </c>
      <c r="G102" s="535">
        <f t="shared" si="38"/>
        <v>0</v>
      </c>
    </row>
    <row r="103" spans="1:7" x14ac:dyDescent="0.35">
      <c r="A103" s="603" t="s">
        <v>2131</v>
      </c>
      <c r="B103" s="149"/>
      <c r="C103" s="149">
        <f>E20</f>
        <v>0</v>
      </c>
      <c r="D103" s="535">
        <f t="shared" si="38"/>
        <v>0</v>
      </c>
      <c r="E103" s="535">
        <f t="shared" si="38"/>
        <v>0</v>
      </c>
      <c r="F103" s="535">
        <f t="shared" si="38"/>
        <v>0</v>
      </c>
      <c r="G103" s="535">
        <f t="shared" si="38"/>
        <v>0</v>
      </c>
    </row>
    <row r="104" spans="1:7" x14ac:dyDescent="0.35">
      <c r="A104" s="603" t="s">
        <v>2132</v>
      </c>
      <c r="B104" s="149"/>
      <c r="C104" s="149">
        <f>F20</f>
        <v>0</v>
      </c>
      <c r="D104" s="535">
        <f t="shared" si="38"/>
        <v>0</v>
      </c>
      <c r="E104" s="535">
        <f t="shared" si="38"/>
        <v>0</v>
      </c>
      <c r="F104" s="535">
        <f t="shared" si="38"/>
        <v>0</v>
      </c>
      <c r="G104" s="535">
        <f t="shared" si="38"/>
        <v>0</v>
      </c>
    </row>
    <row r="105" spans="1:7" x14ac:dyDescent="0.35">
      <c r="A105" s="603" t="s">
        <v>2133</v>
      </c>
      <c r="B105" s="149"/>
      <c r="C105" s="149">
        <f>G20</f>
        <v>0</v>
      </c>
      <c r="D105" s="535">
        <f t="shared" si="38"/>
        <v>0</v>
      </c>
      <c r="E105" s="535">
        <f t="shared" si="38"/>
        <v>0</v>
      </c>
      <c r="F105" s="535">
        <f t="shared" si="38"/>
        <v>0</v>
      </c>
      <c r="G105" s="535">
        <f t="shared" si="38"/>
        <v>0</v>
      </c>
    </row>
    <row r="106" spans="1:7" x14ac:dyDescent="0.35">
      <c r="A106" s="603" t="s">
        <v>2134</v>
      </c>
      <c r="B106" s="149"/>
      <c r="C106" s="149">
        <f>G20</f>
        <v>0</v>
      </c>
      <c r="D106" s="535">
        <f t="shared" si="38"/>
        <v>0</v>
      </c>
      <c r="E106" s="535">
        <f t="shared" si="38"/>
        <v>0</v>
      </c>
      <c r="F106" s="535">
        <f t="shared" si="38"/>
        <v>0</v>
      </c>
      <c r="G106" s="535">
        <f t="shared" si="38"/>
        <v>0</v>
      </c>
    </row>
    <row r="107" spans="1:7" x14ac:dyDescent="0.35">
      <c r="A107" s="603" t="s">
        <v>2135</v>
      </c>
      <c r="B107" s="149"/>
      <c r="C107" s="149">
        <f>G20</f>
        <v>0</v>
      </c>
      <c r="D107" s="535">
        <f t="shared" si="38"/>
        <v>0</v>
      </c>
      <c r="E107" s="535">
        <f t="shared" si="38"/>
        <v>0</v>
      </c>
      <c r="F107" s="535">
        <f t="shared" si="38"/>
        <v>0</v>
      </c>
      <c r="G107" s="535">
        <f t="shared" si="38"/>
        <v>0</v>
      </c>
    </row>
    <row r="108" spans="1:7" x14ac:dyDescent="0.35">
      <c r="A108" s="603" t="s">
        <v>2136</v>
      </c>
      <c r="B108" s="149"/>
      <c r="C108" s="149">
        <f>H20</f>
        <v>0</v>
      </c>
      <c r="D108" s="535">
        <f t="shared" si="38"/>
        <v>0</v>
      </c>
      <c r="E108" s="535">
        <f t="shared" si="38"/>
        <v>0</v>
      </c>
      <c r="F108" s="535">
        <f t="shared" si="38"/>
        <v>0</v>
      </c>
      <c r="G108" s="535">
        <f t="shared" si="38"/>
        <v>0</v>
      </c>
    </row>
    <row r="109" spans="1:7" x14ac:dyDescent="0.35">
      <c r="A109" s="603" t="s">
        <v>2137</v>
      </c>
      <c r="B109" s="149"/>
      <c r="C109" s="149">
        <f>I20</f>
        <v>0</v>
      </c>
      <c r="D109" s="535">
        <f t="shared" si="38"/>
        <v>0</v>
      </c>
      <c r="E109" s="535">
        <f t="shared" si="38"/>
        <v>0</v>
      </c>
      <c r="F109" s="535">
        <f t="shared" si="38"/>
        <v>0</v>
      </c>
      <c r="G109" s="535">
        <f t="shared" si="38"/>
        <v>0</v>
      </c>
    </row>
    <row r="110" spans="1:7" x14ac:dyDescent="0.35">
      <c r="A110" s="603" t="s">
        <v>2138</v>
      </c>
      <c r="B110" s="149"/>
      <c r="C110" s="149">
        <f>J20</f>
        <v>0</v>
      </c>
      <c r="D110" s="535">
        <f t="shared" si="38"/>
        <v>0</v>
      </c>
      <c r="E110" s="535">
        <f t="shared" si="38"/>
        <v>0</v>
      </c>
      <c r="F110" s="535">
        <f t="shared" si="38"/>
        <v>0</v>
      </c>
      <c r="G110" s="535">
        <f t="shared" si="38"/>
        <v>0</v>
      </c>
    </row>
    <row r="111" spans="1:7" x14ac:dyDescent="0.35">
      <c r="A111" s="593" t="s">
        <v>2028</v>
      </c>
      <c r="B111" s="149"/>
      <c r="C111" s="149"/>
      <c r="D111" s="157">
        <f>SUM(D102:D110)</f>
        <v>0</v>
      </c>
      <c r="E111" s="157">
        <f t="shared" ref="E111:G111" si="39">SUM(E102:E110)</f>
        <v>0</v>
      </c>
      <c r="F111" s="157">
        <f t="shared" si="39"/>
        <v>0</v>
      </c>
      <c r="G111" s="157">
        <f t="shared" si="39"/>
        <v>0</v>
      </c>
    </row>
    <row r="113" spans="1:7" ht="29" x14ac:dyDescent="0.35">
      <c r="A113" s="544" t="s">
        <v>1995</v>
      </c>
      <c r="B113" s="545"/>
      <c r="C113" s="796"/>
      <c r="D113" s="695" t="s">
        <v>2245</v>
      </c>
      <c r="E113" s="198" t="s">
        <v>2242</v>
      </c>
      <c r="F113" s="198" t="s">
        <v>2243</v>
      </c>
      <c r="G113" s="199" t="s">
        <v>2244</v>
      </c>
    </row>
    <row r="114" spans="1:7" x14ac:dyDescent="0.35">
      <c r="A114" s="603" t="s">
        <v>2130</v>
      </c>
      <c r="B114" s="146"/>
      <c r="C114" s="146">
        <f>D21</f>
        <v>0</v>
      </c>
      <c r="D114" s="535">
        <f t="shared" ref="D114:G122" si="40">D27*$C114</f>
        <v>0</v>
      </c>
      <c r="E114" s="535">
        <f t="shared" si="40"/>
        <v>0</v>
      </c>
      <c r="F114" s="535">
        <f t="shared" si="40"/>
        <v>0</v>
      </c>
      <c r="G114" s="535">
        <f t="shared" si="40"/>
        <v>0</v>
      </c>
    </row>
    <row r="115" spans="1:7" x14ac:dyDescent="0.35">
      <c r="A115" s="603" t="s">
        <v>2131</v>
      </c>
      <c r="B115" s="149"/>
      <c r="C115" s="149">
        <f>E21</f>
        <v>0</v>
      </c>
      <c r="D115" s="535">
        <f t="shared" si="40"/>
        <v>0</v>
      </c>
      <c r="E115" s="535">
        <f t="shared" si="40"/>
        <v>0</v>
      </c>
      <c r="F115" s="535">
        <f t="shared" si="40"/>
        <v>0</v>
      </c>
      <c r="G115" s="535">
        <f t="shared" si="40"/>
        <v>0</v>
      </c>
    </row>
    <row r="116" spans="1:7" x14ac:dyDescent="0.35">
      <c r="A116" s="603" t="s">
        <v>2132</v>
      </c>
      <c r="B116" s="149"/>
      <c r="C116" s="149">
        <f>F21</f>
        <v>0</v>
      </c>
      <c r="D116" s="535">
        <f t="shared" si="40"/>
        <v>0</v>
      </c>
      <c r="E116" s="535">
        <f t="shared" si="40"/>
        <v>0</v>
      </c>
      <c r="F116" s="535">
        <f t="shared" si="40"/>
        <v>0</v>
      </c>
      <c r="G116" s="535">
        <f t="shared" si="40"/>
        <v>0</v>
      </c>
    </row>
    <row r="117" spans="1:7" x14ac:dyDescent="0.35">
      <c r="A117" s="603" t="s">
        <v>2133</v>
      </c>
      <c r="B117" s="149"/>
      <c r="C117" s="149">
        <f>G21</f>
        <v>0</v>
      </c>
      <c r="D117" s="535">
        <f t="shared" si="40"/>
        <v>0</v>
      </c>
      <c r="E117" s="535">
        <f t="shared" si="40"/>
        <v>0</v>
      </c>
      <c r="F117" s="535">
        <f t="shared" si="40"/>
        <v>0</v>
      </c>
      <c r="G117" s="535">
        <f t="shared" si="40"/>
        <v>0</v>
      </c>
    </row>
    <row r="118" spans="1:7" x14ac:dyDescent="0.35">
      <c r="A118" s="603" t="s">
        <v>2134</v>
      </c>
      <c r="B118" s="149"/>
      <c r="C118" s="149">
        <f>G21</f>
        <v>0</v>
      </c>
      <c r="D118" s="535">
        <f t="shared" si="40"/>
        <v>0</v>
      </c>
      <c r="E118" s="535">
        <f t="shared" si="40"/>
        <v>0</v>
      </c>
      <c r="F118" s="535">
        <f t="shared" si="40"/>
        <v>0</v>
      </c>
      <c r="G118" s="535">
        <f t="shared" si="40"/>
        <v>0</v>
      </c>
    </row>
    <row r="119" spans="1:7" x14ac:dyDescent="0.35">
      <c r="A119" s="603" t="s">
        <v>2135</v>
      </c>
      <c r="B119" s="149"/>
      <c r="C119" s="149">
        <f>G21</f>
        <v>0</v>
      </c>
      <c r="D119" s="535">
        <f t="shared" si="40"/>
        <v>0</v>
      </c>
      <c r="E119" s="535">
        <f t="shared" si="40"/>
        <v>0</v>
      </c>
      <c r="F119" s="535">
        <f t="shared" si="40"/>
        <v>0</v>
      </c>
      <c r="G119" s="535">
        <f t="shared" si="40"/>
        <v>0</v>
      </c>
    </row>
    <row r="120" spans="1:7" x14ac:dyDescent="0.35">
      <c r="A120" s="603" t="s">
        <v>2136</v>
      </c>
      <c r="B120" s="149"/>
      <c r="C120" s="149">
        <f>H21</f>
        <v>0</v>
      </c>
      <c r="D120" s="535">
        <f t="shared" si="40"/>
        <v>0</v>
      </c>
      <c r="E120" s="535">
        <f t="shared" si="40"/>
        <v>0</v>
      </c>
      <c r="F120" s="535">
        <f t="shared" si="40"/>
        <v>0</v>
      </c>
      <c r="G120" s="535">
        <f t="shared" si="40"/>
        <v>0</v>
      </c>
    </row>
    <row r="121" spans="1:7" x14ac:dyDescent="0.35">
      <c r="A121" s="603" t="s">
        <v>2137</v>
      </c>
      <c r="B121" s="149"/>
      <c r="C121" s="149">
        <f>I21</f>
        <v>0</v>
      </c>
      <c r="D121" s="535">
        <f t="shared" si="40"/>
        <v>0</v>
      </c>
      <c r="E121" s="535">
        <f t="shared" si="40"/>
        <v>0</v>
      </c>
      <c r="F121" s="535">
        <f t="shared" si="40"/>
        <v>0</v>
      </c>
      <c r="G121" s="535">
        <f t="shared" si="40"/>
        <v>0</v>
      </c>
    </row>
    <row r="122" spans="1:7" x14ac:dyDescent="0.35">
      <c r="A122" s="603" t="s">
        <v>2138</v>
      </c>
      <c r="B122" s="149"/>
      <c r="C122" s="149">
        <f>J21</f>
        <v>0</v>
      </c>
      <c r="D122" s="535">
        <f t="shared" si="40"/>
        <v>0</v>
      </c>
      <c r="E122" s="535">
        <f t="shared" si="40"/>
        <v>0</v>
      </c>
      <c r="F122" s="535">
        <f t="shared" si="40"/>
        <v>0</v>
      </c>
      <c r="G122" s="535">
        <f t="shared" si="40"/>
        <v>0</v>
      </c>
    </row>
    <row r="123" spans="1:7" x14ac:dyDescent="0.35">
      <c r="A123" s="593" t="s">
        <v>2029</v>
      </c>
      <c r="B123" s="149"/>
      <c r="C123" s="149"/>
      <c r="D123" s="157">
        <f>SUM(D114:D122)</f>
        <v>0</v>
      </c>
      <c r="E123" s="157">
        <f t="shared" ref="E123:G123" si="41">SUM(E114:E122)</f>
        <v>0</v>
      </c>
      <c r="F123" s="157">
        <f t="shared" si="41"/>
        <v>0</v>
      </c>
      <c r="G123" s="157">
        <f t="shared" si="41"/>
        <v>0</v>
      </c>
    </row>
    <row r="125" spans="1:7" ht="29" x14ac:dyDescent="0.35">
      <c r="A125" s="544" t="s">
        <v>2203</v>
      </c>
      <c r="B125" s="545"/>
      <c r="C125" s="796"/>
      <c r="D125" s="695" t="s">
        <v>2245</v>
      </c>
      <c r="E125" s="198" t="s">
        <v>2242</v>
      </c>
      <c r="F125" s="198" t="s">
        <v>2243</v>
      </c>
      <c r="G125" s="199" t="s">
        <v>2244</v>
      </c>
    </row>
    <row r="126" spans="1:7" x14ac:dyDescent="0.35">
      <c r="A126" s="603" t="s">
        <v>2130</v>
      </c>
      <c r="B126" s="146"/>
      <c r="C126" s="146">
        <f>D22</f>
        <v>0</v>
      </c>
      <c r="D126" s="535">
        <f t="shared" ref="D126:G134" si="42">D27*$C126</f>
        <v>0</v>
      </c>
      <c r="E126" s="535">
        <f t="shared" si="42"/>
        <v>0</v>
      </c>
      <c r="F126" s="535">
        <f t="shared" si="42"/>
        <v>0</v>
      </c>
      <c r="G126" s="535">
        <f t="shared" si="42"/>
        <v>0</v>
      </c>
    </row>
    <row r="127" spans="1:7" x14ac:dyDescent="0.35">
      <c r="A127" s="603" t="s">
        <v>2131</v>
      </c>
      <c r="B127" s="149"/>
      <c r="C127" s="149">
        <f>E22</f>
        <v>0</v>
      </c>
      <c r="D127" s="535">
        <f t="shared" si="42"/>
        <v>0</v>
      </c>
      <c r="E127" s="535">
        <f t="shared" si="42"/>
        <v>0</v>
      </c>
      <c r="F127" s="535">
        <f t="shared" si="42"/>
        <v>0</v>
      </c>
      <c r="G127" s="535">
        <f t="shared" si="42"/>
        <v>0</v>
      </c>
    </row>
    <row r="128" spans="1:7" x14ac:dyDescent="0.35">
      <c r="A128" s="603" t="s">
        <v>2132</v>
      </c>
      <c r="B128" s="149"/>
      <c r="C128" s="149">
        <f>F22</f>
        <v>0</v>
      </c>
      <c r="D128" s="535">
        <f t="shared" si="42"/>
        <v>0</v>
      </c>
      <c r="E128" s="535">
        <f t="shared" si="42"/>
        <v>0</v>
      </c>
      <c r="F128" s="535">
        <f t="shared" si="42"/>
        <v>0</v>
      </c>
      <c r="G128" s="535">
        <f t="shared" si="42"/>
        <v>0</v>
      </c>
    </row>
    <row r="129" spans="1:7" x14ac:dyDescent="0.35">
      <c r="A129" s="603" t="s">
        <v>2133</v>
      </c>
      <c r="B129" s="149"/>
      <c r="C129" s="149">
        <f>G22</f>
        <v>0</v>
      </c>
      <c r="D129" s="535">
        <f t="shared" si="42"/>
        <v>0</v>
      </c>
      <c r="E129" s="535">
        <f t="shared" si="42"/>
        <v>0</v>
      </c>
      <c r="F129" s="535">
        <f t="shared" si="42"/>
        <v>0</v>
      </c>
      <c r="G129" s="535">
        <f t="shared" si="42"/>
        <v>0</v>
      </c>
    </row>
    <row r="130" spans="1:7" x14ac:dyDescent="0.35">
      <c r="A130" s="603" t="s">
        <v>2134</v>
      </c>
      <c r="B130" s="149"/>
      <c r="C130" s="149">
        <f>G22</f>
        <v>0</v>
      </c>
      <c r="D130" s="535">
        <f t="shared" si="42"/>
        <v>0</v>
      </c>
      <c r="E130" s="535">
        <f t="shared" si="42"/>
        <v>0</v>
      </c>
      <c r="F130" s="535">
        <f t="shared" si="42"/>
        <v>0</v>
      </c>
      <c r="G130" s="535">
        <f t="shared" si="42"/>
        <v>0</v>
      </c>
    </row>
    <row r="131" spans="1:7" x14ac:dyDescent="0.35">
      <c r="A131" s="603" t="s">
        <v>2135</v>
      </c>
      <c r="B131" s="149"/>
      <c r="C131" s="149">
        <f>G22</f>
        <v>0</v>
      </c>
      <c r="D131" s="535">
        <f t="shared" si="42"/>
        <v>0</v>
      </c>
      <c r="E131" s="535">
        <f t="shared" si="42"/>
        <v>0</v>
      </c>
      <c r="F131" s="535">
        <f t="shared" si="42"/>
        <v>0</v>
      </c>
      <c r="G131" s="535">
        <f t="shared" si="42"/>
        <v>0</v>
      </c>
    </row>
    <row r="132" spans="1:7" x14ac:dyDescent="0.35">
      <c r="A132" s="603" t="s">
        <v>2136</v>
      </c>
      <c r="B132" s="149"/>
      <c r="C132" s="149">
        <f>H22</f>
        <v>0</v>
      </c>
      <c r="D132" s="535">
        <f t="shared" si="42"/>
        <v>0</v>
      </c>
      <c r="E132" s="535">
        <f t="shared" si="42"/>
        <v>0</v>
      </c>
      <c r="F132" s="535">
        <f t="shared" si="42"/>
        <v>0</v>
      </c>
      <c r="G132" s="535">
        <f t="shared" si="42"/>
        <v>0</v>
      </c>
    </row>
    <row r="133" spans="1:7" x14ac:dyDescent="0.35">
      <c r="A133" s="603" t="s">
        <v>2137</v>
      </c>
      <c r="B133" s="149"/>
      <c r="C133" s="149">
        <f>I22</f>
        <v>0</v>
      </c>
      <c r="D133" s="535">
        <f t="shared" si="42"/>
        <v>0</v>
      </c>
      <c r="E133" s="535">
        <f t="shared" si="42"/>
        <v>0</v>
      </c>
      <c r="F133" s="535">
        <f t="shared" si="42"/>
        <v>0</v>
      </c>
      <c r="G133" s="535">
        <f t="shared" si="42"/>
        <v>0</v>
      </c>
    </row>
    <row r="134" spans="1:7" x14ac:dyDescent="0.35">
      <c r="A134" s="603" t="s">
        <v>2138</v>
      </c>
      <c r="B134" s="149"/>
      <c r="C134" s="149">
        <f>J22</f>
        <v>0</v>
      </c>
      <c r="D134" s="535">
        <f t="shared" si="42"/>
        <v>0</v>
      </c>
      <c r="E134" s="535">
        <f t="shared" si="42"/>
        <v>0</v>
      </c>
      <c r="F134" s="535">
        <f t="shared" si="42"/>
        <v>0</v>
      </c>
      <c r="G134" s="535">
        <f t="shared" si="42"/>
        <v>0</v>
      </c>
    </row>
    <row r="135" spans="1:7" x14ac:dyDescent="0.35">
      <c r="A135" s="593" t="s">
        <v>2222</v>
      </c>
      <c r="B135" s="149"/>
      <c r="C135" s="149"/>
      <c r="D135" s="157">
        <f>SUM(D126:D134)</f>
        <v>0</v>
      </c>
      <c r="E135" s="157">
        <f t="shared" ref="E135:G135" si="43">SUM(E126:E134)</f>
        <v>0</v>
      </c>
      <c r="F135" s="157">
        <f t="shared" si="43"/>
        <v>0</v>
      </c>
      <c r="G135" s="157">
        <f t="shared" si="43"/>
        <v>0</v>
      </c>
    </row>
    <row r="137" spans="1:7" ht="29" x14ac:dyDescent="0.35">
      <c r="A137" s="544" t="s">
        <v>2225</v>
      </c>
      <c r="B137" s="545"/>
      <c r="C137" s="796"/>
      <c r="D137" s="695" t="s">
        <v>2245</v>
      </c>
      <c r="E137" s="198" t="s">
        <v>2242</v>
      </c>
      <c r="F137" s="198" t="s">
        <v>2243</v>
      </c>
      <c r="G137" s="199" t="s">
        <v>2244</v>
      </c>
    </row>
    <row r="138" spans="1:7" x14ac:dyDescent="0.35">
      <c r="A138" s="603" t="s">
        <v>2130</v>
      </c>
      <c r="B138" s="146"/>
      <c r="C138" s="146">
        <f>D23</f>
        <v>0</v>
      </c>
      <c r="D138" s="535">
        <f t="shared" ref="D138:G146" si="44">D27*$C138</f>
        <v>0</v>
      </c>
      <c r="E138" s="535">
        <f t="shared" si="44"/>
        <v>0</v>
      </c>
      <c r="F138" s="535">
        <f t="shared" si="44"/>
        <v>0</v>
      </c>
      <c r="G138" s="535">
        <f t="shared" si="44"/>
        <v>0</v>
      </c>
    </row>
    <row r="139" spans="1:7" x14ac:dyDescent="0.35">
      <c r="A139" s="603" t="s">
        <v>2131</v>
      </c>
      <c r="B139" s="149"/>
      <c r="C139" s="149">
        <f>E23</f>
        <v>0</v>
      </c>
      <c r="D139" s="535">
        <f t="shared" si="44"/>
        <v>0</v>
      </c>
      <c r="E139" s="535">
        <f t="shared" si="44"/>
        <v>0</v>
      </c>
      <c r="F139" s="535">
        <f t="shared" si="44"/>
        <v>0</v>
      </c>
      <c r="G139" s="535">
        <f t="shared" si="44"/>
        <v>0</v>
      </c>
    </row>
    <row r="140" spans="1:7" x14ac:dyDescent="0.35">
      <c r="A140" s="603" t="s">
        <v>2132</v>
      </c>
      <c r="B140" s="149"/>
      <c r="C140" s="149">
        <f>F23</f>
        <v>0</v>
      </c>
      <c r="D140" s="535">
        <f t="shared" si="44"/>
        <v>0</v>
      </c>
      <c r="E140" s="535">
        <f t="shared" si="44"/>
        <v>0</v>
      </c>
      <c r="F140" s="535">
        <f t="shared" si="44"/>
        <v>0</v>
      </c>
      <c r="G140" s="535">
        <f t="shared" si="44"/>
        <v>0</v>
      </c>
    </row>
    <row r="141" spans="1:7" x14ac:dyDescent="0.35">
      <c r="A141" s="603" t="s">
        <v>2133</v>
      </c>
      <c r="B141" s="149"/>
      <c r="C141" s="149">
        <f>G23</f>
        <v>0</v>
      </c>
      <c r="D141" s="535">
        <f t="shared" si="44"/>
        <v>0</v>
      </c>
      <c r="E141" s="535">
        <f t="shared" si="44"/>
        <v>0</v>
      </c>
      <c r="F141" s="535">
        <f t="shared" si="44"/>
        <v>0</v>
      </c>
      <c r="G141" s="535">
        <f t="shared" si="44"/>
        <v>0</v>
      </c>
    </row>
    <row r="142" spans="1:7" x14ac:dyDescent="0.35">
      <c r="A142" s="603" t="s">
        <v>2134</v>
      </c>
      <c r="B142" s="149"/>
      <c r="C142" s="149">
        <f>G23</f>
        <v>0</v>
      </c>
      <c r="D142" s="535">
        <f t="shared" si="44"/>
        <v>0</v>
      </c>
      <c r="E142" s="535">
        <f t="shared" si="44"/>
        <v>0</v>
      </c>
      <c r="F142" s="535">
        <f t="shared" si="44"/>
        <v>0</v>
      </c>
      <c r="G142" s="535">
        <f t="shared" si="44"/>
        <v>0</v>
      </c>
    </row>
    <row r="143" spans="1:7" x14ac:dyDescent="0.35">
      <c r="A143" s="603" t="s">
        <v>2135</v>
      </c>
      <c r="B143" s="149"/>
      <c r="C143" s="149">
        <f>G23</f>
        <v>0</v>
      </c>
      <c r="D143" s="535">
        <f t="shared" si="44"/>
        <v>0</v>
      </c>
      <c r="E143" s="535">
        <f t="shared" si="44"/>
        <v>0</v>
      </c>
      <c r="F143" s="535">
        <f t="shared" si="44"/>
        <v>0</v>
      </c>
      <c r="G143" s="535">
        <f t="shared" si="44"/>
        <v>0</v>
      </c>
    </row>
    <row r="144" spans="1:7" x14ac:dyDescent="0.35">
      <c r="A144" s="603" t="s">
        <v>2136</v>
      </c>
      <c r="B144" s="149"/>
      <c r="C144" s="149">
        <f>H23</f>
        <v>0</v>
      </c>
      <c r="D144" s="535">
        <f t="shared" si="44"/>
        <v>0</v>
      </c>
      <c r="E144" s="535">
        <f t="shared" si="44"/>
        <v>0</v>
      </c>
      <c r="F144" s="535">
        <f t="shared" si="44"/>
        <v>0</v>
      </c>
      <c r="G144" s="535">
        <f t="shared" si="44"/>
        <v>0</v>
      </c>
    </row>
    <row r="145" spans="1:7" x14ac:dyDescent="0.35">
      <c r="A145" s="603" t="s">
        <v>2137</v>
      </c>
      <c r="B145" s="149"/>
      <c r="C145" s="149">
        <f>I23</f>
        <v>0</v>
      </c>
      <c r="D145" s="535">
        <f t="shared" si="44"/>
        <v>0</v>
      </c>
      <c r="E145" s="535">
        <f t="shared" si="44"/>
        <v>0</v>
      </c>
      <c r="F145" s="535">
        <f t="shared" si="44"/>
        <v>0</v>
      </c>
      <c r="G145" s="535">
        <f t="shared" si="44"/>
        <v>0</v>
      </c>
    </row>
    <row r="146" spans="1:7" x14ac:dyDescent="0.35">
      <c r="A146" s="603" t="s">
        <v>2138</v>
      </c>
      <c r="B146" s="149"/>
      <c r="C146" s="149">
        <f>J23</f>
        <v>0</v>
      </c>
      <c r="D146" s="535">
        <f t="shared" si="44"/>
        <v>0</v>
      </c>
      <c r="E146" s="535">
        <f t="shared" si="44"/>
        <v>0</v>
      </c>
      <c r="F146" s="535">
        <f t="shared" si="44"/>
        <v>0</v>
      </c>
      <c r="G146" s="535">
        <f t="shared" si="44"/>
        <v>0</v>
      </c>
    </row>
    <row r="147" spans="1:7" x14ac:dyDescent="0.35">
      <c r="A147" s="593" t="s">
        <v>2030</v>
      </c>
      <c r="B147" s="149"/>
      <c r="C147" s="149"/>
      <c r="D147" s="157">
        <f>SUM(D138:D146)</f>
        <v>0</v>
      </c>
      <c r="E147" s="157">
        <f t="shared" ref="E147:G147" si="45">SUM(E138:E146)</f>
        <v>0</v>
      </c>
      <c r="F147" s="157">
        <f t="shared" si="45"/>
        <v>0</v>
      </c>
      <c r="G147" s="157">
        <f t="shared" si="45"/>
        <v>0</v>
      </c>
    </row>
  </sheetData>
  <sheetProtection algorithmName="SHA-512" hashValue="gA/RtqRky+vdCLGTP0i2caaQpfMuiYHq5V7Ceaehp7NAIbeKEbZz7mLJtBCgObBMQIy88aam3OY/3CyA6WaD6w==" saltValue="HhR9P4/AASoFUKKGGbrPyA==" spinCount="100000" sheet="1" objects="1" scenarios="1"/>
  <protectedRanges>
    <protectedRange sqref="H24:H26 D12:J23" name="Range1"/>
    <protectedRange sqref="A99 A123 A147 A111 A60 A63:A64 A48 A36 A135 A87 A81 A75 A69" name="Range1_1_1"/>
  </protectedRanges>
  <mergeCells count="3">
    <mergeCell ref="A28:B28"/>
    <mergeCell ref="A9:I9"/>
    <mergeCell ref="A8:I8"/>
  </mergeCells>
  <pageMargins left="0.7" right="0.7" top="0.75" bottom="0.75" header="0.3" footer="0.3"/>
  <pageSetup paperSize="9" scale="38" fitToHeight="0" orientation="portrait" r:id="rId1"/>
  <ignoredErrors>
    <ignoredError sqref="H1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77"/>
  <sheetViews>
    <sheetView showGridLines="0" zoomScale="80" zoomScaleNormal="80" workbookViewId="0"/>
  </sheetViews>
  <sheetFormatPr defaultRowHeight="14.5" x14ac:dyDescent="0.35"/>
  <cols>
    <col min="1" max="1" width="37.36328125" customWidth="1"/>
    <col min="2" max="11" width="15.7265625" customWidth="1"/>
    <col min="12" max="12" width="5.26953125" customWidth="1"/>
  </cols>
  <sheetData>
    <row r="1" spans="1:11" ht="30" customHeight="1" x14ac:dyDescent="0.35">
      <c r="A1" s="582" t="str">
        <f>'Population and treatments'!A1</f>
        <v>Treatments for untreated EGFR mutation-positive advanced non-small-cell lung cancer</v>
      </c>
    </row>
    <row r="2" spans="1:11" ht="30" customHeight="1" x14ac:dyDescent="0.35">
      <c r="A2" s="581" t="s">
        <v>1883</v>
      </c>
      <c r="B2" s="138"/>
      <c r="C2" s="151"/>
      <c r="D2" s="151"/>
      <c r="E2" s="151"/>
      <c r="F2" s="138"/>
      <c r="G2" s="138"/>
      <c r="H2" s="138"/>
      <c r="I2" s="138"/>
      <c r="J2" s="138"/>
      <c r="K2" s="138"/>
    </row>
    <row r="3" spans="1:11" x14ac:dyDescent="0.35">
      <c r="A3" s="467"/>
      <c r="B3" s="458"/>
      <c r="C3" s="458"/>
      <c r="D3" s="458"/>
      <c r="E3" s="459"/>
      <c r="F3" s="459"/>
      <c r="G3" s="459"/>
      <c r="H3" s="459"/>
      <c r="I3" s="459"/>
      <c r="J3" s="459"/>
    </row>
    <row r="4" spans="1:11" x14ac:dyDescent="0.35">
      <c r="A4" s="760" t="s">
        <v>2246</v>
      </c>
      <c r="B4" s="470"/>
      <c r="C4" s="470"/>
      <c r="D4" s="470"/>
      <c r="E4" s="470"/>
      <c r="F4" s="470"/>
      <c r="G4" s="470"/>
      <c r="H4" s="470"/>
      <c r="I4" s="470"/>
      <c r="J4" s="470"/>
      <c r="K4" s="761"/>
    </row>
    <row r="5" spans="1:11" x14ac:dyDescent="0.35">
      <c r="A5" s="888" t="s">
        <v>2247</v>
      </c>
      <c r="B5" s="172"/>
      <c r="C5" s="172"/>
      <c r="D5" s="172"/>
      <c r="E5" s="172"/>
      <c r="F5" s="172"/>
      <c r="G5" s="172"/>
      <c r="H5" s="172"/>
      <c r="I5" s="172"/>
      <c r="J5" s="172"/>
      <c r="K5" s="178"/>
    </row>
    <row r="6" spans="1:11" x14ac:dyDescent="0.35">
      <c r="A6" s="888" t="s">
        <v>2248</v>
      </c>
      <c r="B6" s="172"/>
      <c r="C6" s="172"/>
      <c r="D6" s="172"/>
      <c r="E6" s="172"/>
      <c r="F6" s="172"/>
      <c r="G6" s="172"/>
      <c r="H6" s="172"/>
      <c r="I6" s="172"/>
      <c r="J6" s="172"/>
      <c r="K6" s="178"/>
    </row>
    <row r="7" spans="1:11" x14ac:dyDescent="0.35">
      <c r="A7" s="625" t="s">
        <v>2282</v>
      </c>
      <c r="B7" s="174"/>
      <c r="C7" s="174"/>
      <c r="D7" s="174"/>
      <c r="E7" s="174"/>
      <c r="F7" s="174"/>
      <c r="G7" s="174"/>
      <c r="H7" s="174"/>
      <c r="I7" s="174"/>
      <c r="J7" s="174"/>
      <c r="K7" s="176"/>
    </row>
    <row r="8" spans="1:11" x14ac:dyDescent="0.35">
      <c r="A8" s="187"/>
      <c r="B8" s="466"/>
      <c r="C8" s="466"/>
      <c r="D8" s="466"/>
    </row>
    <row r="9" spans="1:11" x14ac:dyDescent="0.35">
      <c r="B9" s="747"/>
      <c r="C9" s="748" t="s">
        <v>1884</v>
      </c>
      <c r="D9" s="611"/>
    </row>
    <row r="10" spans="1:11" ht="30.65" customHeight="1" x14ac:dyDescent="0.35">
      <c r="A10" s="189" t="s">
        <v>1885</v>
      </c>
      <c r="B10" s="189" t="str">
        <f>'Unit costs'!A17</f>
        <v xml:space="preserve">amivantamab plus lazertinib </v>
      </c>
      <c r="C10" s="189" t="str">
        <f>'Unit costs'!A18</f>
        <v>osimertinib alone</v>
      </c>
      <c r="D10" s="189" t="str">
        <f>'Unit costs'!A19</f>
        <v xml:space="preserve">osimertinib plus chemotherapy </v>
      </c>
      <c r="E10" s="189" t="s">
        <v>1886</v>
      </c>
    </row>
    <row r="11" spans="1:11" ht="15.5" x14ac:dyDescent="0.35">
      <c r="A11" s="746" t="s">
        <v>2151</v>
      </c>
      <c r="B11" s="889">
        <v>0.09</v>
      </c>
      <c r="C11" s="889">
        <v>0</v>
      </c>
      <c r="D11" s="889">
        <v>0.01</v>
      </c>
      <c r="E11" s="912">
        <v>483.99</v>
      </c>
      <c r="F11" s="742"/>
    </row>
    <row r="12" spans="1:11" x14ac:dyDescent="0.35">
      <c r="A12" s="746" t="s">
        <v>1887</v>
      </c>
      <c r="B12" s="889">
        <v>7.0000000000000007E-2</v>
      </c>
      <c r="C12" s="889">
        <v>0.02</v>
      </c>
      <c r="D12" s="889">
        <v>0.01</v>
      </c>
      <c r="E12" s="912">
        <v>686.39</v>
      </c>
    </row>
    <row r="13" spans="1:11" x14ac:dyDescent="0.35">
      <c r="A13" s="746" t="s">
        <v>2152</v>
      </c>
      <c r="B13" s="889">
        <v>0.06</v>
      </c>
      <c r="C13" s="889">
        <v>0</v>
      </c>
      <c r="D13" s="889">
        <v>0</v>
      </c>
      <c r="E13" s="912">
        <v>686.39</v>
      </c>
    </row>
    <row r="14" spans="1:11" x14ac:dyDescent="0.35">
      <c r="A14" s="746" t="s">
        <v>2153</v>
      </c>
      <c r="B14" s="889">
        <v>0.12</v>
      </c>
      <c r="C14" s="889">
        <v>0.01</v>
      </c>
      <c r="D14" s="889">
        <v>0.01</v>
      </c>
      <c r="E14" s="912">
        <v>483.99</v>
      </c>
    </row>
    <row r="15" spans="1:11" x14ac:dyDescent="0.35">
      <c r="A15" s="746" t="s">
        <v>2154</v>
      </c>
      <c r="B15" s="889">
        <v>0.01</v>
      </c>
      <c r="C15" s="889">
        <v>0</v>
      </c>
      <c r="D15" s="889">
        <v>0</v>
      </c>
      <c r="E15" s="912">
        <v>443.83</v>
      </c>
    </row>
    <row r="16" spans="1:11" ht="15.5" x14ac:dyDescent="0.35">
      <c r="A16" s="746" t="s">
        <v>2155</v>
      </c>
      <c r="B16" s="889">
        <v>0.17</v>
      </c>
      <c r="C16" s="889">
        <v>0.01</v>
      </c>
      <c r="D16" s="889">
        <v>0</v>
      </c>
      <c r="E16" s="912">
        <v>483.99</v>
      </c>
      <c r="F16" s="742"/>
    </row>
    <row r="17" spans="1:11" x14ac:dyDescent="0.35">
      <c r="A17" s="746" t="s">
        <v>2156</v>
      </c>
      <c r="B17" s="889">
        <v>0.09</v>
      </c>
      <c r="C17" s="889">
        <v>0.03</v>
      </c>
      <c r="D17" s="889">
        <v>0.02</v>
      </c>
      <c r="E17" s="912">
        <v>625.13</v>
      </c>
    </row>
    <row r="18" spans="1:11" x14ac:dyDescent="0.35">
      <c r="A18" s="746" t="s">
        <v>2157</v>
      </c>
      <c r="B18" s="889">
        <v>0.28000000000000003</v>
      </c>
      <c r="C18" s="889">
        <v>7.0000000000000007E-2</v>
      </c>
      <c r="D18" s="889">
        <v>0</v>
      </c>
      <c r="E18" s="912">
        <v>2.13</v>
      </c>
    </row>
    <row r="19" spans="1:11" x14ac:dyDescent="0.35">
      <c r="A19" s="746" t="s">
        <v>2158</v>
      </c>
      <c r="B19" s="889">
        <v>0.05</v>
      </c>
      <c r="C19" s="889">
        <v>0.05</v>
      </c>
      <c r="D19" s="889">
        <v>0.02</v>
      </c>
      <c r="E19" s="912">
        <v>489.29</v>
      </c>
    </row>
    <row r="20" spans="1:11" x14ac:dyDescent="0.35">
      <c r="B20" s="466"/>
      <c r="C20" s="466"/>
      <c r="D20" s="466"/>
    </row>
    <row r="21" spans="1:11" x14ac:dyDescent="0.35">
      <c r="A21" s="187" t="s">
        <v>2159</v>
      </c>
      <c r="B21" s="466"/>
      <c r="C21" s="466"/>
      <c r="D21" s="466"/>
    </row>
    <row r="22" spans="1:11" x14ac:dyDescent="0.35">
      <c r="B22" s="466"/>
      <c r="C22" s="466"/>
      <c r="D22" s="466"/>
    </row>
    <row r="23" spans="1:11" ht="29" x14ac:dyDescent="0.35">
      <c r="A23" s="189" t="s">
        <v>2019</v>
      </c>
      <c r="B23" s="695" t="s">
        <v>2241</v>
      </c>
      <c r="C23" s="886" t="s">
        <v>1852</v>
      </c>
      <c r="D23" s="886" t="s">
        <v>1853</v>
      </c>
      <c r="E23" s="887" t="s">
        <v>1914</v>
      </c>
    </row>
    <row r="24" spans="1:11" x14ac:dyDescent="0.35">
      <c r="A24" s="189" t="str">
        <f>B10</f>
        <v xml:space="preserve">amivantamab plus lazertinib </v>
      </c>
      <c r="B24" s="535">
        <f>SUM('Population and treatments'!$I$58:$I$60)</f>
        <v>0</v>
      </c>
      <c r="C24" s="535">
        <f>SUM('Population and treatments'!$J$58:$J$60)</f>
        <v>168.19465774205736</v>
      </c>
      <c r="D24" s="535">
        <f>SUM('Population and treatments'!$K$58:$K$60)</f>
        <v>392.45420139813388</v>
      </c>
      <c r="E24" s="535">
        <f>SUM('Population and treatments'!$L$58:$L$60)</f>
        <v>672.77863096822944</v>
      </c>
    </row>
    <row r="25" spans="1:11" x14ac:dyDescent="0.35">
      <c r="A25" s="189" t="str">
        <f>C10</f>
        <v>osimertinib alone</v>
      </c>
      <c r="B25" s="535">
        <f>SUM('Population and treatments'!$I$61:$I$63)</f>
        <v>2220.1694821951569</v>
      </c>
      <c r="C25" s="535">
        <f>SUM('Population and treatments'!$J$61:$J$63)</f>
        <v>1995.9099385390805</v>
      </c>
      <c r="D25" s="535">
        <f>SUM('Population and treatments'!$K$61:$K$63)</f>
        <v>1659.5206230549661</v>
      </c>
      <c r="E25" s="535">
        <f>SUM('Population and treatments'!$L$61:$L$63)</f>
        <v>1211.0015357428133</v>
      </c>
    </row>
    <row r="26" spans="1:11" x14ac:dyDescent="0.35">
      <c r="A26" s="189" t="str">
        <f>D10</f>
        <v xml:space="preserve">osimertinib plus chemotherapy </v>
      </c>
      <c r="B26" s="535">
        <f>SUM('Population and treatments'!$I$64:$I$66)</f>
        <v>1143.7236726459903</v>
      </c>
      <c r="C26" s="535">
        <f>SUM('Population and treatments'!$J$64:$J$66)</f>
        <v>1199.7885585600093</v>
      </c>
      <c r="D26" s="535">
        <f>SUM('Population and treatments'!$K$64:$K$66)</f>
        <v>1311.9183303880475</v>
      </c>
      <c r="E26" s="535">
        <f>SUM('Population and treatments'!$L$64:$L$66)</f>
        <v>1480.1129881301049</v>
      </c>
    </row>
    <row r="27" spans="1:11" x14ac:dyDescent="0.35">
      <c r="B27" s="466"/>
      <c r="C27" s="466"/>
      <c r="D27" s="466"/>
    </row>
    <row r="28" spans="1:11" x14ac:dyDescent="0.35">
      <c r="B28" s="466"/>
      <c r="C28" s="466"/>
      <c r="D28" s="466"/>
    </row>
    <row r="29" spans="1:11" x14ac:dyDescent="0.35">
      <c r="B29" s="468" t="s">
        <v>2018</v>
      </c>
      <c r="C29" s="469"/>
      <c r="D29" s="469"/>
      <c r="E29" s="319"/>
      <c r="G29" s="468" t="s">
        <v>2094</v>
      </c>
      <c r="H29" s="469"/>
      <c r="I29" s="469"/>
      <c r="J29" s="469"/>
      <c r="K29" s="319"/>
    </row>
    <row r="30" spans="1:11" ht="48" customHeight="1" x14ac:dyDescent="0.35">
      <c r="A30" s="702" t="s">
        <v>2093</v>
      </c>
      <c r="B30" s="695" t="s">
        <v>2241</v>
      </c>
      <c r="C30" s="198" t="s">
        <v>2242</v>
      </c>
      <c r="D30" s="198" t="s">
        <v>2243</v>
      </c>
      <c r="E30" s="199" t="s">
        <v>2244</v>
      </c>
      <c r="G30" s="189" t="s">
        <v>1992</v>
      </c>
      <c r="H30" s="695" t="s">
        <v>2245</v>
      </c>
      <c r="I30" s="198" t="s">
        <v>2242</v>
      </c>
      <c r="J30" s="198" t="s">
        <v>2243</v>
      </c>
      <c r="K30" s="199" t="s">
        <v>2244</v>
      </c>
    </row>
    <row r="31" spans="1:11" x14ac:dyDescent="0.35">
      <c r="A31" s="318" t="s">
        <v>2151</v>
      </c>
      <c r="B31" s="804">
        <f t="shared" ref="B31:E34" si="0">B44+B56+B68</f>
        <v>11.437236726459902</v>
      </c>
      <c r="C31" s="535">
        <f t="shared" si="0"/>
        <v>27.135404782385255</v>
      </c>
      <c r="D31" s="535">
        <f t="shared" si="0"/>
        <v>48.440061429712522</v>
      </c>
      <c r="E31" s="535">
        <f t="shared" si="0"/>
        <v>75.351206668441691</v>
      </c>
      <c r="G31" s="205">
        <f t="shared" ref="G31:G39" si="1">E11</f>
        <v>483.99</v>
      </c>
      <c r="H31" s="205">
        <f t="shared" ref="H31:K35" si="2">H44+H56+H68</f>
        <v>5.5355082032393286</v>
      </c>
      <c r="I31" s="205">
        <f t="shared" si="2"/>
        <v>13.133264560626639</v>
      </c>
      <c r="J31" s="205">
        <f t="shared" si="2"/>
        <v>23.444505331366564</v>
      </c>
      <c r="K31" s="205">
        <f t="shared" si="2"/>
        <v>36.469230515459095</v>
      </c>
    </row>
    <row r="32" spans="1:11" x14ac:dyDescent="0.35">
      <c r="A32" s="318" t="s">
        <v>1887</v>
      </c>
      <c r="B32" s="535">
        <f t="shared" si="0"/>
        <v>55.84062637036304</v>
      </c>
      <c r="C32" s="535">
        <f t="shared" si="0"/>
        <v>63.689710398325722</v>
      </c>
      <c r="D32" s="535">
        <f t="shared" si="0"/>
        <v>73.781389862849167</v>
      </c>
      <c r="E32" s="535">
        <f t="shared" si="0"/>
        <v>86.115664763933381</v>
      </c>
      <c r="G32" s="205">
        <f t="shared" si="1"/>
        <v>686.39</v>
      </c>
      <c r="H32" s="205">
        <f t="shared" si="2"/>
        <v>38.328447534353487</v>
      </c>
      <c r="I32" s="205">
        <f t="shared" si="2"/>
        <v>43.715980320306784</v>
      </c>
      <c r="J32" s="205">
        <f t="shared" si="2"/>
        <v>50.642808187961037</v>
      </c>
      <c r="K32" s="205">
        <f t="shared" si="2"/>
        <v>59.108931137316233</v>
      </c>
    </row>
    <row r="33" spans="1:11" x14ac:dyDescent="0.35">
      <c r="A33" s="318" t="s">
        <v>2152</v>
      </c>
      <c r="B33" s="535">
        <f t="shared" si="0"/>
        <v>0</v>
      </c>
      <c r="C33" s="535">
        <f t="shared" si="0"/>
        <v>10.091679464523441</v>
      </c>
      <c r="D33" s="535">
        <f t="shared" si="0"/>
        <v>23.547252083888033</v>
      </c>
      <c r="E33" s="535">
        <f t="shared" si="0"/>
        <v>40.366717858093764</v>
      </c>
      <c r="G33" s="205">
        <f t="shared" si="1"/>
        <v>686.39</v>
      </c>
      <c r="H33" s="205">
        <f t="shared" si="2"/>
        <v>0</v>
      </c>
      <c r="I33" s="205">
        <f t="shared" si="2"/>
        <v>6.9268278676542447</v>
      </c>
      <c r="J33" s="205">
        <f t="shared" si="2"/>
        <v>16.162598357859906</v>
      </c>
      <c r="K33" s="205">
        <f t="shared" si="2"/>
        <v>27.707311470616979</v>
      </c>
    </row>
    <row r="34" spans="1:11" x14ac:dyDescent="0.35">
      <c r="A34" s="318" t="s">
        <v>2153</v>
      </c>
      <c r="B34" s="535">
        <f t="shared" si="0"/>
        <v>33.63893154841147</v>
      </c>
      <c r="C34" s="535">
        <f t="shared" si="0"/>
        <v>52.140343900037784</v>
      </c>
      <c r="D34" s="535">
        <f t="shared" si="0"/>
        <v>76.808893702206205</v>
      </c>
      <c r="E34" s="535">
        <f t="shared" si="0"/>
        <v>107.64458095491672</v>
      </c>
      <c r="G34" s="205">
        <f t="shared" si="1"/>
        <v>483.99</v>
      </c>
      <c r="H34" s="205">
        <f t="shared" si="2"/>
        <v>16.280906480115668</v>
      </c>
      <c r="I34" s="205">
        <f t="shared" si="2"/>
        <v>25.235405044179281</v>
      </c>
      <c r="J34" s="205">
        <f t="shared" si="2"/>
        <v>37.174736462930781</v>
      </c>
      <c r="K34" s="205">
        <f t="shared" si="2"/>
        <v>52.09890073637014</v>
      </c>
    </row>
    <row r="35" spans="1:11" x14ac:dyDescent="0.35">
      <c r="A35" s="318" t="s">
        <v>2154</v>
      </c>
      <c r="B35" s="535">
        <f t="shared" ref="B35:E35" si="3">B48+B60+B72</f>
        <v>0</v>
      </c>
      <c r="C35" s="535">
        <f t="shared" si="3"/>
        <v>1.6819465774205735</v>
      </c>
      <c r="D35" s="535">
        <f t="shared" si="3"/>
        <v>3.924542013981339</v>
      </c>
      <c r="E35" s="535">
        <f t="shared" si="3"/>
        <v>6.7277863096822941</v>
      </c>
      <c r="G35" s="205">
        <f t="shared" si="1"/>
        <v>443.83</v>
      </c>
      <c r="H35" s="205">
        <f t="shared" si="2"/>
        <v>0</v>
      </c>
      <c r="I35" s="205">
        <f t="shared" si="2"/>
        <v>0.74649834945657312</v>
      </c>
      <c r="J35" s="205">
        <f t="shared" si="2"/>
        <v>1.7418294820653375</v>
      </c>
      <c r="K35" s="205">
        <f t="shared" si="2"/>
        <v>2.9859933978262925</v>
      </c>
    </row>
    <row r="36" spans="1:11" x14ac:dyDescent="0.35">
      <c r="A36" s="318" t="s">
        <v>2155</v>
      </c>
      <c r="B36" s="535">
        <f t="shared" ref="B36:E36" si="4">B49+B61+B73</f>
        <v>22.20169482195157</v>
      </c>
      <c r="C36" s="535">
        <f t="shared" si="4"/>
        <v>48.552191201540552</v>
      </c>
      <c r="D36" s="535">
        <f t="shared" si="4"/>
        <v>83.312420468232432</v>
      </c>
      <c r="E36" s="535">
        <f t="shared" si="4"/>
        <v>126.48238262202715</v>
      </c>
      <c r="G36" s="205">
        <f t="shared" si="1"/>
        <v>483.99</v>
      </c>
      <c r="H36" s="205">
        <f t="shared" ref="H36:K38" si="5">H49+H62+H73</f>
        <v>41.636836452139754</v>
      </c>
      <c r="I36" s="205">
        <f t="shared" si="5"/>
        <v>51.269865904466371</v>
      </c>
      <c r="J36" s="205">
        <f t="shared" si="5"/>
        <v>63.412948331606607</v>
      </c>
      <c r="K36" s="205">
        <f t="shared" si="5"/>
        <v>78.066083733560419</v>
      </c>
    </row>
    <row r="37" spans="1:11" x14ac:dyDescent="0.35">
      <c r="A37" s="318" t="s">
        <v>2156</v>
      </c>
      <c r="B37" s="535">
        <f t="shared" ref="B37:E37" si="6">B50+B62+B74</f>
        <v>89.479557918774503</v>
      </c>
      <c r="C37" s="535">
        <f t="shared" si="6"/>
        <v>99.010588524157768</v>
      </c>
      <c r="D37" s="535">
        <f t="shared" si="6"/>
        <v>111.34486342524198</v>
      </c>
      <c r="E37" s="535">
        <f t="shared" si="6"/>
        <v>126.48238262202715</v>
      </c>
      <c r="G37" s="205">
        <f t="shared" si="1"/>
        <v>625.13</v>
      </c>
      <c r="H37" s="205">
        <f t="shared" si="5"/>
        <v>14.630546859419056</v>
      </c>
      <c r="I37" s="205">
        <f t="shared" si="5"/>
        <v>24.760983979574856</v>
      </c>
      <c r="J37" s="205">
        <f t="shared" si="5"/>
        <v>38.729965185208485</v>
      </c>
      <c r="K37" s="205">
        <f t="shared" si="5"/>
        <v>56.537490476319931</v>
      </c>
    </row>
    <row r="38" spans="1:11" x14ac:dyDescent="0.35">
      <c r="A38" s="318" t="s">
        <v>2157</v>
      </c>
      <c r="B38" s="535">
        <f t="shared" ref="B38:E38" si="7">B51+B63+B75</f>
        <v>155.41186375366101</v>
      </c>
      <c r="C38" s="535">
        <f t="shared" si="7"/>
        <v>186.80819986551171</v>
      </c>
      <c r="D38" s="535">
        <f t="shared" si="7"/>
        <v>226.05362000532512</v>
      </c>
      <c r="E38" s="535">
        <f t="shared" si="7"/>
        <v>273.14812417310122</v>
      </c>
      <c r="G38" s="205">
        <f t="shared" si="1"/>
        <v>2.13</v>
      </c>
      <c r="H38" s="205">
        <f t="shared" si="5"/>
        <v>54.315336297163427</v>
      </c>
      <c r="I38" s="205">
        <f t="shared" si="5"/>
        <v>48.929249985266701</v>
      </c>
      <c r="J38" s="205">
        <f t="shared" si="5"/>
        <v>40.833401968442061</v>
      </c>
      <c r="K38" s="205">
        <f t="shared" si="5"/>
        <v>30.027792246689511</v>
      </c>
    </row>
    <row r="39" spans="1:11" x14ac:dyDescent="0.35">
      <c r="A39" s="318" t="s">
        <v>2158</v>
      </c>
      <c r="B39" s="535">
        <f t="shared" ref="B39:E39" si="8">B52+B64+B76</f>
        <v>133.88294756267766</v>
      </c>
      <c r="C39" s="535">
        <f t="shared" si="8"/>
        <v>132.20100098525708</v>
      </c>
      <c r="D39" s="535">
        <f t="shared" si="8"/>
        <v>128.83710783041596</v>
      </c>
      <c r="E39" s="535">
        <f t="shared" si="8"/>
        <v>123.79126809815423</v>
      </c>
      <c r="G39" s="205">
        <f t="shared" si="1"/>
        <v>489.29</v>
      </c>
      <c r="H39" s="205">
        <f>H52+H64+H76</f>
        <v>65.507587412942556</v>
      </c>
      <c r="I39" s="205">
        <f t="shared" ref="I39:K39" si="9">I52+I64+I76</f>
        <v>64.684627772076439</v>
      </c>
      <c r="J39" s="205">
        <f t="shared" si="9"/>
        <v>63.03870849034422</v>
      </c>
      <c r="K39" s="205">
        <f t="shared" si="9"/>
        <v>60.569829567745884</v>
      </c>
    </row>
    <row r="40" spans="1:11" x14ac:dyDescent="0.35">
      <c r="B40" s="534">
        <f>SUM(B31:B39)</f>
        <v>501.89285870229918</v>
      </c>
      <c r="C40" s="534">
        <f>SUM(C31:C39)</f>
        <v>621.31106569915994</v>
      </c>
      <c r="D40" s="534">
        <f>SUM(D31:D39)</f>
        <v>776.05015082185287</v>
      </c>
      <c r="E40" s="534">
        <f>SUM(E31:E39)</f>
        <v>966.11011407037756</v>
      </c>
      <c r="H40" s="206">
        <f>SUM(H31:H39)</f>
        <v>236.23516923937325</v>
      </c>
      <c r="I40" s="206">
        <f>SUM(I31:I39)</f>
        <v>279.40270378360788</v>
      </c>
      <c r="J40" s="206">
        <f>SUM(J31:J39)</f>
        <v>335.18150179778496</v>
      </c>
      <c r="K40" s="206">
        <f>SUM(K31:K39)</f>
        <v>403.5715632819045</v>
      </c>
    </row>
    <row r="41" spans="1:11" x14ac:dyDescent="0.35">
      <c r="B41" s="466"/>
      <c r="C41" s="466"/>
      <c r="D41" s="466"/>
    </row>
    <row r="43" spans="1:11" ht="41.25" customHeight="1" x14ac:dyDescent="0.35">
      <c r="A43" s="133" t="str">
        <f>B10</f>
        <v xml:space="preserve">amivantamab plus lazertinib </v>
      </c>
      <c r="B43" s="695" t="s">
        <v>2245</v>
      </c>
      <c r="C43" s="198" t="s">
        <v>2242</v>
      </c>
      <c r="D43" s="198" t="s">
        <v>2243</v>
      </c>
      <c r="E43" s="199" t="s">
        <v>2244</v>
      </c>
      <c r="G43" s="189" t="s">
        <v>1992</v>
      </c>
      <c r="H43" s="695" t="s">
        <v>2245</v>
      </c>
      <c r="I43" s="198" t="s">
        <v>2242</v>
      </c>
      <c r="J43" s="198" t="s">
        <v>2243</v>
      </c>
      <c r="K43" s="199" t="s">
        <v>2244</v>
      </c>
    </row>
    <row r="44" spans="1:11" x14ac:dyDescent="0.35">
      <c r="A44" s="318" t="s">
        <v>2151</v>
      </c>
      <c r="B44" s="115">
        <f t="shared" ref="B44:B52" si="10">$B$24*$B11</f>
        <v>0</v>
      </c>
      <c r="C44" s="115">
        <f t="shared" ref="C44:C52" si="11">$C$24*$B11</f>
        <v>15.137519196785162</v>
      </c>
      <c r="D44" s="115">
        <f t="shared" ref="D44:D52" si="12">$D$24*$B11</f>
        <v>35.320878125832046</v>
      </c>
      <c r="E44" s="115">
        <f t="shared" ref="E44:E52" si="13">$E$24*$B11</f>
        <v>60.550076787140647</v>
      </c>
      <c r="G44" s="205">
        <f t="shared" ref="G44:G52" si="14">E11</f>
        <v>483.99</v>
      </c>
      <c r="H44" s="205">
        <f t="shared" ref="H44:K52" si="15">B44*$G44/1000</f>
        <v>0</v>
      </c>
      <c r="I44" s="205">
        <f t="shared" si="15"/>
        <v>7.3264079160520508</v>
      </c>
      <c r="J44" s="205">
        <f t="shared" si="15"/>
        <v>17.09495180412145</v>
      </c>
      <c r="K44" s="205">
        <f t="shared" si="15"/>
        <v>29.305631664208203</v>
      </c>
    </row>
    <row r="45" spans="1:11" x14ac:dyDescent="0.35">
      <c r="A45" s="318" t="s">
        <v>1887</v>
      </c>
      <c r="B45" s="115">
        <f t="shared" si="10"/>
        <v>0</v>
      </c>
      <c r="C45" s="115">
        <f t="shared" si="11"/>
        <v>11.773626041944016</v>
      </c>
      <c r="D45" s="115">
        <f t="shared" si="12"/>
        <v>27.471794097869374</v>
      </c>
      <c r="E45" s="115">
        <f t="shared" si="13"/>
        <v>47.094504167776066</v>
      </c>
      <c r="G45" s="205">
        <f t="shared" si="14"/>
        <v>686.39</v>
      </c>
      <c r="H45" s="205">
        <f t="shared" si="15"/>
        <v>0</v>
      </c>
      <c r="I45" s="205">
        <f t="shared" si="15"/>
        <v>8.0812991789299531</v>
      </c>
      <c r="J45" s="205">
        <f t="shared" si="15"/>
        <v>18.856364750836558</v>
      </c>
      <c r="K45" s="205">
        <f t="shared" si="15"/>
        <v>32.325196715719812</v>
      </c>
    </row>
    <row r="46" spans="1:11" x14ac:dyDescent="0.35">
      <c r="A46" s="318" t="s">
        <v>2152</v>
      </c>
      <c r="B46" s="115">
        <f t="shared" si="10"/>
        <v>0</v>
      </c>
      <c r="C46" s="115">
        <f t="shared" si="11"/>
        <v>10.091679464523441</v>
      </c>
      <c r="D46" s="115">
        <f t="shared" si="12"/>
        <v>23.547252083888033</v>
      </c>
      <c r="E46" s="115">
        <f t="shared" si="13"/>
        <v>40.366717858093764</v>
      </c>
      <c r="G46" s="205">
        <f t="shared" si="14"/>
        <v>686.39</v>
      </c>
      <c r="H46" s="205">
        <f t="shared" si="15"/>
        <v>0</v>
      </c>
      <c r="I46" s="205">
        <f t="shared" si="15"/>
        <v>6.9268278676542447</v>
      </c>
      <c r="J46" s="205">
        <f t="shared" si="15"/>
        <v>16.162598357859906</v>
      </c>
      <c r="K46" s="205">
        <f t="shared" si="15"/>
        <v>27.707311470616979</v>
      </c>
    </row>
    <row r="47" spans="1:11" x14ac:dyDescent="0.35">
      <c r="A47" s="318" t="s">
        <v>2153</v>
      </c>
      <c r="B47" s="115">
        <f t="shared" si="10"/>
        <v>0</v>
      </c>
      <c r="C47" s="115">
        <f t="shared" si="11"/>
        <v>20.183358929046882</v>
      </c>
      <c r="D47" s="115">
        <f t="shared" si="12"/>
        <v>47.094504167776066</v>
      </c>
      <c r="E47" s="115">
        <f t="shared" si="13"/>
        <v>80.733435716187529</v>
      </c>
      <c r="G47" s="205">
        <f t="shared" si="14"/>
        <v>483.99</v>
      </c>
      <c r="H47" s="205">
        <f t="shared" si="15"/>
        <v>0</v>
      </c>
      <c r="I47" s="205">
        <f t="shared" si="15"/>
        <v>9.7685438880694004</v>
      </c>
      <c r="J47" s="205">
        <f t="shared" si="15"/>
        <v>22.793269072161941</v>
      </c>
      <c r="K47" s="205">
        <f t="shared" si="15"/>
        <v>39.074175552277602</v>
      </c>
    </row>
    <row r="48" spans="1:11" x14ac:dyDescent="0.35">
      <c r="A48" s="318" t="s">
        <v>2154</v>
      </c>
      <c r="B48" s="115">
        <f t="shared" si="10"/>
        <v>0</v>
      </c>
      <c r="C48" s="115">
        <f t="shared" si="11"/>
        <v>1.6819465774205735</v>
      </c>
      <c r="D48" s="115">
        <f t="shared" si="12"/>
        <v>3.924542013981339</v>
      </c>
      <c r="E48" s="115">
        <f t="shared" si="13"/>
        <v>6.7277863096822941</v>
      </c>
      <c r="G48" s="205">
        <f t="shared" si="14"/>
        <v>443.83</v>
      </c>
      <c r="H48" s="205">
        <f t="shared" ref="H48:H51" si="16">B48*$G48/1000</f>
        <v>0</v>
      </c>
      <c r="I48" s="205">
        <f t="shared" ref="I48:I51" si="17">C48*$G48/1000</f>
        <v>0.74649834945657312</v>
      </c>
      <c r="J48" s="205">
        <f t="shared" ref="J48:J51" si="18">D48*$G48/1000</f>
        <v>1.7418294820653375</v>
      </c>
      <c r="K48" s="205">
        <f t="shared" ref="K48:K51" si="19">E48*$G48/1000</f>
        <v>2.9859933978262925</v>
      </c>
    </row>
    <row r="49" spans="1:12" x14ac:dyDescent="0.35">
      <c r="A49" s="318" t="s">
        <v>2155</v>
      </c>
      <c r="B49" s="115">
        <f t="shared" si="10"/>
        <v>0</v>
      </c>
      <c r="C49" s="115">
        <f t="shared" si="11"/>
        <v>28.593091816149752</v>
      </c>
      <c r="D49" s="115">
        <f t="shared" si="12"/>
        <v>66.717214237682768</v>
      </c>
      <c r="E49" s="115">
        <f t="shared" si="13"/>
        <v>114.37236726459901</v>
      </c>
      <c r="G49" s="205">
        <f t="shared" si="14"/>
        <v>483.99</v>
      </c>
      <c r="H49" s="205">
        <f t="shared" si="16"/>
        <v>0</v>
      </c>
      <c r="I49" s="205">
        <f t="shared" si="17"/>
        <v>13.838770508098317</v>
      </c>
      <c r="J49" s="205">
        <f t="shared" si="18"/>
        <v>32.29046451889608</v>
      </c>
      <c r="K49" s="205">
        <f t="shared" si="19"/>
        <v>55.35508203239327</v>
      </c>
    </row>
    <row r="50" spans="1:12" x14ac:dyDescent="0.35">
      <c r="A50" s="318" t="s">
        <v>2156</v>
      </c>
      <c r="B50" s="115">
        <f t="shared" si="10"/>
        <v>0</v>
      </c>
      <c r="C50" s="115">
        <f t="shared" si="11"/>
        <v>15.137519196785162</v>
      </c>
      <c r="D50" s="115">
        <f t="shared" si="12"/>
        <v>35.320878125832046</v>
      </c>
      <c r="E50" s="115">
        <f t="shared" si="13"/>
        <v>60.550076787140647</v>
      </c>
      <c r="G50" s="205">
        <f t="shared" si="14"/>
        <v>625.13</v>
      </c>
      <c r="H50" s="205">
        <f t="shared" si="16"/>
        <v>0</v>
      </c>
      <c r="I50" s="205">
        <f t="shared" si="17"/>
        <v>9.4629173754863078</v>
      </c>
      <c r="J50" s="205">
        <f t="shared" si="18"/>
        <v>22.080140542801384</v>
      </c>
      <c r="K50" s="205">
        <f t="shared" si="19"/>
        <v>37.851669501945231</v>
      </c>
    </row>
    <row r="51" spans="1:12" x14ac:dyDescent="0.35">
      <c r="A51" s="318" t="s">
        <v>2157</v>
      </c>
      <c r="B51" s="115">
        <f t="shared" si="10"/>
        <v>0</v>
      </c>
      <c r="C51" s="115">
        <f t="shared" si="11"/>
        <v>47.094504167776066</v>
      </c>
      <c r="D51" s="115">
        <f t="shared" si="12"/>
        <v>109.8871763914775</v>
      </c>
      <c r="E51" s="115">
        <f t="shared" si="13"/>
        <v>188.37801667110426</v>
      </c>
      <c r="G51" s="205">
        <f t="shared" si="14"/>
        <v>2.13</v>
      </c>
      <c r="H51" s="205">
        <f t="shared" si="16"/>
        <v>0</v>
      </c>
      <c r="I51" s="205">
        <f t="shared" si="17"/>
        <v>0.10031129387736301</v>
      </c>
      <c r="J51" s="205">
        <f t="shared" si="18"/>
        <v>0.23405968571384705</v>
      </c>
      <c r="K51" s="205">
        <f t="shared" si="19"/>
        <v>0.40124517550945205</v>
      </c>
    </row>
    <row r="52" spans="1:12" x14ac:dyDescent="0.35">
      <c r="A52" s="318" t="s">
        <v>2158</v>
      </c>
      <c r="B52" s="115">
        <f t="shared" si="10"/>
        <v>0</v>
      </c>
      <c r="C52" s="115">
        <f t="shared" si="11"/>
        <v>8.4097328871028676</v>
      </c>
      <c r="D52" s="115">
        <f t="shared" si="12"/>
        <v>19.622710069906695</v>
      </c>
      <c r="E52" s="115">
        <f t="shared" si="13"/>
        <v>33.63893154841147</v>
      </c>
      <c r="G52" s="205">
        <f t="shared" si="14"/>
        <v>489.29</v>
      </c>
      <c r="H52" s="205">
        <f t="shared" si="15"/>
        <v>0</v>
      </c>
      <c r="I52" s="205">
        <f t="shared" si="15"/>
        <v>4.1147982043305618</v>
      </c>
      <c r="J52" s="205">
        <f t="shared" si="15"/>
        <v>9.6011958101046471</v>
      </c>
      <c r="K52" s="205">
        <f t="shared" si="15"/>
        <v>16.459192817322247</v>
      </c>
    </row>
    <row r="53" spans="1:12" s="133" customFormat="1" x14ac:dyDescent="0.35">
      <c r="A53" s="476"/>
      <c r="B53" s="157">
        <f t="shared" ref="B53:E53" si="20">SUM(B44:B52)</f>
        <v>0</v>
      </c>
      <c r="C53" s="157">
        <f t="shared" si="20"/>
        <v>158.10297827753394</v>
      </c>
      <c r="D53" s="157">
        <f t="shared" si="20"/>
        <v>368.90694931424588</v>
      </c>
      <c r="E53" s="157">
        <f t="shared" si="20"/>
        <v>632.41191311013574</v>
      </c>
      <c r="G53"/>
      <c r="H53" s="206">
        <f>SUM(H44:H52)</f>
        <v>0</v>
      </c>
      <c r="I53" s="206">
        <f>SUM(I44:I52)</f>
        <v>60.366374581954766</v>
      </c>
      <c r="J53" s="206">
        <f t="shared" ref="J53:K53" si="21">SUM(J44:J52)</f>
        <v>140.85487402456118</v>
      </c>
      <c r="K53" s="206">
        <f t="shared" si="21"/>
        <v>241.46549832781906</v>
      </c>
      <c r="L53"/>
    </row>
    <row r="55" spans="1:12" ht="41.25" customHeight="1" x14ac:dyDescent="0.35">
      <c r="A55" s="133" t="str">
        <f>C10</f>
        <v>osimertinib alone</v>
      </c>
      <c r="B55" s="695" t="s">
        <v>2245</v>
      </c>
      <c r="C55" s="198" t="s">
        <v>1852</v>
      </c>
      <c r="D55" s="198" t="s">
        <v>1853</v>
      </c>
      <c r="E55" s="199" t="s">
        <v>1914</v>
      </c>
      <c r="G55" s="189" t="s">
        <v>1992</v>
      </c>
      <c r="H55" s="695" t="s">
        <v>2245</v>
      </c>
      <c r="I55" s="198" t="s">
        <v>2242</v>
      </c>
      <c r="J55" s="198" t="s">
        <v>2243</v>
      </c>
      <c r="K55" s="199" t="s">
        <v>2244</v>
      </c>
    </row>
    <row r="56" spans="1:12" x14ac:dyDescent="0.35">
      <c r="A56" s="318" t="s">
        <v>2151</v>
      </c>
      <c r="B56" s="115">
        <f t="shared" ref="B56:B64" si="22">$B$25*$C11</f>
        <v>0</v>
      </c>
      <c r="C56" s="115">
        <f t="shared" ref="C56:C64" si="23">$C$25*$C11</f>
        <v>0</v>
      </c>
      <c r="D56" s="115">
        <f>$D$25*$C11</f>
        <v>0</v>
      </c>
      <c r="E56" s="115">
        <f t="shared" ref="E56:E64" si="24">$E$25*$C11</f>
        <v>0</v>
      </c>
      <c r="G56" s="205">
        <f t="shared" ref="G56:G64" si="25">E11</f>
        <v>483.99</v>
      </c>
      <c r="H56" s="205">
        <f t="shared" ref="H56:K59" si="26">B56*$G56/1000</f>
        <v>0</v>
      </c>
      <c r="I56" s="205">
        <f t="shared" si="26"/>
        <v>0</v>
      </c>
      <c r="J56" s="205">
        <f t="shared" si="26"/>
        <v>0</v>
      </c>
      <c r="K56" s="205">
        <f t="shared" si="26"/>
        <v>0</v>
      </c>
    </row>
    <row r="57" spans="1:12" x14ac:dyDescent="0.35">
      <c r="A57" s="318" t="s">
        <v>1887</v>
      </c>
      <c r="B57" s="115">
        <f t="shared" si="22"/>
        <v>44.403389643903139</v>
      </c>
      <c r="C57" s="115">
        <f t="shared" si="23"/>
        <v>39.918198770781608</v>
      </c>
      <c r="D57" s="115">
        <f t="shared" ref="D57:D64" si="27">$D$25*$C12</f>
        <v>33.190412461099321</v>
      </c>
      <c r="E57" s="115">
        <f t="shared" si="24"/>
        <v>24.220030714856268</v>
      </c>
      <c r="G57" s="205">
        <f t="shared" si="25"/>
        <v>686.39</v>
      </c>
      <c r="H57" s="205">
        <f t="shared" si="26"/>
        <v>30.478042617678675</v>
      </c>
      <c r="I57" s="205">
        <f t="shared" si="26"/>
        <v>27.399452454276787</v>
      </c>
      <c r="J57" s="205">
        <f t="shared" si="26"/>
        <v>22.781567209173961</v>
      </c>
      <c r="K57" s="205">
        <f t="shared" si="26"/>
        <v>16.624386882370192</v>
      </c>
    </row>
    <row r="58" spans="1:12" x14ac:dyDescent="0.35">
      <c r="A58" s="318" t="s">
        <v>2152</v>
      </c>
      <c r="B58" s="115">
        <f t="shared" si="22"/>
        <v>0</v>
      </c>
      <c r="C58" s="115">
        <f t="shared" si="23"/>
        <v>0</v>
      </c>
      <c r="D58" s="115">
        <f t="shared" si="27"/>
        <v>0</v>
      </c>
      <c r="E58" s="115">
        <f t="shared" si="24"/>
        <v>0</v>
      </c>
      <c r="G58" s="205">
        <f t="shared" si="25"/>
        <v>686.39</v>
      </c>
      <c r="H58" s="205">
        <f t="shared" si="26"/>
        <v>0</v>
      </c>
      <c r="I58" s="205">
        <f t="shared" si="26"/>
        <v>0</v>
      </c>
      <c r="J58" s="205">
        <f t="shared" si="26"/>
        <v>0</v>
      </c>
      <c r="K58" s="205">
        <f t="shared" si="26"/>
        <v>0</v>
      </c>
    </row>
    <row r="59" spans="1:12" x14ac:dyDescent="0.35">
      <c r="A59" s="318" t="s">
        <v>2153</v>
      </c>
      <c r="B59" s="115">
        <f t="shared" si="22"/>
        <v>22.20169482195157</v>
      </c>
      <c r="C59" s="115">
        <f t="shared" si="23"/>
        <v>19.959099385390804</v>
      </c>
      <c r="D59" s="115">
        <f t="shared" si="27"/>
        <v>16.59520623054966</v>
      </c>
      <c r="E59" s="115">
        <f t="shared" si="24"/>
        <v>12.110015357428134</v>
      </c>
      <c r="G59" s="205">
        <f t="shared" si="25"/>
        <v>483.99</v>
      </c>
      <c r="H59" s="205">
        <f t="shared" si="26"/>
        <v>10.74539827687634</v>
      </c>
      <c r="I59" s="205">
        <f t="shared" si="26"/>
        <v>9.6600045115352948</v>
      </c>
      <c r="J59" s="205">
        <f t="shared" si="26"/>
        <v>8.0319138635237302</v>
      </c>
      <c r="K59" s="205">
        <f t="shared" si="26"/>
        <v>5.8611263328416427</v>
      </c>
    </row>
    <row r="60" spans="1:12" x14ac:dyDescent="0.35">
      <c r="A60" s="318" t="s">
        <v>2154</v>
      </c>
      <c r="B60" s="115">
        <f t="shared" si="22"/>
        <v>0</v>
      </c>
      <c r="C60" s="115">
        <f t="shared" si="23"/>
        <v>0</v>
      </c>
      <c r="D60" s="115">
        <f t="shared" si="27"/>
        <v>0</v>
      </c>
      <c r="E60" s="115">
        <f t="shared" si="24"/>
        <v>0</v>
      </c>
      <c r="G60" s="205">
        <f t="shared" si="25"/>
        <v>443.83</v>
      </c>
      <c r="H60" s="205">
        <f t="shared" ref="H60:H64" si="28">B60*$G60/1000</f>
        <v>0</v>
      </c>
      <c r="I60" s="205">
        <f t="shared" ref="I60:I64" si="29">C60*$G60/1000</f>
        <v>0</v>
      </c>
      <c r="J60" s="205">
        <f t="shared" ref="J60:J64" si="30">D60*$G60/1000</f>
        <v>0</v>
      </c>
      <c r="K60" s="205">
        <f t="shared" ref="K60:K64" si="31">E60*$G60/1000</f>
        <v>0</v>
      </c>
    </row>
    <row r="61" spans="1:12" x14ac:dyDescent="0.35">
      <c r="A61" s="318" t="s">
        <v>2155</v>
      </c>
      <c r="B61" s="115">
        <f t="shared" si="22"/>
        <v>22.20169482195157</v>
      </c>
      <c r="C61" s="115">
        <f t="shared" si="23"/>
        <v>19.959099385390804</v>
      </c>
      <c r="D61" s="115">
        <f t="shared" si="27"/>
        <v>16.59520623054966</v>
      </c>
      <c r="E61" s="115">
        <f t="shared" si="24"/>
        <v>12.110015357428134</v>
      </c>
      <c r="G61" s="205">
        <f t="shared" si="25"/>
        <v>483.99</v>
      </c>
      <c r="H61" s="205">
        <f t="shared" ref="H61" si="32">B61*$G61/1000</f>
        <v>10.74539827687634</v>
      </c>
      <c r="I61" s="205">
        <f t="shared" si="29"/>
        <v>9.6600045115352948</v>
      </c>
      <c r="J61" s="205">
        <f t="shared" si="30"/>
        <v>8.0319138635237302</v>
      </c>
      <c r="K61" s="205">
        <f t="shared" si="31"/>
        <v>5.8611263328416427</v>
      </c>
    </row>
    <row r="62" spans="1:12" x14ac:dyDescent="0.35">
      <c r="A62" s="318" t="s">
        <v>2156</v>
      </c>
      <c r="B62" s="115">
        <f t="shared" si="22"/>
        <v>66.605084465854702</v>
      </c>
      <c r="C62" s="115">
        <f t="shared" si="23"/>
        <v>59.877298156172415</v>
      </c>
      <c r="D62" s="115">
        <f t="shared" si="27"/>
        <v>49.785618691648985</v>
      </c>
      <c r="E62" s="115">
        <f t="shared" si="24"/>
        <v>36.330046072284397</v>
      </c>
      <c r="G62" s="205">
        <f t="shared" si="25"/>
        <v>625.13</v>
      </c>
      <c r="H62" s="205">
        <f t="shared" si="28"/>
        <v>41.636836452139754</v>
      </c>
      <c r="I62" s="205">
        <f t="shared" si="29"/>
        <v>37.431095396368057</v>
      </c>
      <c r="J62" s="205">
        <f t="shared" si="30"/>
        <v>31.122483812710527</v>
      </c>
      <c r="K62" s="205">
        <f t="shared" si="31"/>
        <v>22.711001701167145</v>
      </c>
    </row>
    <row r="63" spans="1:12" x14ac:dyDescent="0.35">
      <c r="A63" s="318" t="s">
        <v>2157</v>
      </c>
      <c r="B63" s="115">
        <f t="shared" si="22"/>
        <v>155.41186375366101</v>
      </c>
      <c r="C63" s="115">
        <f t="shared" si="23"/>
        <v>139.71369569773566</v>
      </c>
      <c r="D63" s="115">
        <f t="shared" si="27"/>
        <v>116.16644361384763</v>
      </c>
      <c r="E63" s="115">
        <f t="shared" si="24"/>
        <v>84.770107501996932</v>
      </c>
      <c r="G63" s="205">
        <f t="shared" si="25"/>
        <v>2.13</v>
      </c>
      <c r="H63" s="205">
        <f t="shared" si="28"/>
        <v>0.3310272697952979</v>
      </c>
      <c r="I63" s="205">
        <f t="shared" si="29"/>
        <v>0.29759017183617692</v>
      </c>
      <c r="J63" s="205">
        <f t="shared" si="30"/>
        <v>0.24743452489749543</v>
      </c>
      <c r="K63" s="205">
        <f t="shared" si="31"/>
        <v>0.18056032897925345</v>
      </c>
    </row>
    <row r="64" spans="1:12" x14ac:dyDescent="0.35">
      <c r="A64" s="318" t="s">
        <v>2158</v>
      </c>
      <c r="B64" s="115">
        <f t="shared" si="22"/>
        <v>111.00847410975786</v>
      </c>
      <c r="C64" s="115">
        <f t="shared" si="23"/>
        <v>99.79549692695403</v>
      </c>
      <c r="D64" s="115">
        <f t="shared" si="27"/>
        <v>82.976031152748305</v>
      </c>
      <c r="E64" s="115">
        <f t="shared" si="24"/>
        <v>60.550076787140668</v>
      </c>
      <c r="G64" s="205">
        <f t="shared" si="25"/>
        <v>489.29</v>
      </c>
      <c r="H64" s="205">
        <f t="shared" si="28"/>
        <v>54.315336297163427</v>
      </c>
      <c r="I64" s="205">
        <f t="shared" si="29"/>
        <v>48.82893869138934</v>
      </c>
      <c r="J64" s="205">
        <f t="shared" si="30"/>
        <v>40.599342282728216</v>
      </c>
      <c r="K64" s="205">
        <f t="shared" si="31"/>
        <v>29.62654707118006</v>
      </c>
    </row>
    <row r="65" spans="1:12" s="133" customFormat="1" x14ac:dyDescent="0.35">
      <c r="A65" s="476"/>
      <c r="B65" s="157">
        <f>SUM(B56:B64)</f>
        <v>421.83220161707987</v>
      </c>
      <c r="C65" s="157">
        <f>SUM(C56:C64)</f>
        <v>379.22288832242532</v>
      </c>
      <c r="D65" s="157">
        <f>SUM(D56:D64)</f>
        <v>315.30891838044357</v>
      </c>
      <c r="E65" s="157">
        <f>SUM(E56:E64)</f>
        <v>230.09029179113452</v>
      </c>
      <c r="G65"/>
      <c r="H65" s="206">
        <f>SUM(H56:H64)</f>
        <v>148.25203919052984</v>
      </c>
      <c r="I65" s="206">
        <f>SUM(I56:I64)</f>
        <v>133.27708573694093</v>
      </c>
      <c r="J65" s="206">
        <f>SUM(J56:J64)</f>
        <v>110.81465555655767</v>
      </c>
      <c r="K65" s="206">
        <f>SUM(K56:K64)</f>
        <v>80.864748649379933</v>
      </c>
      <c r="L65"/>
    </row>
    <row r="67" spans="1:12" ht="51" customHeight="1" x14ac:dyDescent="0.35">
      <c r="A67" s="133" t="str">
        <f>D10</f>
        <v xml:space="preserve">osimertinib plus chemotherapy </v>
      </c>
      <c r="B67" s="695" t="s">
        <v>2245</v>
      </c>
      <c r="C67" s="198" t="s">
        <v>2242</v>
      </c>
      <c r="D67" s="198" t="s">
        <v>2243</v>
      </c>
      <c r="E67" s="199" t="s">
        <v>2244</v>
      </c>
      <c r="G67" s="189" t="s">
        <v>1992</v>
      </c>
      <c r="H67" s="695" t="s">
        <v>2245</v>
      </c>
      <c r="I67" s="198" t="s">
        <v>2242</v>
      </c>
      <c r="J67" s="198" t="s">
        <v>2243</v>
      </c>
      <c r="K67" s="199" t="s">
        <v>2244</v>
      </c>
    </row>
    <row r="68" spans="1:12" x14ac:dyDescent="0.35">
      <c r="A68" s="318" t="s">
        <v>2151</v>
      </c>
      <c r="B68" s="115">
        <f t="shared" ref="B68:B76" si="33">$B$26*$D11</f>
        <v>11.437236726459902</v>
      </c>
      <c r="C68" s="115">
        <f t="shared" ref="C68:C76" si="34">$C$26*$D11</f>
        <v>11.997885585600093</v>
      </c>
      <c r="D68" s="115">
        <f t="shared" ref="D68:D76" si="35">$D$26*$D11</f>
        <v>13.119183303880476</v>
      </c>
      <c r="E68" s="115">
        <f t="shared" ref="E68:E76" si="36">$E$26*$D11</f>
        <v>14.801129881301049</v>
      </c>
      <c r="G68" s="205">
        <f t="shared" ref="G68:G76" si="37">E11</f>
        <v>483.99</v>
      </c>
      <c r="H68" s="205">
        <f t="shared" ref="H68:K76" si="38">B68*$G68/1000</f>
        <v>5.5355082032393286</v>
      </c>
      <c r="I68" s="205">
        <f t="shared" si="38"/>
        <v>5.8068566445745891</v>
      </c>
      <c r="J68" s="205">
        <f t="shared" si="38"/>
        <v>6.3495535272451118</v>
      </c>
      <c r="K68" s="205">
        <f t="shared" si="38"/>
        <v>7.163598851250895</v>
      </c>
    </row>
    <row r="69" spans="1:12" x14ac:dyDescent="0.35">
      <c r="A69" s="318" t="s">
        <v>1887</v>
      </c>
      <c r="B69" s="115">
        <f t="shared" si="33"/>
        <v>11.437236726459902</v>
      </c>
      <c r="C69" s="115">
        <f t="shared" si="34"/>
        <v>11.997885585600093</v>
      </c>
      <c r="D69" s="115">
        <f t="shared" si="35"/>
        <v>13.119183303880476</v>
      </c>
      <c r="E69" s="115">
        <f t="shared" si="36"/>
        <v>14.801129881301049</v>
      </c>
      <c r="G69" s="205">
        <f t="shared" si="37"/>
        <v>686.39</v>
      </c>
      <c r="H69" s="205">
        <f t="shared" si="38"/>
        <v>7.8504049166748118</v>
      </c>
      <c r="I69" s="205">
        <f t="shared" si="38"/>
        <v>8.2352286871000473</v>
      </c>
      <c r="J69" s="205">
        <f t="shared" si="38"/>
        <v>9.0048762279505183</v>
      </c>
      <c r="K69" s="205">
        <f t="shared" si="38"/>
        <v>10.159347539226228</v>
      </c>
    </row>
    <row r="70" spans="1:12" x14ac:dyDescent="0.35">
      <c r="A70" s="318" t="s">
        <v>2152</v>
      </c>
      <c r="B70" s="115">
        <f t="shared" si="33"/>
        <v>0</v>
      </c>
      <c r="C70" s="115">
        <f t="shared" si="34"/>
        <v>0</v>
      </c>
      <c r="D70" s="115">
        <f t="shared" si="35"/>
        <v>0</v>
      </c>
      <c r="E70" s="115">
        <f t="shared" si="36"/>
        <v>0</v>
      </c>
      <c r="G70" s="205">
        <f t="shared" si="37"/>
        <v>686.39</v>
      </c>
      <c r="H70" s="205">
        <f t="shared" si="38"/>
        <v>0</v>
      </c>
      <c r="I70" s="205">
        <f t="shared" si="38"/>
        <v>0</v>
      </c>
      <c r="J70" s="205">
        <f t="shared" si="38"/>
        <v>0</v>
      </c>
      <c r="K70" s="205">
        <f t="shared" si="38"/>
        <v>0</v>
      </c>
    </row>
    <row r="71" spans="1:12" x14ac:dyDescent="0.35">
      <c r="A71" s="318" t="s">
        <v>2153</v>
      </c>
      <c r="B71" s="115">
        <f t="shared" si="33"/>
        <v>11.437236726459902</v>
      </c>
      <c r="C71" s="115">
        <f t="shared" si="34"/>
        <v>11.997885585600093</v>
      </c>
      <c r="D71" s="115">
        <f t="shared" si="35"/>
        <v>13.119183303880476</v>
      </c>
      <c r="E71" s="115">
        <f t="shared" si="36"/>
        <v>14.801129881301049</v>
      </c>
      <c r="G71" s="205">
        <f t="shared" si="37"/>
        <v>483.99</v>
      </c>
      <c r="H71" s="205">
        <f t="shared" si="38"/>
        <v>5.5355082032393286</v>
      </c>
      <c r="I71" s="205">
        <f t="shared" si="38"/>
        <v>5.8068566445745891</v>
      </c>
      <c r="J71" s="205">
        <f t="shared" si="38"/>
        <v>6.3495535272451118</v>
      </c>
      <c r="K71" s="205">
        <f t="shared" si="38"/>
        <v>7.163598851250895</v>
      </c>
    </row>
    <row r="72" spans="1:12" x14ac:dyDescent="0.35">
      <c r="A72" s="318" t="s">
        <v>2154</v>
      </c>
      <c r="B72" s="115">
        <f t="shared" si="33"/>
        <v>0</v>
      </c>
      <c r="C72" s="115">
        <f t="shared" si="34"/>
        <v>0</v>
      </c>
      <c r="D72" s="115">
        <f t="shared" si="35"/>
        <v>0</v>
      </c>
      <c r="E72" s="115">
        <f t="shared" si="36"/>
        <v>0</v>
      </c>
      <c r="G72" s="205">
        <f t="shared" si="37"/>
        <v>443.83</v>
      </c>
      <c r="H72" s="205">
        <f t="shared" ref="H72:H75" si="39">B72*$G72/1000</f>
        <v>0</v>
      </c>
      <c r="I72" s="205">
        <f t="shared" ref="I72:I75" si="40">C72*$G72/1000</f>
        <v>0</v>
      </c>
      <c r="J72" s="205">
        <f t="shared" ref="J72:J75" si="41">D72*$G72/1000</f>
        <v>0</v>
      </c>
      <c r="K72" s="205">
        <f t="shared" ref="K72:K75" si="42">E72*$G72/1000</f>
        <v>0</v>
      </c>
    </row>
    <row r="73" spans="1:12" x14ac:dyDescent="0.35">
      <c r="A73" s="318" t="s">
        <v>2155</v>
      </c>
      <c r="B73" s="115">
        <f t="shared" si="33"/>
        <v>0</v>
      </c>
      <c r="C73" s="115">
        <f t="shared" si="34"/>
        <v>0</v>
      </c>
      <c r="D73" s="115">
        <f t="shared" si="35"/>
        <v>0</v>
      </c>
      <c r="E73" s="115">
        <f t="shared" si="36"/>
        <v>0</v>
      </c>
      <c r="G73" s="205">
        <f t="shared" si="37"/>
        <v>483.99</v>
      </c>
      <c r="H73" s="205">
        <f t="shared" si="39"/>
        <v>0</v>
      </c>
      <c r="I73" s="205">
        <f t="shared" si="40"/>
        <v>0</v>
      </c>
      <c r="J73" s="205">
        <f t="shared" si="41"/>
        <v>0</v>
      </c>
      <c r="K73" s="205">
        <f t="shared" si="42"/>
        <v>0</v>
      </c>
    </row>
    <row r="74" spans="1:12" x14ac:dyDescent="0.35">
      <c r="A74" s="318" t="s">
        <v>2156</v>
      </c>
      <c r="B74" s="115">
        <f t="shared" si="33"/>
        <v>22.874473452919805</v>
      </c>
      <c r="C74" s="115">
        <f t="shared" si="34"/>
        <v>23.995771171200186</v>
      </c>
      <c r="D74" s="115">
        <f t="shared" si="35"/>
        <v>26.238366607760952</v>
      </c>
      <c r="E74" s="115">
        <f t="shared" si="36"/>
        <v>29.602259762602099</v>
      </c>
      <c r="G74" s="205">
        <f t="shared" si="37"/>
        <v>625.13</v>
      </c>
      <c r="H74" s="205">
        <f t="shared" si="39"/>
        <v>14.299519589623758</v>
      </c>
      <c r="I74" s="205">
        <f t="shared" si="40"/>
        <v>15.000476432252372</v>
      </c>
      <c r="J74" s="205">
        <f t="shared" si="41"/>
        <v>16.402390117509604</v>
      </c>
      <c r="K74" s="205">
        <f t="shared" si="42"/>
        <v>18.505260645395449</v>
      </c>
    </row>
    <row r="75" spans="1:12" x14ac:dyDescent="0.35">
      <c r="A75" s="318" t="s">
        <v>2157</v>
      </c>
      <c r="B75" s="115">
        <f t="shared" si="33"/>
        <v>0</v>
      </c>
      <c r="C75" s="115">
        <f t="shared" si="34"/>
        <v>0</v>
      </c>
      <c r="D75" s="115">
        <f t="shared" si="35"/>
        <v>0</v>
      </c>
      <c r="E75" s="115">
        <f t="shared" si="36"/>
        <v>0</v>
      </c>
      <c r="G75" s="205">
        <f t="shared" si="37"/>
        <v>2.13</v>
      </c>
      <c r="H75" s="205">
        <f t="shared" si="39"/>
        <v>0</v>
      </c>
      <c r="I75" s="205">
        <f t="shared" si="40"/>
        <v>0</v>
      </c>
      <c r="J75" s="205">
        <f t="shared" si="41"/>
        <v>0</v>
      </c>
      <c r="K75" s="205">
        <f t="shared" si="42"/>
        <v>0</v>
      </c>
    </row>
    <row r="76" spans="1:12" x14ac:dyDescent="0.35">
      <c r="A76" s="318" t="s">
        <v>2158</v>
      </c>
      <c r="B76" s="115">
        <f t="shared" si="33"/>
        <v>22.874473452919805</v>
      </c>
      <c r="C76" s="115">
        <f t="shared" si="34"/>
        <v>23.995771171200186</v>
      </c>
      <c r="D76" s="115">
        <f t="shared" si="35"/>
        <v>26.238366607760952</v>
      </c>
      <c r="E76" s="115">
        <f t="shared" si="36"/>
        <v>29.602259762602099</v>
      </c>
      <c r="G76" s="205">
        <f t="shared" si="37"/>
        <v>489.29</v>
      </c>
      <c r="H76" s="205">
        <f t="shared" si="38"/>
        <v>11.192251115779133</v>
      </c>
      <c r="I76" s="205">
        <f t="shared" si="38"/>
        <v>11.74089087635654</v>
      </c>
      <c r="J76" s="205">
        <f t="shared" si="38"/>
        <v>12.838170397511355</v>
      </c>
      <c r="K76" s="205">
        <f t="shared" si="38"/>
        <v>14.484089679243581</v>
      </c>
    </row>
    <row r="77" spans="1:12" s="133" customFormat="1" x14ac:dyDescent="0.35">
      <c r="A77" s="476"/>
      <c r="B77" s="157">
        <f t="shared" ref="B77:E77" si="43">SUM(B68:B76)</f>
        <v>80.060657085219319</v>
      </c>
      <c r="C77" s="157">
        <f t="shared" si="43"/>
        <v>83.985199099200656</v>
      </c>
      <c r="D77" s="157">
        <f t="shared" si="43"/>
        <v>91.834283127163332</v>
      </c>
      <c r="E77" s="157">
        <f t="shared" si="43"/>
        <v>103.60790916910734</v>
      </c>
      <c r="G77"/>
      <c r="H77" s="206">
        <f>SUM(H68:H76)</f>
        <v>44.413192028556352</v>
      </c>
      <c r="I77" s="206">
        <f>SUM(I68:I76)</f>
        <v>46.590309284858137</v>
      </c>
      <c r="J77" s="206">
        <f t="shared" ref="J77" si="44">SUM(J68:J76)</f>
        <v>50.944543797461698</v>
      </c>
      <c r="K77" s="206">
        <f t="shared" ref="K77" si="45">SUM(K68:K76)</f>
        <v>57.475895566367051</v>
      </c>
      <c r="L77"/>
    </row>
  </sheetData>
  <sheetProtection algorithmName="SHA-512" hashValue="zwXVS9N3q9aKFoZiJ40vVV7RHn5BH+psO4x8JW8DEJuqDUl4uHzRwJlCx43dWJVMmyZoQYmdoiwq7FEdE9AxTA==" saltValue="6bioDTRt/6CgaAmQwOUsMA==" spinCount="100000" sheet="1" objects="1" scenarios="1"/>
  <protectedRanges>
    <protectedRange sqref="B11:D19 A31:A39 A44:A53 A56:A65 A68:A77" name="Range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purl.org/dc/dcmitype/"/>
    <ds:schemaRef ds:uri="0eb656aa-4e79-4e95-9076-bc119a23e0cc"/>
    <ds:schemaRef ds:uri="http://schemas.microsoft.com/office/2006/metadata/properties"/>
    <ds:schemaRef ds:uri="acaf4567-dc07-471f-892c-2bcb86ef35ae"/>
    <ds:schemaRef ds:uri="http://purl.org/dc/elements/1.1/"/>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c1f338ac-e338-414f-952c-f74dcc6d59e1"/>
  </ds:schemaRefs>
</ds:datastoreItem>
</file>

<file path=customXml/itemProps3.xml><?xml version="1.0" encoding="utf-8"?>
<ds:datastoreItem xmlns:ds="http://schemas.openxmlformats.org/officeDocument/2006/customXml" ds:itemID="{E89DDAE5-F552-48D4-9906-B68A1AFB1B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TA1120 Treatments for untreated EGFR mutation-positive advanced non-small-cell lung cancer: Resource impact template 21/01/2026</dc:title>
  <dc:subject/>
  <dc:creator/>
  <cp:keywords/>
  <dc:description/>
  <cp:lastModifiedBy/>
  <cp:revision/>
  <dcterms:created xsi:type="dcterms:W3CDTF">2022-07-27T12:38:28Z</dcterms:created>
  <dcterms:modified xsi:type="dcterms:W3CDTF">2026-01-19T14:24:24Z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