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24226"/>
  <xr:revisionPtr revIDLastSave="0" documentId="13_ncr:1_{B1FFEB43-0762-46EA-B9FA-24B2676CAA33}" xr6:coauthVersionLast="47" xr6:coauthVersionMax="47" xr10:uidLastSave="{00000000-0000-0000-0000-000000000000}"/>
  <bookViews>
    <workbookView xWindow="-28920" yWindow="-270" windowWidth="29040" windowHeight="1584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input'!$A$1:$H$34</definedName>
    <definedName name="_xlnm.Print_Area" localSheetId="1">Guide!$A$1:$E$23</definedName>
    <definedName name="_xlnm.Print_Area" localSheetId="2">'Population selection'!$B$10:$J$23</definedName>
    <definedName name="_xlnm.Print_Area" localSheetId="6">'Resource impact over time'!$A$1:$W$96</definedName>
    <definedName name="_xlnm.Print_Area" localSheetId="5">'Resource impact template'!$A$1:$I$63</definedName>
    <definedName name="_xlnm.Print_Area" localSheetId="4">'Unit costs'!$A$1:$M$57</definedName>
    <definedName name="_xlnm.Print_Titles" localSheetId="3">'Assumptions input'!$1:$1</definedName>
    <definedName name="Text72" localSheetId="1">Guide!$C$24</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42" l="1"/>
  <c r="T96" i="42"/>
  <c r="W66" i="42"/>
  <c r="T66" i="42"/>
  <c r="O66" i="42"/>
  <c r="P66" i="42"/>
  <c r="Q66" i="42"/>
  <c r="R66" i="42"/>
  <c r="U66" i="42"/>
  <c r="V66" i="42"/>
  <c r="I66" i="42"/>
  <c r="J66" i="42"/>
  <c r="H66" i="42"/>
  <c r="H62" i="41"/>
  <c r="G62" i="41"/>
  <c r="H60" i="41"/>
  <c r="G60" i="41"/>
  <c r="H58" i="41"/>
  <c r="G58" i="41"/>
  <c r="I28" i="41"/>
  <c r="H28" i="41"/>
  <c r="G28" i="41"/>
  <c r="B52" i="41"/>
  <c r="B53" i="41"/>
  <c r="B54" i="41"/>
  <c r="B51" i="41"/>
  <c r="B25" i="41"/>
  <c r="B26" i="41"/>
  <c r="B27" i="41"/>
  <c r="B24" i="41"/>
  <c r="I90" i="42"/>
  <c r="G90" i="42"/>
  <c r="F90" i="42"/>
  <c r="E90" i="42"/>
  <c r="M185" i="21"/>
  <c r="M192" i="21"/>
  <c r="G76" i="21"/>
  <c r="B27" i="40"/>
  <c r="D27" i="40"/>
  <c r="M138" i="21" l="1"/>
  <c r="G189" i="21"/>
  <c r="F189" i="21"/>
  <c r="G172" i="21"/>
  <c r="K165" i="21"/>
  <c r="G165" i="21"/>
  <c r="G130" i="21"/>
  <c r="G129" i="21"/>
  <c r="G184" i="21"/>
  <c r="I184" i="21" s="1"/>
  <c r="G183" i="21"/>
  <c r="I183" i="21" s="1"/>
  <c r="H103" i="21"/>
  <c r="H104" i="21"/>
  <c r="J130" i="21" l="1"/>
  <c r="F130" i="21"/>
  <c r="I130" i="21" s="1"/>
  <c r="J129" i="21"/>
  <c r="F129" i="21"/>
  <c r="F183" i="21"/>
  <c r="K183" i="21" s="1"/>
  <c r="J184" i="21"/>
  <c r="J183" i="21"/>
  <c r="K129" i="21" l="1"/>
  <c r="M129" i="21" s="1"/>
  <c r="I129" i="21"/>
  <c r="K130" i="21"/>
  <c r="M130" i="21" s="1"/>
  <c r="M131" i="21" l="1"/>
  <c r="N90" i="42" l="1"/>
  <c r="N63" i="42"/>
  <c r="I40" i="42"/>
  <c r="J40" i="42"/>
  <c r="K40" i="42"/>
  <c r="L40" i="42"/>
  <c r="H40" i="42"/>
  <c r="I39" i="42"/>
  <c r="J39" i="42"/>
  <c r="K39" i="42"/>
  <c r="L39" i="42"/>
  <c r="H39" i="42"/>
  <c r="I38" i="42"/>
  <c r="J38" i="42"/>
  <c r="K38" i="42"/>
  <c r="L38" i="42"/>
  <c r="H38" i="42"/>
  <c r="D40" i="42"/>
  <c r="E40" i="42"/>
  <c r="F40" i="42"/>
  <c r="G40" i="42"/>
  <c r="C40" i="42"/>
  <c r="D39" i="42"/>
  <c r="E39" i="42"/>
  <c r="F39" i="42"/>
  <c r="G39" i="42"/>
  <c r="C39" i="42"/>
  <c r="D38" i="42"/>
  <c r="E38" i="42"/>
  <c r="F38" i="42"/>
  <c r="G38" i="42"/>
  <c r="C38" i="42"/>
  <c r="A26" i="41"/>
  <c r="A53" i="41" s="1"/>
  <c r="A27" i="41"/>
  <c r="A54" i="41" s="1"/>
  <c r="A23" i="41"/>
  <c r="A50" i="41" s="1"/>
  <c r="L197" i="21"/>
  <c r="L198" i="21" s="1"/>
  <c r="I189" i="21"/>
  <c r="K189" i="21" s="1"/>
  <c r="M189" i="21" s="1"/>
  <c r="F184" i="21"/>
  <c r="K184" i="21" s="1"/>
  <c r="F172" i="21"/>
  <c r="I172" i="21" s="1"/>
  <c r="K172" i="21" s="1"/>
  <c r="M172" i="21" s="1"/>
  <c r="F165" i="21"/>
  <c r="I165" i="21" s="1"/>
  <c r="M165" i="21" s="1"/>
  <c r="L160" i="21"/>
  <c r="L159" i="21"/>
  <c r="G154" i="21"/>
  <c r="H154" i="21" s="1"/>
  <c r="J154" i="21" s="1"/>
  <c r="L154" i="21" s="1"/>
  <c r="G153" i="21"/>
  <c r="H153" i="21" s="1"/>
  <c r="J153" i="21" s="1"/>
  <c r="L153" i="21" s="1"/>
  <c r="G152" i="21"/>
  <c r="H152" i="21" s="1"/>
  <c r="J152" i="21" s="1"/>
  <c r="L152" i="21" s="1"/>
  <c r="G151" i="21"/>
  <c r="H151" i="21" s="1"/>
  <c r="J151" i="21" s="1"/>
  <c r="L151" i="21" s="1"/>
  <c r="G150" i="21"/>
  <c r="H150" i="21" s="1"/>
  <c r="J150" i="21" s="1"/>
  <c r="D145" i="21"/>
  <c r="C145" i="21"/>
  <c r="B145" i="21"/>
  <c r="F144" i="21"/>
  <c r="D144" i="21"/>
  <c r="B90" i="42" l="1"/>
  <c r="S90" i="42" s="1"/>
  <c r="M184" i="21"/>
  <c r="B89" i="42"/>
  <c r="B91" i="42"/>
  <c r="L161" i="21"/>
  <c r="M183" i="21"/>
  <c r="G144" i="21"/>
  <c r="I144" i="21" s="1"/>
  <c r="K144" i="21" s="1"/>
  <c r="M144" i="21" s="1"/>
  <c r="J155" i="21"/>
  <c r="L150" i="21"/>
  <c r="L155" i="21" s="1"/>
  <c r="F145" i="21"/>
  <c r="G145" i="21" s="1"/>
  <c r="I145" i="21" s="1"/>
  <c r="K145" i="21" s="1"/>
  <c r="M145" i="21" s="1"/>
  <c r="B62" i="42" l="1"/>
  <c r="B63" i="42"/>
  <c r="S63" i="42" s="1"/>
  <c r="K146" i="21"/>
  <c r="M146" i="21"/>
  <c r="B64" i="42" l="1"/>
  <c r="A49" i="41"/>
  <c r="A48" i="41"/>
  <c r="A47" i="41"/>
  <c r="A46" i="41"/>
  <c r="A44" i="41"/>
  <c r="A43" i="41"/>
  <c r="A42" i="41"/>
  <c r="A41" i="41"/>
  <c r="A40" i="41"/>
  <c r="A39" i="41"/>
  <c r="A37" i="41"/>
  <c r="A36" i="41"/>
  <c r="A35" i="41"/>
  <c r="A34" i="41"/>
  <c r="A33" i="41"/>
  <c r="A6" i="41"/>
  <c r="A7" i="41"/>
  <c r="A8" i="41"/>
  <c r="A9" i="41"/>
  <c r="A10" i="41"/>
  <c r="A12" i="41"/>
  <c r="A13" i="41"/>
  <c r="A14" i="41"/>
  <c r="A15" i="41"/>
  <c r="A24" i="41" s="1"/>
  <c r="A51" i="41" s="1"/>
  <c r="A16" i="41"/>
  <c r="A25" i="41" s="1"/>
  <c r="A52" i="41" s="1"/>
  <c r="A17" i="41"/>
  <c r="A19" i="41"/>
  <c r="A20" i="41"/>
  <c r="A21" i="41"/>
  <c r="A22" i="41"/>
  <c r="N81" i="42" l="1"/>
  <c r="N74" i="42"/>
  <c r="M135" i="21"/>
  <c r="L82" i="21" l="1"/>
  <c r="L81" i="21"/>
  <c r="N54" i="42"/>
  <c r="N47" i="42"/>
  <c r="AF70" i="42"/>
  <c r="AK70" i="42" s="1"/>
  <c r="AD70" i="42"/>
  <c r="AC70" i="42"/>
  <c r="AB70" i="42"/>
  <c r="AA70" i="42"/>
  <c r="Z70" i="42"/>
  <c r="Y70" i="42"/>
  <c r="M108" i="21"/>
  <c r="E120" i="21"/>
  <c r="F120" i="21" s="1"/>
  <c r="E119" i="21"/>
  <c r="F119" i="21" s="1"/>
  <c r="E118" i="21"/>
  <c r="F118" i="21" s="1"/>
  <c r="H118" i="21" s="1"/>
  <c r="K118" i="21" s="1"/>
  <c r="M118" i="21" s="1"/>
  <c r="E117" i="21"/>
  <c r="F117" i="21" s="1"/>
  <c r="H117" i="21" s="1"/>
  <c r="E116" i="21"/>
  <c r="F116" i="21" s="1"/>
  <c r="H116" i="21" s="1"/>
  <c r="H119" i="21" l="1"/>
  <c r="K119" i="21" s="1"/>
  <c r="M119" i="21" s="1"/>
  <c r="H120" i="21"/>
  <c r="B73" i="42"/>
  <c r="B35" i="41" s="1"/>
  <c r="B80" i="42"/>
  <c r="B42" i="41" s="1"/>
  <c r="B81" i="42"/>
  <c r="B74" i="42"/>
  <c r="K117" i="21"/>
  <c r="M117" i="21" s="1"/>
  <c r="L83" i="21"/>
  <c r="AI70" i="42"/>
  <c r="AG70" i="42"/>
  <c r="AH70" i="42"/>
  <c r="AJ70" i="42"/>
  <c r="K116" i="21"/>
  <c r="C30" i="42"/>
  <c r="D30" i="42"/>
  <c r="E30" i="42"/>
  <c r="F30" i="42"/>
  <c r="G30" i="42"/>
  <c r="H30" i="42"/>
  <c r="I30" i="42"/>
  <c r="J30" i="42"/>
  <c r="K30" i="42"/>
  <c r="L30" i="42"/>
  <c r="C24" i="42"/>
  <c r="D24" i="42"/>
  <c r="E24" i="42"/>
  <c r="F24" i="42"/>
  <c r="G24" i="42"/>
  <c r="H24" i="42"/>
  <c r="I24" i="42"/>
  <c r="J24" i="42"/>
  <c r="K24" i="42"/>
  <c r="L24" i="42"/>
  <c r="E104" i="21"/>
  <c r="F104" i="21" s="1"/>
  <c r="E103" i="21"/>
  <c r="F103" i="21" s="1"/>
  <c r="E102" i="21"/>
  <c r="F102" i="21" s="1"/>
  <c r="E101" i="21"/>
  <c r="F101" i="21" s="1"/>
  <c r="E100" i="21"/>
  <c r="F100" i="21" s="1"/>
  <c r="H100" i="21" s="1"/>
  <c r="E94" i="21"/>
  <c r="F94" i="21" s="1"/>
  <c r="H94" i="21" s="1"/>
  <c r="E93" i="21"/>
  <c r="F93" i="21" s="1"/>
  <c r="H93" i="21" s="1"/>
  <c r="K93" i="21" s="1"/>
  <c r="M93" i="21" s="1"/>
  <c r="E92" i="21"/>
  <c r="F92" i="21" s="1"/>
  <c r="H92" i="21" s="1"/>
  <c r="K92" i="21" s="1"/>
  <c r="M92" i="21" s="1"/>
  <c r="E91" i="21"/>
  <c r="F91" i="21" s="1"/>
  <c r="H91" i="21" s="1"/>
  <c r="E90" i="21"/>
  <c r="F90" i="21" s="1"/>
  <c r="H90" i="21" s="1"/>
  <c r="H76" i="21"/>
  <c r="J76" i="21" s="1"/>
  <c r="L76" i="21" s="1"/>
  <c r="G75" i="21"/>
  <c r="H75" i="21" s="1"/>
  <c r="G74" i="21"/>
  <c r="H74" i="21" s="1"/>
  <c r="G73" i="21"/>
  <c r="H73" i="21" s="1"/>
  <c r="G72" i="21"/>
  <c r="H72" i="21" s="1"/>
  <c r="J72" i="21" s="1"/>
  <c r="D67" i="21"/>
  <c r="C67" i="21"/>
  <c r="B67" i="21"/>
  <c r="F66" i="21"/>
  <c r="D66" i="21"/>
  <c r="J75" i="21" l="1"/>
  <c r="L75" i="21" s="1"/>
  <c r="L74" i="21"/>
  <c r="J74" i="21"/>
  <c r="J73" i="21"/>
  <c r="L73" i="21" s="1"/>
  <c r="H101" i="21"/>
  <c r="K101" i="21" s="1"/>
  <c r="M101" i="21" s="1"/>
  <c r="H102" i="21"/>
  <c r="K102" i="21" s="1"/>
  <c r="M102" i="21" s="1"/>
  <c r="K103" i="21"/>
  <c r="M103" i="21" s="1"/>
  <c r="K104" i="21"/>
  <c r="M104" i="21" s="1"/>
  <c r="H121" i="21"/>
  <c r="B36" i="41"/>
  <c r="S74" i="42"/>
  <c r="K120" i="21"/>
  <c r="M120" i="21" s="1"/>
  <c r="B43" i="41"/>
  <c r="S81" i="42"/>
  <c r="M136" i="21"/>
  <c r="M137" i="21" s="1"/>
  <c r="L137" i="21"/>
  <c r="K94" i="21"/>
  <c r="M94" i="21" s="1"/>
  <c r="K91" i="21"/>
  <c r="M91" i="21" s="1"/>
  <c r="G66" i="21"/>
  <c r="M116" i="21"/>
  <c r="K121" i="21"/>
  <c r="H95" i="21"/>
  <c r="K90" i="21"/>
  <c r="K100" i="21"/>
  <c r="L72" i="21"/>
  <c r="F67" i="21"/>
  <c r="G67" i="21" s="1"/>
  <c r="I67" i="21" s="1"/>
  <c r="K67" i="21" s="1"/>
  <c r="M67" i="21" s="1"/>
  <c r="L77" i="21" l="1"/>
  <c r="J77" i="21"/>
  <c r="I66" i="21"/>
  <c r="K66" i="21" s="1"/>
  <c r="M66" i="21" s="1"/>
  <c r="H105" i="21"/>
  <c r="M121" i="21"/>
  <c r="B60" i="42" s="1"/>
  <c r="B22" i="41" s="1"/>
  <c r="B87" i="42"/>
  <c r="B49" i="41" s="1"/>
  <c r="B54" i="42"/>
  <c r="B47" i="42"/>
  <c r="L110" i="21"/>
  <c r="M109" i="21"/>
  <c r="M110" i="21" s="1"/>
  <c r="M100" i="21"/>
  <c r="M105" i="21" s="1"/>
  <c r="K105" i="21"/>
  <c r="M90" i="21"/>
  <c r="M95" i="21" s="1"/>
  <c r="K95" i="21"/>
  <c r="B46" i="42" l="1"/>
  <c r="B8" i="41" s="1"/>
  <c r="M111" i="21"/>
  <c r="B53" i="42"/>
  <c r="B15" i="41" s="1"/>
  <c r="M68" i="21"/>
  <c r="K68" i="21"/>
  <c r="B65" i="42"/>
  <c r="B92" i="42"/>
  <c r="B55" i="42"/>
  <c r="B17" i="41" s="1"/>
  <c r="B48" i="42"/>
  <c r="B10" i="41" s="1"/>
  <c r="S47" i="42"/>
  <c r="B9" i="41"/>
  <c r="S54" i="42"/>
  <c r="B16" i="41"/>
  <c r="B82" i="42"/>
  <c r="B44" i="41" s="1"/>
  <c r="B75" i="42"/>
  <c r="B37" i="41" s="1"/>
  <c r="L36" i="42"/>
  <c r="K36" i="42"/>
  <c r="J36" i="42"/>
  <c r="I36" i="42"/>
  <c r="H36" i="42"/>
  <c r="L35" i="42"/>
  <c r="K35" i="42"/>
  <c r="J35" i="42"/>
  <c r="I35" i="42"/>
  <c r="H35" i="42"/>
  <c r="L34" i="42"/>
  <c r="K34" i="42"/>
  <c r="J34" i="42"/>
  <c r="I34" i="42"/>
  <c r="H34" i="42"/>
  <c r="L33" i="42"/>
  <c r="K33" i="42"/>
  <c r="J33" i="42"/>
  <c r="I33" i="42"/>
  <c r="H33" i="42"/>
  <c r="L31" i="42"/>
  <c r="K31" i="42"/>
  <c r="J31" i="42"/>
  <c r="I31" i="42"/>
  <c r="H31" i="42"/>
  <c r="L29" i="42"/>
  <c r="K29" i="42"/>
  <c r="J29" i="42"/>
  <c r="I29" i="42"/>
  <c r="H29" i="42"/>
  <c r="L28" i="42"/>
  <c r="K28" i="42"/>
  <c r="J28" i="42"/>
  <c r="I28" i="42"/>
  <c r="H28" i="42"/>
  <c r="L27" i="42"/>
  <c r="K27" i="42"/>
  <c r="J27" i="42"/>
  <c r="I27" i="42"/>
  <c r="H27" i="42"/>
  <c r="L25" i="42"/>
  <c r="K25" i="42"/>
  <c r="J25" i="42"/>
  <c r="I25" i="42"/>
  <c r="H25" i="42"/>
  <c r="D33" i="42"/>
  <c r="E33" i="42"/>
  <c r="F33" i="42"/>
  <c r="G33" i="42"/>
  <c r="D34" i="42"/>
  <c r="E34" i="42"/>
  <c r="F34" i="42"/>
  <c r="G34" i="42"/>
  <c r="D35" i="42"/>
  <c r="E35" i="42"/>
  <c r="F35" i="42"/>
  <c r="G35" i="42"/>
  <c r="D36" i="42"/>
  <c r="E36" i="42"/>
  <c r="F36" i="42"/>
  <c r="G36" i="42"/>
  <c r="C34" i="42"/>
  <c r="C35" i="42"/>
  <c r="C36" i="42"/>
  <c r="C33" i="42"/>
  <c r="C31" i="42"/>
  <c r="D31" i="42"/>
  <c r="E31" i="42"/>
  <c r="F31" i="42"/>
  <c r="G31" i="42"/>
  <c r="D27" i="42"/>
  <c r="E27" i="42"/>
  <c r="F27" i="42"/>
  <c r="G27" i="42"/>
  <c r="D28" i="42"/>
  <c r="E28" i="42"/>
  <c r="F28" i="42"/>
  <c r="G28" i="42"/>
  <c r="D29" i="42"/>
  <c r="E29" i="42"/>
  <c r="F29" i="42"/>
  <c r="G29" i="42"/>
  <c r="C28" i="42"/>
  <c r="C29" i="42"/>
  <c r="C27" i="42"/>
  <c r="D22" i="42"/>
  <c r="E22" i="42"/>
  <c r="F22" i="42"/>
  <c r="G22" i="42"/>
  <c r="D23" i="42"/>
  <c r="E23" i="42"/>
  <c r="F23" i="42"/>
  <c r="G23" i="42"/>
  <c r="D25" i="42"/>
  <c r="E25" i="42"/>
  <c r="F25" i="42"/>
  <c r="G25" i="42"/>
  <c r="C23" i="42"/>
  <c r="C25" i="42"/>
  <c r="E46" i="21" l="1"/>
  <c r="F46" i="21" s="1"/>
  <c r="G46" i="21" s="1"/>
  <c r="I46" i="21" s="1"/>
  <c r="K46" i="21" s="1"/>
  <c r="K51" i="21"/>
  <c r="D57" i="21" s="1"/>
  <c r="K50" i="21"/>
  <c r="D56" i="21" s="1"/>
  <c r="E28" i="21"/>
  <c r="F28" i="21" s="1"/>
  <c r="G28" i="21" s="1"/>
  <c r="K33" i="21"/>
  <c r="D39" i="21" s="1"/>
  <c r="K32" i="21"/>
  <c r="D38" i="21" s="1"/>
  <c r="E8" i="21"/>
  <c r="D40" i="21" l="1"/>
  <c r="D58" i="21"/>
  <c r="L23" i="42"/>
  <c r="K23" i="42"/>
  <c r="J23" i="42"/>
  <c r="H23" i="42"/>
  <c r="I23" i="42"/>
  <c r="K22" i="42"/>
  <c r="J22" i="42"/>
  <c r="L22" i="42"/>
  <c r="I22" i="42"/>
  <c r="H22" i="42"/>
  <c r="B52" i="42"/>
  <c r="B14" i="41" s="1"/>
  <c r="B59" i="42"/>
  <c r="B21" i="41" s="1"/>
  <c r="C56" i="21"/>
  <c r="C57" i="21"/>
  <c r="I28" i="21"/>
  <c r="K28" i="21" s="1"/>
  <c r="K13" i="21"/>
  <c r="D18" i="21" s="1"/>
  <c r="K12" i="21"/>
  <c r="D17" i="21" s="1"/>
  <c r="F8" i="21"/>
  <c r="G8" i="21" s="1"/>
  <c r="C209" i="32"/>
  <c r="B85" i="42" l="1"/>
  <c r="B47" i="41" s="1"/>
  <c r="B78" i="42"/>
  <c r="B40" i="41" s="1"/>
  <c r="B72" i="42"/>
  <c r="B34" i="41" s="1"/>
  <c r="B86" i="42"/>
  <c r="B48" i="41" s="1"/>
  <c r="B79" i="42"/>
  <c r="B41" i="41" s="1"/>
  <c r="D19" i="21"/>
  <c r="C38" i="21"/>
  <c r="B58" i="42"/>
  <c r="B20" i="41" s="1"/>
  <c r="B51" i="42"/>
  <c r="B13" i="41" s="1"/>
  <c r="B45" i="42"/>
  <c r="B7" i="41" s="1"/>
  <c r="C58" i="21"/>
  <c r="C39" i="21"/>
  <c r="I8" i="21"/>
  <c r="B84" i="42" l="1"/>
  <c r="B46" i="41" s="1"/>
  <c r="B71" i="42"/>
  <c r="B33" i="41" s="1"/>
  <c r="B77" i="42"/>
  <c r="B39" i="41" s="1"/>
  <c r="C40" i="21"/>
  <c r="K8" i="21"/>
  <c r="C18" i="21"/>
  <c r="C17" i="21" l="1"/>
  <c r="C19" i="21" s="1"/>
  <c r="B50" i="42"/>
  <c r="B12" i="41" s="1"/>
  <c r="B44" i="42"/>
  <c r="B6" i="41" s="1"/>
  <c r="B57" i="42"/>
  <c r="B19" i="41" s="1"/>
  <c r="AG19" i="42" l="1"/>
  <c r="AH19" i="42"/>
  <c r="AI19" i="42"/>
  <c r="AJ19" i="42"/>
  <c r="AK19" i="42"/>
  <c r="Y43" i="42"/>
  <c r="Z43" i="42"/>
  <c r="AA43" i="42"/>
  <c r="AB43" i="42"/>
  <c r="AC43" i="42"/>
  <c r="AD43" i="42"/>
  <c r="AF43" i="42"/>
  <c r="AH43" i="42" s="1"/>
  <c r="AG67" i="42"/>
  <c r="AH67" i="42"/>
  <c r="AI67" i="42"/>
  <c r="AJ67" i="42"/>
  <c r="AK67" i="42"/>
  <c r="AG43" i="42" l="1"/>
  <c r="AK43" i="42"/>
  <c r="AJ43" i="42"/>
  <c r="AI43"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21" l="1"/>
  <c r="A1" i="4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s="1"/>
  <c r="L13" i="42" l="1"/>
  <c r="F13" i="42"/>
  <c r="K13" i="42"/>
  <c r="C13" i="42"/>
  <c r="J13" i="42"/>
  <c r="I13" i="42"/>
  <c r="H13" i="42"/>
  <c r="G13" i="42"/>
  <c r="E13" i="42"/>
  <c r="D13" i="42"/>
  <c r="C13" i="40"/>
  <c r="E13" i="40" s="1"/>
  <c r="E14" i="40" l="1"/>
  <c r="K22" i="32"/>
  <c r="K14" i="42" l="1"/>
  <c r="L14" i="42"/>
  <c r="H14" i="42"/>
  <c r="J14" i="42"/>
  <c r="E15" i="40"/>
  <c r="E16" i="40" s="1"/>
  <c r="E24" i="40" s="1"/>
  <c r="E25" i="40" s="1"/>
  <c r="I14" i="42"/>
  <c r="J16" i="42" l="1"/>
  <c r="J18" i="42"/>
  <c r="L16" i="42"/>
  <c r="L18" i="42"/>
  <c r="I15" i="42"/>
  <c r="I44" i="42" s="1"/>
  <c r="I18" i="42"/>
  <c r="H15" i="42"/>
  <c r="H44" i="42" s="1"/>
  <c r="H18" i="42"/>
  <c r="K17" i="42"/>
  <c r="K18" i="42"/>
  <c r="H17" i="42"/>
  <c r="L15" i="42"/>
  <c r="L48" i="42" s="1"/>
  <c r="E21" i="40"/>
  <c r="E22" i="40" s="1"/>
  <c r="E47" i="40"/>
  <c r="E45" i="40"/>
  <c r="I17" i="42"/>
  <c r="I16" i="42"/>
  <c r="E46" i="40"/>
  <c r="K15" i="42"/>
  <c r="K16" i="42"/>
  <c r="E44" i="40"/>
  <c r="E18" i="40"/>
  <c r="J17" i="42"/>
  <c r="J15" i="42"/>
  <c r="H16" i="42"/>
  <c r="L17" i="42"/>
  <c r="I48" i="42" l="1"/>
  <c r="I75" i="42" s="1"/>
  <c r="H71" i="42"/>
  <c r="L59" i="42"/>
  <c r="L60" i="42"/>
  <c r="D22" i="41" s="1"/>
  <c r="L57" i="42"/>
  <c r="D19" i="41" s="1"/>
  <c r="L58" i="42"/>
  <c r="L85" i="42" s="1"/>
  <c r="H53" i="42"/>
  <c r="H50" i="42"/>
  <c r="H77" i="42" s="1"/>
  <c r="H52" i="42"/>
  <c r="H51" i="42"/>
  <c r="H55" i="42"/>
  <c r="H82" i="42" s="1"/>
  <c r="I64" i="42"/>
  <c r="I91" i="42" s="1"/>
  <c r="I65" i="42"/>
  <c r="I92" i="42" s="1"/>
  <c r="I62" i="42"/>
  <c r="I89" i="42" s="1"/>
  <c r="J90" i="42" s="1"/>
  <c r="H45" i="42"/>
  <c r="H72" i="42" s="1"/>
  <c r="H48" i="42"/>
  <c r="H75" i="42" s="1"/>
  <c r="L65" i="42"/>
  <c r="L62" i="42"/>
  <c r="L64" i="42"/>
  <c r="J60" i="42"/>
  <c r="J57" i="42"/>
  <c r="J58" i="42"/>
  <c r="J59" i="42"/>
  <c r="I53" i="42"/>
  <c r="I80" i="42" s="1"/>
  <c r="I51" i="42"/>
  <c r="I78" i="42" s="1"/>
  <c r="I52" i="42"/>
  <c r="I50" i="42"/>
  <c r="I77" i="42" s="1"/>
  <c r="I55" i="42"/>
  <c r="I82" i="42" s="1"/>
  <c r="I59" i="42"/>
  <c r="I86" i="42" s="1"/>
  <c r="I58" i="42"/>
  <c r="I85" i="42" s="1"/>
  <c r="I57" i="42"/>
  <c r="I84" i="42" s="1"/>
  <c r="I60" i="42"/>
  <c r="I87" i="42" s="1"/>
  <c r="H60" i="42"/>
  <c r="H87" i="42" s="1"/>
  <c r="H58" i="42"/>
  <c r="H85" i="42" s="1"/>
  <c r="H57" i="42"/>
  <c r="H84" i="42" s="1"/>
  <c r="H59" i="42"/>
  <c r="H86" i="42" s="1"/>
  <c r="L53" i="42"/>
  <c r="L51" i="42"/>
  <c r="D13" i="41" s="1"/>
  <c r="L50" i="42"/>
  <c r="L77" i="42" s="1"/>
  <c r="L52" i="42"/>
  <c r="L79" i="42" s="1"/>
  <c r="L55" i="42"/>
  <c r="D17" i="41" s="1"/>
  <c r="H62" i="42"/>
  <c r="H89" i="42" s="1"/>
  <c r="H65" i="42"/>
  <c r="H92" i="42" s="1"/>
  <c r="H64" i="42"/>
  <c r="H91" i="42" s="1"/>
  <c r="K65" i="42"/>
  <c r="K92" i="42" s="1"/>
  <c r="K64" i="42"/>
  <c r="K91" i="42" s="1"/>
  <c r="K62" i="42"/>
  <c r="K89" i="42" s="1"/>
  <c r="J64" i="42"/>
  <c r="J91" i="42" s="1"/>
  <c r="J65" i="42"/>
  <c r="J92" i="42" s="1"/>
  <c r="J62" i="42"/>
  <c r="J89" i="42" s="1"/>
  <c r="K90" i="42" s="1"/>
  <c r="K53" i="42"/>
  <c r="K50" i="42"/>
  <c r="K51" i="42"/>
  <c r="K55" i="42"/>
  <c r="K52" i="42"/>
  <c r="K57" i="42"/>
  <c r="K59" i="42"/>
  <c r="K60" i="42"/>
  <c r="K58" i="42"/>
  <c r="J53" i="42"/>
  <c r="J55" i="42"/>
  <c r="J50" i="42"/>
  <c r="J52" i="42"/>
  <c r="J51" i="42"/>
  <c r="I46" i="42"/>
  <c r="J47" i="42" s="1"/>
  <c r="I45" i="42"/>
  <c r="I72" i="42" s="1"/>
  <c r="H46" i="42"/>
  <c r="I47" i="42" s="1"/>
  <c r="E19" i="40"/>
  <c r="E33" i="40" s="1"/>
  <c r="E27" i="40"/>
  <c r="L45" i="42"/>
  <c r="L72" i="42" s="1"/>
  <c r="L46" i="42"/>
  <c r="D8" i="41" s="1"/>
  <c r="L44" i="42"/>
  <c r="K48" i="42"/>
  <c r="K46" i="42"/>
  <c r="K44" i="42"/>
  <c r="K45" i="42"/>
  <c r="H78" i="42"/>
  <c r="E40" i="40"/>
  <c r="E39" i="40"/>
  <c r="E37" i="40"/>
  <c r="E41" i="40"/>
  <c r="E38" i="40"/>
  <c r="J44" i="42"/>
  <c r="J45" i="42"/>
  <c r="J46" i="42"/>
  <c r="J48" i="42"/>
  <c r="L75" i="42"/>
  <c r="D10" i="41"/>
  <c r="I71" i="42"/>
  <c r="I79" i="42"/>
  <c r="L87" i="42" l="1"/>
  <c r="L82" i="42"/>
  <c r="D44" i="41" s="1"/>
  <c r="I73" i="42"/>
  <c r="D12" i="41"/>
  <c r="E28" i="40"/>
  <c r="L90" i="42"/>
  <c r="D14" i="41"/>
  <c r="H14" i="41" s="1"/>
  <c r="J54" i="42"/>
  <c r="J81" i="42" s="1"/>
  <c r="D26" i="41"/>
  <c r="L91" i="42"/>
  <c r="D7" i="41"/>
  <c r="H7" i="41" s="1"/>
  <c r="D24" i="41"/>
  <c r="L89" i="42"/>
  <c r="L92" i="42"/>
  <c r="D27" i="41"/>
  <c r="I54" i="42"/>
  <c r="I81" i="42" s="1"/>
  <c r="H80" i="42"/>
  <c r="J63" i="42"/>
  <c r="L78" i="42"/>
  <c r="D40" i="41" s="1"/>
  <c r="K63" i="42"/>
  <c r="I63" i="42"/>
  <c r="D6" i="41"/>
  <c r="H6" i="41" s="1"/>
  <c r="L63" i="42"/>
  <c r="D25" i="41" s="1"/>
  <c r="H73" i="42"/>
  <c r="H79" i="42"/>
  <c r="E34" i="40"/>
  <c r="E31" i="40"/>
  <c r="L84" i="42"/>
  <c r="D46" i="41" s="1"/>
  <c r="E32" i="40"/>
  <c r="L71" i="42"/>
  <c r="L73" i="42"/>
  <c r="D35" i="41" s="1"/>
  <c r="E51" i="40"/>
  <c r="E50" i="40"/>
  <c r="E52" i="40"/>
  <c r="D20" i="41"/>
  <c r="H20" i="41" s="1"/>
  <c r="D15" i="41"/>
  <c r="L80" i="42"/>
  <c r="L86" i="42"/>
  <c r="D21" i="41"/>
  <c r="D49" i="41"/>
  <c r="H10" i="41"/>
  <c r="J84" i="42"/>
  <c r="K85" i="42"/>
  <c r="K71" i="42"/>
  <c r="K86" i="42"/>
  <c r="H22" i="41"/>
  <c r="J82" i="42"/>
  <c r="K79" i="42"/>
  <c r="L47" i="42"/>
  <c r="K73" i="42"/>
  <c r="D37" i="41"/>
  <c r="J86" i="42"/>
  <c r="K77" i="42"/>
  <c r="K84" i="42"/>
  <c r="K72" i="42"/>
  <c r="K82" i="42"/>
  <c r="I74" i="42"/>
  <c r="D34" i="41"/>
  <c r="J79" i="42"/>
  <c r="H17" i="41"/>
  <c r="J75" i="42"/>
  <c r="J72" i="42"/>
  <c r="J74" i="42"/>
  <c r="K78" i="42"/>
  <c r="K75" i="42"/>
  <c r="J77" i="42"/>
  <c r="D41" i="41"/>
  <c r="K54" i="42"/>
  <c r="J80" i="42"/>
  <c r="J71" i="42"/>
  <c r="K87" i="42"/>
  <c r="J85" i="42"/>
  <c r="H8" i="41"/>
  <c r="D47" i="41"/>
  <c r="H13" i="41"/>
  <c r="J78" i="42"/>
  <c r="D39" i="41"/>
  <c r="H12" i="41"/>
  <c r="H19" i="41"/>
  <c r="J73" i="42"/>
  <c r="K47" i="42"/>
  <c r="J87" i="42"/>
  <c r="L54" i="42"/>
  <c r="K80" i="42"/>
  <c r="K66" i="42" l="1"/>
  <c r="H93" i="42"/>
  <c r="I93" i="42"/>
  <c r="L66" i="42"/>
  <c r="D33" i="41"/>
  <c r="H33" i="41" s="1"/>
  <c r="H25" i="41"/>
  <c r="J93" i="42"/>
  <c r="H27" i="41"/>
  <c r="D53" i="41"/>
  <c r="D54" i="41"/>
  <c r="H26" i="41"/>
  <c r="D51" i="41"/>
  <c r="D52" i="41"/>
  <c r="H24" i="41"/>
  <c r="H21" i="41"/>
  <c r="D42" i="41"/>
  <c r="D48" i="41"/>
  <c r="H15" i="41"/>
  <c r="H46" i="41"/>
  <c r="H37" i="41"/>
  <c r="H47" i="41"/>
  <c r="K81" i="42"/>
  <c r="H40" i="41"/>
  <c r="H39" i="41"/>
  <c r="H34" i="41"/>
  <c r="D9" i="41"/>
  <c r="L74" i="42"/>
  <c r="H44" i="41"/>
  <c r="H41" i="41"/>
  <c r="H35" i="41"/>
  <c r="H49" i="41"/>
  <c r="D16" i="41"/>
  <c r="L81" i="42"/>
  <c r="K74" i="42"/>
  <c r="L93" i="42" l="1"/>
  <c r="K93" i="42"/>
  <c r="H54" i="41"/>
  <c r="H52" i="41"/>
  <c r="H51" i="41"/>
  <c r="H53" i="41"/>
  <c r="H48" i="41"/>
  <c r="H42" i="41"/>
  <c r="D36" i="41"/>
  <c r="H9" i="41"/>
  <c r="H16" i="41"/>
  <c r="D43" i="41"/>
  <c r="H43" i="41" l="1"/>
  <c r="H36" i="41"/>
  <c r="H55" i="41" l="1"/>
  <c r="G14" i="42" l="1"/>
  <c r="E14" i="42"/>
  <c r="F14" i="42"/>
  <c r="F18" i="42" s="1"/>
  <c r="D14" i="42"/>
  <c r="C15" i="40"/>
  <c r="C16" i="40" s="1"/>
  <c r="C14" i="42"/>
  <c r="F64" i="42" l="1"/>
  <c r="F62" i="42"/>
  <c r="F89" i="42" s="1"/>
  <c r="F65" i="42"/>
  <c r="C18" i="42"/>
  <c r="C15" i="42"/>
  <c r="C46" i="42" s="1"/>
  <c r="D47" i="42" s="1"/>
  <c r="C17" i="42"/>
  <c r="E15" i="42"/>
  <c r="E48" i="42" s="1"/>
  <c r="E18" i="42"/>
  <c r="D17" i="42"/>
  <c r="D18" i="42"/>
  <c r="G17" i="42"/>
  <c r="G18" i="42"/>
  <c r="C16" i="42"/>
  <c r="C24" i="40"/>
  <c r="C25" i="40" s="1"/>
  <c r="C18" i="40"/>
  <c r="C27" i="40" s="1"/>
  <c r="F16" i="42"/>
  <c r="F17" i="42"/>
  <c r="C21" i="40"/>
  <c r="C22" i="40" s="1"/>
  <c r="F15" i="42"/>
  <c r="E16" i="42"/>
  <c r="G15" i="42"/>
  <c r="D16" i="42"/>
  <c r="E17" i="42"/>
  <c r="D15" i="42"/>
  <c r="G16" i="42"/>
  <c r="E44" i="42" l="1"/>
  <c r="P44" i="42" s="1"/>
  <c r="C48" i="42"/>
  <c r="C75" i="42" s="1"/>
  <c r="N75" i="42" s="1"/>
  <c r="S75" i="42" s="1"/>
  <c r="C44" i="42"/>
  <c r="N44" i="42" s="1"/>
  <c r="N66" i="42" s="1"/>
  <c r="Q89" i="42"/>
  <c r="V89" i="42" s="1"/>
  <c r="Q65" i="42"/>
  <c r="V65" i="42" s="1"/>
  <c r="F92" i="42"/>
  <c r="Q92" i="42" s="1"/>
  <c r="V92" i="42" s="1"/>
  <c r="Q64" i="42"/>
  <c r="V64" i="42" s="1"/>
  <c r="F91" i="42"/>
  <c r="Q91" i="42" s="1"/>
  <c r="V91" i="42" s="1"/>
  <c r="F58" i="42"/>
  <c r="F57" i="42"/>
  <c r="F60" i="42"/>
  <c r="F59" i="42"/>
  <c r="E65" i="42"/>
  <c r="E62" i="42"/>
  <c r="E89" i="42" s="1"/>
  <c r="E64" i="42"/>
  <c r="E60" i="42"/>
  <c r="P60" i="42" s="1"/>
  <c r="U60" i="42" s="1"/>
  <c r="E58" i="42"/>
  <c r="E85" i="42" s="1"/>
  <c r="P85" i="42" s="1"/>
  <c r="U85" i="42" s="1"/>
  <c r="E59" i="42"/>
  <c r="P59" i="42" s="1"/>
  <c r="U59" i="42" s="1"/>
  <c r="E57" i="42"/>
  <c r="E84" i="42" s="1"/>
  <c r="P84" i="42" s="1"/>
  <c r="U84" i="42" s="1"/>
  <c r="F53" i="42"/>
  <c r="F52" i="42"/>
  <c r="F50" i="42"/>
  <c r="F51" i="42"/>
  <c r="F55" i="42"/>
  <c r="C44" i="40"/>
  <c r="C47" i="40"/>
  <c r="C62" i="42"/>
  <c r="C89" i="42" s="1"/>
  <c r="C65" i="42"/>
  <c r="C64" i="42"/>
  <c r="G53" i="42"/>
  <c r="G51" i="42"/>
  <c r="G55" i="42"/>
  <c r="G52" i="42"/>
  <c r="G50" i="42"/>
  <c r="D53" i="42"/>
  <c r="D52" i="42"/>
  <c r="D51" i="42"/>
  <c r="D55" i="42"/>
  <c r="D50" i="42"/>
  <c r="C58" i="42"/>
  <c r="C85" i="42" s="1"/>
  <c r="N85" i="42" s="1"/>
  <c r="S85" i="42" s="1"/>
  <c r="C60" i="42"/>
  <c r="N60" i="42" s="1"/>
  <c r="S60" i="42" s="1"/>
  <c r="C57" i="42"/>
  <c r="C84" i="42" s="1"/>
  <c r="N84" i="42" s="1"/>
  <c r="S84" i="42" s="1"/>
  <c r="C59" i="42"/>
  <c r="N59" i="42" s="1"/>
  <c r="S59" i="42" s="1"/>
  <c r="C45" i="42"/>
  <c r="C72" i="42" s="1"/>
  <c r="N72" i="42" s="1"/>
  <c r="S72" i="42" s="1"/>
  <c r="G64" i="42"/>
  <c r="G65" i="42"/>
  <c r="G62" i="42"/>
  <c r="G57" i="42"/>
  <c r="G59" i="42"/>
  <c r="G58" i="42"/>
  <c r="G60" i="42"/>
  <c r="C53" i="42"/>
  <c r="C80" i="42" s="1"/>
  <c r="N80" i="42" s="1"/>
  <c r="S80" i="42" s="1"/>
  <c r="C52" i="42"/>
  <c r="N52" i="42" s="1"/>
  <c r="S52" i="42" s="1"/>
  <c r="C55" i="42"/>
  <c r="C82" i="42" s="1"/>
  <c r="N82" i="42" s="1"/>
  <c r="S82" i="42" s="1"/>
  <c r="C50" i="42"/>
  <c r="C51" i="42"/>
  <c r="C78" i="42" s="1"/>
  <c r="N78" i="42" s="1"/>
  <c r="S78" i="42" s="1"/>
  <c r="E53" i="42"/>
  <c r="F54" i="42" s="1"/>
  <c r="E55" i="42"/>
  <c r="E82" i="42" s="1"/>
  <c r="P82" i="42" s="1"/>
  <c r="U82" i="42" s="1"/>
  <c r="E51" i="42"/>
  <c r="E50" i="42"/>
  <c r="P50" i="42" s="1"/>
  <c r="U50" i="42" s="1"/>
  <c r="E52" i="42"/>
  <c r="E79" i="42" s="1"/>
  <c r="P79" i="42" s="1"/>
  <c r="U79" i="42" s="1"/>
  <c r="D65" i="42"/>
  <c r="D64" i="42"/>
  <c r="D62" i="42"/>
  <c r="D89" i="42" s="1"/>
  <c r="G63" i="42"/>
  <c r="Q62" i="42"/>
  <c r="V62" i="42" s="1"/>
  <c r="D59" i="42"/>
  <c r="D57" i="42"/>
  <c r="D60" i="42"/>
  <c r="D58" i="42"/>
  <c r="E45" i="42"/>
  <c r="P45" i="42" s="1"/>
  <c r="U45" i="42" s="1"/>
  <c r="E46" i="42"/>
  <c r="P46" i="42" s="1"/>
  <c r="U46" i="42" s="1"/>
  <c r="C19" i="40"/>
  <c r="C31" i="40" s="1"/>
  <c r="C45" i="40"/>
  <c r="C46" i="40"/>
  <c r="G45" i="42"/>
  <c r="G46" i="42"/>
  <c r="G44" i="42"/>
  <c r="G48" i="42"/>
  <c r="D44" i="42"/>
  <c r="D45" i="42"/>
  <c r="D46" i="42"/>
  <c r="E47" i="42" s="1"/>
  <c r="D48" i="42"/>
  <c r="C73" i="42"/>
  <c r="N73" i="42" s="1"/>
  <c r="S73" i="42" s="1"/>
  <c r="N46" i="42"/>
  <c r="S46" i="42" s="1"/>
  <c r="E75" i="42"/>
  <c r="P75" i="42" s="1"/>
  <c r="U75" i="42" s="1"/>
  <c r="P48" i="42"/>
  <c r="U48" i="42" s="1"/>
  <c r="F46" i="42"/>
  <c r="F44" i="42"/>
  <c r="F45" i="42"/>
  <c r="F48" i="42"/>
  <c r="C40" i="40"/>
  <c r="C37" i="40"/>
  <c r="C39" i="40"/>
  <c r="C41" i="40"/>
  <c r="C38" i="40"/>
  <c r="E71" i="42"/>
  <c r="C86" i="42" l="1"/>
  <c r="N86" i="42" s="1"/>
  <c r="S86" i="42" s="1"/>
  <c r="P57" i="42"/>
  <c r="U57" i="42" s="1"/>
  <c r="C71" i="42"/>
  <c r="N71" i="42" s="1"/>
  <c r="N53" i="42"/>
  <c r="S53" i="42" s="1"/>
  <c r="E77" i="42"/>
  <c r="P77" i="42" s="1"/>
  <c r="U77" i="42" s="1"/>
  <c r="D54" i="42"/>
  <c r="D81" i="42" s="1"/>
  <c r="O81" i="42" s="1"/>
  <c r="T81" i="42" s="1"/>
  <c r="P53" i="42"/>
  <c r="U53" i="42" s="1"/>
  <c r="E80" i="42"/>
  <c r="P80" i="42" s="1"/>
  <c r="U80" i="42" s="1"/>
  <c r="N48" i="42"/>
  <c r="S48" i="42" s="1"/>
  <c r="P58" i="42"/>
  <c r="U58" i="42" s="1"/>
  <c r="N55" i="42"/>
  <c r="S55" i="42" s="1"/>
  <c r="E87" i="42"/>
  <c r="P87" i="42" s="1"/>
  <c r="U87" i="42" s="1"/>
  <c r="N51" i="42"/>
  <c r="S51" i="42" s="1"/>
  <c r="N45" i="42"/>
  <c r="S45" i="42" s="1"/>
  <c r="E72" i="42"/>
  <c r="P72" i="42" s="1"/>
  <c r="U72" i="42" s="1"/>
  <c r="R63" i="42"/>
  <c r="W63" i="42" s="1"/>
  <c r="C25" i="41"/>
  <c r="O89" i="42"/>
  <c r="T89" i="42" s="1"/>
  <c r="P90" i="42"/>
  <c r="U90" i="42" s="1"/>
  <c r="O64" i="42"/>
  <c r="T64" i="42" s="1"/>
  <c r="D91" i="42"/>
  <c r="O91" i="42" s="1"/>
  <c r="T91" i="42" s="1"/>
  <c r="C66" i="42"/>
  <c r="AF66" i="42" s="1"/>
  <c r="R62" i="42"/>
  <c r="W62" i="42" s="1"/>
  <c r="G89" i="42"/>
  <c r="C24" i="41"/>
  <c r="P64" i="42"/>
  <c r="U64" i="42" s="1"/>
  <c r="E91" i="42"/>
  <c r="P91" i="42" s="1"/>
  <c r="U91" i="42" s="1"/>
  <c r="O65" i="42"/>
  <c r="T65" i="42" s="1"/>
  <c r="D92" i="42"/>
  <c r="O92" i="42" s="1"/>
  <c r="T92" i="42" s="1"/>
  <c r="R65" i="42"/>
  <c r="W65" i="42" s="1"/>
  <c r="G92" i="42"/>
  <c r="C27" i="41"/>
  <c r="P89" i="42"/>
  <c r="U89" i="42" s="1"/>
  <c r="Q90" i="42"/>
  <c r="V90" i="42" s="1"/>
  <c r="R64" i="42"/>
  <c r="W64" i="42" s="1"/>
  <c r="G91" i="42"/>
  <c r="C26" i="41"/>
  <c r="N64" i="42"/>
  <c r="S64" i="42" s="1"/>
  <c r="C91" i="42"/>
  <c r="N91" i="42" s="1"/>
  <c r="S91" i="42" s="1"/>
  <c r="P65" i="42"/>
  <c r="U65" i="42" s="1"/>
  <c r="E92" i="42"/>
  <c r="P92" i="42" s="1"/>
  <c r="U92" i="42" s="1"/>
  <c r="N57" i="42"/>
  <c r="S57" i="42" s="1"/>
  <c r="P55" i="42"/>
  <c r="U55" i="42" s="1"/>
  <c r="N65" i="42"/>
  <c r="S65" i="42" s="1"/>
  <c r="C92" i="42"/>
  <c r="N92" i="42" s="1"/>
  <c r="S92" i="42" s="1"/>
  <c r="E73" i="42"/>
  <c r="P73" i="42" s="1"/>
  <c r="U73" i="42" s="1"/>
  <c r="D90" i="42"/>
  <c r="O90" i="42" s="1"/>
  <c r="T90" i="42" s="1"/>
  <c r="N89" i="42"/>
  <c r="S89" i="42" s="1"/>
  <c r="C52" i="41"/>
  <c r="R90" i="42"/>
  <c r="W90" i="42" s="1"/>
  <c r="F63" i="42"/>
  <c r="Q63" i="42" s="1"/>
  <c r="V63" i="42" s="1"/>
  <c r="P62" i="42"/>
  <c r="U62" i="42" s="1"/>
  <c r="N58" i="42"/>
  <c r="S58" i="42" s="1"/>
  <c r="C77" i="42"/>
  <c r="N77" i="42" s="1"/>
  <c r="S77" i="42" s="1"/>
  <c r="N50" i="42"/>
  <c r="S50" i="42" s="1"/>
  <c r="C34" i="40"/>
  <c r="E78" i="42"/>
  <c r="P78" i="42" s="1"/>
  <c r="U78" i="42" s="1"/>
  <c r="P51" i="42"/>
  <c r="U51" i="42" s="1"/>
  <c r="C33" i="40"/>
  <c r="D63" i="42"/>
  <c r="O63" i="42" s="1"/>
  <c r="T63" i="42" s="1"/>
  <c r="N62" i="42"/>
  <c r="S62" i="42" s="1"/>
  <c r="F47" i="42"/>
  <c r="F74" i="42" s="1"/>
  <c r="Q74" i="42" s="1"/>
  <c r="V74" i="42" s="1"/>
  <c r="C79" i="42"/>
  <c r="N79" i="42" s="1"/>
  <c r="S79" i="42" s="1"/>
  <c r="C87" i="42"/>
  <c r="N87" i="42" s="1"/>
  <c r="S87" i="42" s="1"/>
  <c r="E63" i="42"/>
  <c r="P63" i="42" s="1"/>
  <c r="U63" i="42" s="1"/>
  <c r="O62" i="42"/>
  <c r="T62" i="42" s="1"/>
  <c r="P52" i="42"/>
  <c r="U52" i="42" s="1"/>
  <c r="E86" i="42"/>
  <c r="P86" i="42" s="1"/>
  <c r="U86" i="42" s="1"/>
  <c r="C32" i="40"/>
  <c r="C28" i="40"/>
  <c r="C51" i="40"/>
  <c r="C52" i="40"/>
  <c r="C50" i="40"/>
  <c r="D74" i="42"/>
  <c r="O74" i="42" s="1"/>
  <c r="T74" i="42" s="1"/>
  <c r="O47" i="42"/>
  <c r="T47" i="42" s="1"/>
  <c r="E54" i="42"/>
  <c r="O53" i="42"/>
  <c r="T53" i="42" s="1"/>
  <c r="D80" i="42"/>
  <c r="O80" i="42" s="1"/>
  <c r="T80" i="42" s="1"/>
  <c r="F86" i="42"/>
  <c r="Q86" i="42" s="1"/>
  <c r="V86" i="42" s="1"/>
  <c r="Q59" i="42"/>
  <c r="V59" i="42" s="1"/>
  <c r="Q60" i="42"/>
  <c r="V60" i="42" s="1"/>
  <c r="F87" i="42"/>
  <c r="Q87" i="42" s="1"/>
  <c r="V87" i="42" s="1"/>
  <c r="D85" i="42"/>
  <c r="O85" i="42" s="1"/>
  <c r="T85" i="42" s="1"/>
  <c r="O58" i="42"/>
  <c r="T58" i="42" s="1"/>
  <c r="O59" i="42"/>
  <c r="T59" i="42" s="1"/>
  <c r="D86" i="42"/>
  <c r="O86" i="42" s="1"/>
  <c r="T86" i="42" s="1"/>
  <c r="F81" i="42"/>
  <c r="Q81" i="42" s="1"/>
  <c r="V81" i="42" s="1"/>
  <c r="Q54" i="42"/>
  <c r="V54" i="42" s="1"/>
  <c r="G84" i="42"/>
  <c r="C19" i="41"/>
  <c r="R57" i="42"/>
  <c r="W57" i="42" s="1"/>
  <c r="R50" i="42"/>
  <c r="W50" i="42" s="1"/>
  <c r="G77" i="42"/>
  <c r="C12" i="41"/>
  <c r="S44" i="42"/>
  <c r="S66" i="42" s="1"/>
  <c r="O60" i="42"/>
  <c r="T60" i="42" s="1"/>
  <c r="D87" i="42"/>
  <c r="O87" i="42" s="1"/>
  <c r="T87" i="42" s="1"/>
  <c r="G85" i="42"/>
  <c r="R58" i="42"/>
  <c r="W58" i="42" s="1"/>
  <c r="C20" i="41"/>
  <c r="G86" i="42"/>
  <c r="R59" i="42"/>
  <c r="W59" i="42" s="1"/>
  <c r="C21" i="41"/>
  <c r="O48" i="42"/>
  <c r="T48" i="42" s="1"/>
  <c r="D75" i="42"/>
  <c r="O75" i="42" s="1"/>
  <c r="T75" i="42" s="1"/>
  <c r="C17" i="41"/>
  <c r="R55" i="42"/>
  <c r="W55" i="42" s="1"/>
  <c r="G82" i="42"/>
  <c r="G47" i="42"/>
  <c r="Q46" i="42"/>
  <c r="V46" i="42" s="1"/>
  <c r="F73" i="42"/>
  <c r="Q73" i="42" s="1"/>
  <c r="V73" i="42" s="1"/>
  <c r="D79" i="42"/>
  <c r="O79" i="42" s="1"/>
  <c r="T79" i="42" s="1"/>
  <c r="O52" i="42"/>
  <c r="T52" i="42" s="1"/>
  <c r="O57" i="42"/>
  <c r="T57" i="42" s="1"/>
  <c r="D84" i="42"/>
  <c r="O84" i="42" s="1"/>
  <c r="T84" i="42" s="1"/>
  <c r="G73" i="42"/>
  <c r="C8" i="41"/>
  <c r="R46" i="42"/>
  <c r="W46" i="42" s="1"/>
  <c r="Q55" i="42"/>
  <c r="V55" i="42" s="1"/>
  <c r="F82" i="42"/>
  <c r="Q82" i="42" s="1"/>
  <c r="V82" i="42" s="1"/>
  <c r="F85" i="42"/>
  <c r="Q85" i="42" s="1"/>
  <c r="V85" i="42" s="1"/>
  <c r="Q58" i="42"/>
  <c r="V58" i="42" s="1"/>
  <c r="O55" i="42"/>
  <c r="T55" i="42" s="1"/>
  <c r="D82" i="42"/>
  <c r="O82" i="42" s="1"/>
  <c r="T82" i="42" s="1"/>
  <c r="G72" i="42"/>
  <c r="C7" i="41"/>
  <c r="R45" i="42"/>
  <c r="W45" i="42" s="1"/>
  <c r="R52" i="42"/>
  <c r="W52" i="42" s="1"/>
  <c r="C14" i="41"/>
  <c r="G79" i="42"/>
  <c r="F75" i="42"/>
  <c r="Q75" i="42" s="1"/>
  <c r="V75" i="42" s="1"/>
  <c r="Q48" i="42"/>
  <c r="V48" i="42" s="1"/>
  <c r="F77" i="42"/>
  <c r="Q77" i="42" s="1"/>
  <c r="V77" i="42" s="1"/>
  <c r="Q50" i="42"/>
  <c r="V50" i="42" s="1"/>
  <c r="D72" i="42"/>
  <c r="O72" i="42" s="1"/>
  <c r="T72" i="42" s="1"/>
  <c r="O45" i="42"/>
  <c r="T45" i="42" s="1"/>
  <c r="C22" i="41"/>
  <c r="R60" i="42"/>
  <c r="W60" i="42" s="1"/>
  <c r="G87" i="42"/>
  <c r="F80" i="42"/>
  <c r="Q80" i="42" s="1"/>
  <c r="V80" i="42" s="1"/>
  <c r="G54" i="42"/>
  <c r="Q53" i="42"/>
  <c r="V53" i="42" s="1"/>
  <c r="F71" i="42"/>
  <c r="Q44" i="42"/>
  <c r="U44" i="42"/>
  <c r="F84" i="42"/>
  <c r="Q84" i="42" s="1"/>
  <c r="V84" i="42" s="1"/>
  <c r="Q57" i="42"/>
  <c r="V57" i="42" s="1"/>
  <c r="D77" i="42"/>
  <c r="O77" i="42" s="1"/>
  <c r="T77" i="42" s="1"/>
  <c r="O50" i="42"/>
  <c r="T50" i="42" s="1"/>
  <c r="R48" i="42"/>
  <c r="W48" i="42" s="1"/>
  <c r="C10" i="41"/>
  <c r="G75" i="42"/>
  <c r="C13" i="41"/>
  <c r="R51" i="42"/>
  <c r="W51" i="42" s="1"/>
  <c r="G78" i="42"/>
  <c r="F72" i="42"/>
  <c r="Q72" i="42" s="1"/>
  <c r="V72" i="42" s="1"/>
  <c r="Q45" i="42"/>
  <c r="V45" i="42" s="1"/>
  <c r="D73" i="42"/>
  <c r="O73" i="42" s="1"/>
  <c r="T73" i="42" s="1"/>
  <c r="O46" i="42"/>
  <c r="T46" i="42" s="1"/>
  <c r="P71" i="42"/>
  <c r="Q52" i="42"/>
  <c r="V52" i="42" s="1"/>
  <c r="F79" i="42"/>
  <c r="Q79" i="42" s="1"/>
  <c r="V79" i="42" s="1"/>
  <c r="F78" i="42"/>
  <c r="Q78" i="42" s="1"/>
  <c r="V78" i="42" s="1"/>
  <c r="Q51" i="42"/>
  <c r="V51" i="42" s="1"/>
  <c r="O51" i="42"/>
  <c r="T51" i="42" s="1"/>
  <c r="D78" i="42"/>
  <c r="O78" i="42" s="1"/>
  <c r="T78" i="42" s="1"/>
  <c r="O44" i="42"/>
  <c r="D71" i="42"/>
  <c r="C6" i="41"/>
  <c r="G71" i="42"/>
  <c r="R44" i="42"/>
  <c r="R53" i="42"/>
  <c r="W53" i="42" s="1"/>
  <c r="G80" i="42"/>
  <c r="C15" i="41"/>
  <c r="S98" i="42" l="1"/>
  <c r="O54" i="42"/>
  <c r="T54" i="42" s="1"/>
  <c r="Q47" i="42"/>
  <c r="V47" i="42" s="1"/>
  <c r="G66" i="42"/>
  <c r="E66" i="42"/>
  <c r="N93" i="42"/>
  <c r="F93" i="42"/>
  <c r="Y66" i="42"/>
  <c r="G26" i="41"/>
  <c r="I26" i="41" s="1"/>
  <c r="E26" i="41"/>
  <c r="C53" i="41"/>
  <c r="R91" i="42"/>
  <c r="W91" i="42" s="1"/>
  <c r="Z66" i="42"/>
  <c r="G52" i="41"/>
  <c r="I52" i="41" s="1"/>
  <c r="E52" i="41"/>
  <c r="G24" i="41"/>
  <c r="I24" i="41" s="1"/>
  <c r="E24" i="41"/>
  <c r="G25" i="41"/>
  <c r="I25" i="41" s="1"/>
  <c r="E25" i="41"/>
  <c r="G27" i="41"/>
  <c r="I27" i="41" s="1"/>
  <c r="E27" i="41"/>
  <c r="C51" i="41"/>
  <c r="R89" i="42"/>
  <c r="W89" i="42" s="1"/>
  <c r="D93" i="42"/>
  <c r="F66" i="42"/>
  <c r="C54" i="41"/>
  <c r="R92" i="42"/>
  <c r="W92" i="42" s="1"/>
  <c r="C93" i="42"/>
  <c r="Y93" i="42" s="1"/>
  <c r="D66" i="42"/>
  <c r="P47" i="42"/>
  <c r="E74" i="42"/>
  <c r="G10" i="41"/>
  <c r="I10" i="41" s="1"/>
  <c r="E10" i="41"/>
  <c r="R87" i="42"/>
  <c r="W87" i="42" s="1"/>
  <c r="C49" i="41"/>
  <c r="E8" i="41"/>
  <c r="G8" i="41"/>
  <c r="I8" i="41" s="1"/>
  <c r="C9" i="41"/>
  <c r="R47" i="42"/>
  <c r="W47" i="42" s="1"/>
  <c r="G74" i="42"/>
  <c r="R86" i="42"/>
  <c r="W86" i="42" s="1"/>
  <c r="C48" i="41"/>
  <c r="E12" i="41"/>
  <c r="G12" i="41"/>
  <c r="I12" i="41" s="1"/>
  <c r="C41" i="41"/>
  <c r="R79" i="42"/>
  <c r="W79" i="42" s="1"/>
  <c r="R73" i="42"/>
  <c r="W73" i="42" s="1"/>
  <c r="C35" i="41"/>
  <c r="C44" i="41"/>
  <c r="R82" i="42"/>
  <c r="W82" i="42" s="1"/>
  <c r="E20" i="41"/>
  <c r="G20" i="41"/>
  <c r="I20" i="41" s="1"/>
  <c r="C39" i="41"/>
  <c r="R77" i="42"/>
  <c r="W77" i="42" s="1"/>
  <c r="G6" i="41"/>
  <c r="E6" i="41"/>
  <c r="O71" i="42"/>
  <c r="O93" i="42" s="1"/>
  <c r="G22" i="41"/>
  <c r="I22" i="41" s="1"/>
  <c r="E22" i="41"/>
  <c r="T44" i="42"/>
  <c r="Q71" i="42"/>
  <c r="Q93" i="42" s="1"/>
  <c r="E17" i="41"/>
  <c r="G17" i="41"/>
  <c r="I17" i="41" s="1"/>
  <c r="C47" i="41"/>
  <c r="R85" i="42"/>
  <c r="W85" i="42" s="1"/>
  <c r="V44" i="42"/>
  <c r="E15" i="41"/>
  <c r="G15" i="41"/>
  <c r="I15" i="41" s="1"/>
  <c r="C40" i="41"/>
  <c r="R78" i="42"/>
  <c r="W78" i="42" s="1"/>
  <c r="G19" i="41"/>
  <c r="I19" i="41" s="1"/>
  <c r="E19" i="41"/>
  <c r="E7" i="41"/>
  <c r="G7" i="41"/>
  <c r="I7" i="41" s="1"/>
  <c r="R84" i="42"/>
  <c r="W84" i="42" s="1"/>
  <c r="C46" i="41"/>
  <c r="E81" i="42"/>
  <c r="P81" i="42" s="1"/>
  <c r="U81" i="42" s="1"/>
  <c r="P54" i="42"/>
  <c r="U54" i="42" s="1"/>
  <c r="G13" i="41"/>
  <c r="I13" i="41" s="1"/>
  <c r="E13" i="41"/>
  <c r="C34" i="41"/>
  <c r="R72" i="42"/>
  <c r="W72" i="42" s="1"/>
  <c r="G21" i="41"/>
  <c r="I21" i="41" s="1"/>
  <c r="E21" i="41"/>
  <c r="E14" i="41"/>
  <c r="G14" i="41"/>
  <c r="I14" i="41" s="1"/>
  <c r="C42" i="41"/>
  <c r="R80" i="42"/>
  <c r="W80" i="42" s="1"/>
  <c r="U71" i="42"/>
  <c r="W44" i="42"/>
  <c r="C16" i="41"/>
  <c r="R54" i="42"/>
  <c r="W54" i="42" s="1"/>
  <c r="G81" i="42"/>
  <c r="R71" i="42"/>
  <c r="C33" i="41"/>
  <c r="S71" i="42"/>
  <c r="R75" i="42"/>
  <c r="W75" i="42" s="1"/>
  <c r="C37" i="41"/>
  <c r="AA66" i="42" l="1"/>
  <c r="AH66" i="42"/>
  <c r="AC66" i="42"/>
  <c r="V98" i="42"/>
  <c r="G93" i="42"/>
  <c r="Z93" i="42"/>
  <c r="AG66" i="42"/>
  <c r="G54" i="41"/>
  <c r="I54" i="41" s="1"/>
  <c r="E54" i="41"/>
  <c r="E93" i="42"/>
  <c r="G53" i="41"/>
  <c r="I53" i="41" s="1"/>
  <c r="E53" i="41"/>
  <c r="G51" i="41"/>
  <c r="I51" i="41" s="1"/>
  <c r="E51" i="41"/>
  <c r="S93" i="42"/>
  <c r="AF93" i="42"/>
  <c r="E33" i="41"/>
  <c r="G33" i="41"/>
  <c r="E34" i="41"/>
  <c r="G34" i="41"/>
  <c r="I34" i="41" s="1"/>
  <c r="AC93" i="42"/>
  <c r="V71" i="42"/>
  <c r="G35" i="41"/>
  <c r="I35" i="41" s="1"/>
  <c r="E35" i="41"/>
  <c r="I6" i="41"/>
  <c r="R74" i="42"/>
  <c r="W74" i="42" s="1"/>
  <c r="C36" i="41"/>
  <c r="R81" i="42"/>
  <c r="W81" i="42" s="1"/>
  <c r="C43" i="41"/>
  <c r="G42" i="41"/>
  <c r="I42" i="41" s="1"/>
  <c r="E42" i="41"/>
  <c r="G39" i="41"/>
  <c r="I39" i="41" s="1"/>
  <c r="E39" i="41"/>
  <c r="G41" i="41"/>
  <c r="I41" i="41" s="1"/>
  <c r="E41" i="41"/>
  <c r="G9" i="41"/>
  <c r="I9" i="41" s="1"/>
  <c r="E9" i="41"/>
  <c r="P74" i="42"/>
  <c r="P93" i="42" s="1"/>
  <c r="U47" i="42"/>
  <c r="AB66" i="42"/>
  <c r="G37" i="41"/>
  <c r="I37" i="41" s="1"/>
  <c r="E37" i="41"/>
  <c r="E47" i="41"/>
  <c r="G47" i="41"/>
  <c r="I47" i="41" s="1"/>
  <c r="E49" i="41"/>
  <c r="G49" i="41"/>
  <c r="I49" i="41" s="1"/>
  <c r="W71" i="42"/>
  <c r="G16" i="41"/>
  <c r="I16" i="41" s="1"/>
  <c r="E16" i="41"/>
  <c r="AD66" i="42"/>
  <c r="G46" i="41"/>
  <c r="I46" i="41" s="1"/>
  <c r="E46" i="41"/>
  <c r="G40" i="41"/>
  <c r="I40" i="41" s="1"/>
  <c r="E40" i="41"/>
  <c r="AA93" i="42"/>
  <c r="T71" i="42"/>
  <c r="G44" i="41"/>
  <c r="I44" i="41" s="1"/>
  <c r="E44" i="41"/>
  <c r="E48" i="41"/>
  <c r="G48" i="41"/>
  <c r="I48" i="41" s="1"/>
  <c r="S100" i="42" l="1"/>
  <c r="S96" i="42"/>
  <c r="T98" i="42"/>
  <c r="AJ66" i="42"/>
  <c r="R93" i="42"/>
  <c r="AD93" i="42" s="1"/>
  <c r="AG93" i="42"/>
  <c r="W93" i="42"/>
  <c r="W96" i="42" s="1"/>
  <c r="V93" i="42"/>
  <c r="V100" i="42" s="1"/>
  <c r="W98" i="42"/>
  <c r="T93" i="42"/>
  <c r="T100" i="42" s="1"/>
  <c r="U98" i="42"/>
  <c r="AI66" i="42"/>
  <c r="U74" i="42"/>
  <c r="AB93" i="42"/>
  <c r="E36" i="41"/>
  <c r="G36" i="41"/>
  <c r="I36" i="41" s="1"/>
  <c r="E43" i="41"/>
  <c r="G43" i="41"/>
  <c r="I43" i="41" s="1"/>
  <c r="AK66" i="42"/>
  <c r="I33" i="41"/>
  <c r="W100" i="42" l="1"/>
  <c r="AH93" i="42"/>
  <c r="V96" i="42"/>
  <c r="I55" i="41"/>
  <c r="I62" i="41" s="1"/>
  <c r="G55" i="41"/>
  <c r="U93" i="42"/>
  <c r="U96" i="42" s="1"/>
  <c r="AJ93" i="42"/>
  <c r="AK93" i="42"/>
  <c r="I60" i="41"/>
  <c r="U100" i="42" l="1"/>
  <c r="AI93" i="42"/>
  <c r="I5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 authorId="0" shapeId="0" xr:uid="{00000000-0006-0000-0600-000001000000}">
      <text>
        <r>
          <rPr>
            <sz val="10"/>
            <color indexed="81"/>
            <rFont val="Tahoma"/>
            <family val="2"/>
          </rPr>
          <t xml:space="preserve">Select your organisation(s) using the dropdown menus in cell B5 and B6.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8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<sst xmlns="http://schemas.openxmlformats.org/spreadsheetml/2006/main" count="2384" uniqueCount="842">
  <si>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</si>
  <si>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</si>
  <si>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</si>
  <si>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</si>
  <si>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</si>
  <si>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</si>
  <si>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</si>
  <si>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</si>
  <si>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</si>
  <si>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</si>
  <si>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</si>
  <si>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</si>
  <si>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</si>
  <si>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</si>
  <si>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</si>
  <si>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</si>
  <si>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</si>
  <si>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</si>
  <si>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</si>
  <si>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</si>
  <si>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</si>
  <si>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</si>
  <si>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</si>
  <si>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</si>
  <si>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</si>
  <si>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</si>
  <si>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</si>
  <si>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</si>
  <si>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</si>
  <si>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</si>
  <si>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</si>
  <si>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</si>
  <si>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</si>
  <si>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</si>
  <si>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</si>
  <si>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</si>
  <si>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</si>
  <si>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</si>
  <si>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</si>
  <si>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</si>
  <si>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</si>
  <si>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</si>
  <si>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</si>
  <si>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</si>
  <si>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</si>
  <si>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</si>
  <si>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</si>
  <si>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</si>
  <si>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</si>
  <si>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</si>
  <si>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</si>
  <si>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</si>
  <si>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</si>
  <si>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</si>
  <si>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</si>
  <si>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</si>
  <si>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</si>
  <si>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</si>
  <si>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</si>
  <si>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</si>
  <si>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</si>
  <si>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</si>
  <si>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</si>
  <si>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</si>
  <si>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</si>
  <si>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</si>
  <si>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</si>
  <si>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</si>
  <si>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</si>
  <si>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</si>
  <si>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</si>
  <si>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</si>
  <si>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</si>
  <si>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</si>
  <si>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</si>
  <si>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</si>
  <si>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</si>
  <si>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</si>
  <si>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</si>
  <si>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</si>
  <si>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</si>
  <si>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</si>
  <si>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</si>
  <si>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</si>
  <si>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</si>
  <si>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</si>
  <si>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</si>
  <si>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</si>
  <si>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</si>
  <si>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</si>
  <si>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</si>
  <si>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</si>
  <si>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</si>
  <si>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</si>
  <si>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</si>
  <si>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</si>
  <si>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</si>
  <si>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</si>
  <si>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</si>
  <si>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</si>
  <si>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</si>
  <si>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</si>
  <si>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</si>
  <si>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</si>
  <si>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</si>
  <si>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</si>
  <si>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</si>
  <si>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</si>
  <si>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</si>
  <si>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</si>
  <si>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</si>
  <si>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</si>
  <si>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</si>
  <si>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</si>
  <si>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</si>
  <si>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</si>
  <si>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</si>
  <si>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</si>
  <si>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</si>
  <si>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</si>
  <si>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</si>
  <si>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</si>
  <si>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</si>
  <si>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</si>
  <si>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</si>
  <si>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</si>
  <si>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</si>
  <si>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</si>
  <si>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</si>
  <si>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</si>
  <si>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</si>
  <si>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</si>
  <si>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</si>
  <si>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</si>
  <si>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</si>
  <si>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</si>
  <si>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</si>
  <si>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</si>
  <si>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</si>
  <si>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</si>
  <si>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</si>
  <si>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</si>
  <si>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</si>
  <si>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</si>
  <si>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</si>
  <si>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</si>
  <si>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</si>
  <si>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</si>
  <si>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</si>
  <si>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</si>
  <si>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</si>
  <si>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</si>
  <si>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</si>
  <si>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</si>
  <si>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</si>
  <si>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</si>
  <si>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</si>
  <si>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</si>
  <si>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</si>
  <si>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</si>
  <si>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</si>
  <si>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</si>
  <si>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</si>
  <si>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</si>
  <si>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</si>
  <si>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</si>
  <si>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</si>
  <si>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</si>
  <si>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</si>
  <si>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</si>
  <si>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</si>
  <si>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</si>
  <si>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</si>
  <si>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</si>
  <si>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</si>
  <si>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</si>
  <si>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</si>
  <si>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</si>
  <si>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</si>
  <si>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</si>
  <si>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</si>
  <si>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</si>
  <si>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</si>
  <si>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</si>
  <si>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</si>
  <si>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</si>
  <si>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</si>
  <si>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</si>
  <si>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</si>
  <si>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</si>
  <si>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</si>
  <si>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</si>
  <si>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</si>
  <si>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</si>
  <si>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</si>
  <si>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</si>
  <si>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</si>
  <si>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</si>
  <si>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</si>
  <si>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</si>
  <si>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</si>
  <si>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</si>
  <si>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</si>
  <si>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</si>
  <si>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</si>
  <si>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</si>
  <si>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</si>
  <si>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</si>
  <si>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</si>
  <si>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</si>
  <si>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</si>
  <si>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</si>
  <si>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</si>
  <si>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</si>
  <si>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</si>
  <si>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</si>
  <si>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</si>
  <si>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</si>
  <si>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</si>
  <si>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</si>
  <si>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</si>
  <si>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</si>
  <si>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</si>
  <si>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</si>
  <si>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</si>
  <si>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</si>
  <si>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</si>
  <si>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</si>
  <si>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</si>
  <si>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</si>
  <si>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</si>
  <si>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</si>
  <si>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</si>
  <si>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</si>
  <si>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</si>
  <si>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</si>
  <si>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</si>
  <si>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</si>
  <si>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</si>
  <si>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</si>
  <si>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</si>
  <si>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</si>
  <si>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</si>
  <si>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</si>
  <si>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</si>
  <si>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</si>
  <si>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</si>
  <si>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</si>
  <si>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</si>
  <si>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</si>
  <si>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</si>
  <si>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</si>
  <si>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</si>
  <si>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</si>
  <si>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</si>
  <si>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</si>
  <si>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</si>
  <si>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</si>
  <si>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</si>
  <si>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</si>
  <si>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</si>
  <si>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</si>
  <si>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</si>
  <si>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</si>
  <si>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</si>
  <si>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</si>
  <si>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</si>
  <si>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</si>
  <si>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</si>
  <si>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</si>
  <si>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</si>
  <si>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</si>
  <si>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</si>
  <si>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</si>
  <si>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</si>
  <si>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</si>
  <si>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</si>
  <si>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</si>
  <si>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</si>
  <si>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</si>
  <si>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</si>
  <si>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</si>
  <si>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</si>
  <si>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</si>
  <si>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</si>
  <si>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</si>
  <si>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</si>
  <si>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</si>
  <si>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</si>
  <si>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</si>
  <si>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</si>
  <si>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</si>
  <si>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</si>
  <si>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</si>
  <si>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</si>
  <si>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</si>
  <si>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</si>
  <si>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</si>
  <si>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</si>
  <si>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</si>
  <si>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</si>
  <si>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</si>
  <si>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</si>
  <si>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</si>
  <si>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</si>
  <si>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</si>
  <si>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</si>
  <si>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</si>
  <si>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</si>
  <si>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</si>
  <si>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</si>
  <si>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</si>
  <si>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</si>
  <si>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</si>
  <si>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</si>
  <si>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</si>
  <si>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</si>
  <si>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</si>
  <si>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</si>
  <si>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</si>
  <si>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</si>
  <si>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</si>
  <si>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</si>
  <si>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</si>
  <si>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</si>
  <si>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</si>
  <si>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</si>
  <si>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</si>
  <si>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</si>
  <si>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</si>
  <si>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</si>
  <si>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</si>
  <si>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</si>
  <si>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</si>
  <si>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</si>
  <si>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</si>
  <si>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</si>
  <si>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</si>
  <si>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</si>
  <si>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</si>
  <si>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</si>
  <si>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</si>
  <si>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</si>
  <si>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</si>
  <si>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</si>
  <si>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</si>
  <si>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</si>
  <si>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</si>
  <si>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</si>
  <si>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</si>
  <si>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</si>
  <si>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</si>
  <si>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</si>
  <si>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</si>
  <si>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</si>
  <si>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</si>
  <si>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</si>
  <si>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</si>
  <si>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</si>
  <si>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</si>
  <si>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</si>
  <si>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</si>
  <si>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</si>
  <si>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</si>
  <si>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</si>
  <si>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</si>
  <si>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</si>
  <si>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</si>
  <si>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</si>
  <si>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</si>
  <si>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</si>
  <si>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</si>
  <si>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</si>
  <si>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</si>
  <si>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</si>
  <si>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</si>
  <si>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</si>
  <si>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</si>
  <si>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</si>
  <si>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</si>
  <si>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</si>
  <si>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</si>
  <si>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</si>
  <si>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</si>
  <si>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</si>
  <si>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</si>
  <si>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</si>
  <si>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</si>
  <si>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</si>
  <si>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</si>
  <si>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</si>
  <si>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</si>
  <si>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</si>
  <si>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</si>
  <si>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</si>
  <si>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</si>
  <si>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</si>
  <si>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</si>
  <si>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</si>
  <si>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</si>
  <si>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</si>
  <si>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</si>
  <si>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</si>
  <si>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</si>
  <si>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</si>
  <si>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</si>
  <si>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</si>
  <si>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</si>
  <si>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</si>
  <si>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</si>
  <si>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</si>
  <si>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</si>
  <si>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</si>
  <si>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</si>
  <si>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</si>
  <si>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</si>
  <si>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</si>
  <si>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</si>
  <si>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</si>
  <si>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</si>
  <si>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</si>
  <si>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</si>
  <si>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</si>
  <si>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</si>
  <si>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</si>
  <si>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</si>
  <si>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</si>
  <si>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</si>
  <si>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</si>
  <si>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</si>
  <si>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</si>
  <si>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</si>
  <si>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</si>
  <si>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</si>
  <si>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</si>
  <si>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</si>
  <si>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</si>
  <si>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</si>
  <si>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</si>
  <si>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</si>
  <si>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</si>
  <si>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</si>
  <si>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</si>
  <si>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</si>
  <si>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</si>
  <si>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</si>
  <si>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</si>
  <si>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</si>
  <si>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</si>
  <si>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</si>
  <si>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</si>
  <si>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</si>
  <si>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</si>
  <si>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</si>
  <si>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</si>
  <si>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</si>
  <si>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</si>
  <si>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</si>
  <si>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</si>
  <si>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</si>
  <si>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</si>
  <si>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</si>
  <si>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</si>
  <si>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</si>
  <si>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</si>
  <si>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</si>
  <si>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</si>
  <si>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</si>
  <si>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</si>
  <si>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</si>
  <si>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</si>
  <si>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</si>
  <si>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</si>
  <si>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</si>
  <si>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</si>
  <si>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</si>
  <si>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</si>
  <si>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</si>
  <si>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</si>
  <si>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</si>
  <si>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</si>
  <si>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</si>
  <si>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</si>
  <si>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</si>
  <si>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</si>
  <si>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</si>
  <si>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</si>
  <si>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</si>
  <si>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</si>
  <si>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</si>
  <si>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</si>
  <si>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</si>
  <si>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</si>
  <si>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</si>
  <si>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</si>
  <si>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</si>
  <si>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</si>
  <si>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</si>
  <si>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</si>
  <si>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</si>
  <si>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</si>
  <si>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</si>
  <si>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</si>
  <si>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</si>
  <si>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</si>
  <si>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</si>
  <si>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</si>
  <si>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</si>
  <si>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</si>
  <si>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</si>
  <si>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</si>
  <si>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</si>
  <si>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</si>
  <si>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</si>
  <si>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</si>
  <si>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</si>
  <si>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</si>
  <si>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</si>
  <si>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</si>
  <si>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</si>
  <si>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</si>
  <si>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</si>
  <si>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</si>
  <si>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</si>
  <si>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</si>
  <si>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</si>
  <si>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</si>
  <si>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</si>
  <si>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</si>
  <si>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</si>
  <si>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</si>
  <si>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</si>
  <si>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</si>
  <si>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</si>
  <si>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</si>
  <si>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</si>
  <si>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</si>
  <si>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</si>
  <si>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</si>
  <si>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</si>
  <si>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</si>
  <si>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</si>
  <si>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</si>
  <si>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</si>
  <si>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</si>
  <si>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</si>
  <si>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</si>
  <si>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</si>
  <si>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</si>
  <si>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</si>
  <si>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</si>
  <si>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</si>
  <si>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</si>
  <si>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</si>
  <si>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</si>
  <si>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</si>
  <si>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</si>
  <si>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</si>
  <si>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</si>
  <si>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</si>
  <si>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</si>
  <si>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</si>
  <si>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</si>
  <si>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</si>
  <si>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</si>
  <si>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</si>
  <si>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</si>
  <si>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</si>
  <si>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</si>
  <si>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</si>
  <si>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</si>
  <si>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</si>
  <si>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</si>
  <si>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</si>
  <si>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</si>
  <si>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</si>
  <si>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</si>
  <si>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</si>
  <si>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</si>
  <si>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</si>
  <si>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</si>
  <si>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</si>
  <si>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</si>
  <si>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</si>
  <si>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</si>
  <si>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</si>
  <si>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</si>
  <si>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</si>
  <si>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</si>
  <si>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</si>
  <si>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</si>
  <si>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</si>
  <si>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</si>
  <si>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</si>
  <si>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</si>
  <si>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</si>
  <si>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</si>
  <si>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</si>
  <si>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</si>
  <si>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</si>
  <si>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</si>
  <si>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</si>
  <si>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</si>
  <si>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</si>
  <si>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</si>
  <si>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</si>
  <si>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</si>
  <si>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 xml:space="preserve">Zanubrutinib for treating chronic lymphocytic leukaemia </t>
  </si>
  <si>
    <t>Assumptions input</t>
  </si>
  <si>
    <t>Proportion of population</t>
  </si>
  <si>
    <t xml:space="preserve">Organisation type </t>
  </si>
  <si>
    <t>Manual input (total population, all ages)</t>
  </si>
  <si>
    <t>Manual input (specify age group)</t>
  </si>
  <si>
    <t>Local assumption current practice (local input)</t>
  </si>
  <si>
    <t>Local assumption future practice (year 5) 
(local input)</t>
  </si>
  <si>
    <t>References and data sources</t>
  </si>
  <si>
    <t>Eligible population</t>
  </si>
  <si>
    <t>% of people</t>
  </si>
  <si>
    <t>Number of people</t>
  </si>
  <si>
    <t>Adult population</t>
  </si>
  <si>
    <t>Office for National Statistics, see population data below. Population uplifted from baseline 2020 population.</t>
  </si>
  <si>
    <t>Adult population forecast at 2026/27</t>
  </si>
  <si>
    <t>Incidence of chronic lymphocytic leukaemia</t>
  </si>
  <si>
    <t>People with chronic lymphocytic leukaemia who are expected to receive treatment</t>
  </si>
  <si>
    <t>Company and NHSE BI submissions</t>
  </si>
  <si>
    <t>Population 1</t>
  </si>
  <si>
    <t>Adults without a 17p deletion and/or TP53 mutation</t>
  </si>
  <si>
    <t>Company BI submission, based on an average of estimates in published literature</t>
  </si>
  <si>
    <t>Population 2</t>
  </si>
  <si>
    <t>Adults with a 17p deletion and/or TP53 mutation</t>
  </si>
  <si>
    <t>Adults who chemo-immunotherapy (CIT) is unsuitable</t>
  </si>
  <si>
    <t>Company &amp; NHSE submissions &amp; TA689 NICE resource impact template</t>
  </si>
  <si>
    <t>Population 3</t>
  </si>
  <si>
    <t>Adults who relapse each year</t>
  </si>
  <si>
    <t>Company BI submission</t>
  </si>
  <si>
    <t>Adults eligible for treatment</t>
  </si>
  <si>
    <t>People receiving zanubrutinib</t>
  </si>
  <si>
    <t>Local input</t>
  </si>
  <si>
    <t>People receiving acalabrutinib</t>
  </si>
  <si>
    <t>People receiving ibrutinib plus venetoclax</t>
  </si>
  <si>
    <t>Population 2 - untreated, 17p deletion and/or TP53 mutation, unsuitable for CIT</t>
  </si>
  <si>
    <t>People receiving ibrutinib</t>
  </si>
  <si>
    <t>Population 3 - previously treated, relapsed/refractory CLL</t>
  </si>
  <si>
    <t>People receiving venetoclax plus rituximab</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</si>
  <si>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</si>
  <si>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</si>
  <si>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</si>
  <si>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</si>
  <si>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</si>
  <si>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</si>
  <si>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</si>
  <si>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</si>
  <si>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</si>
  <si>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</si>
  <si>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Drug costs</t>
  </si>
  <si>
    <t>Zanubrutinib, (oral)</t>
  </si>
  <si>
    <t>Regimen</t>
  </si>
  <si>
    <t>Daily dose 
mg (local input)</t>
  </si>
  <si>
    <t>Capsule size mg (local input)</t>
  </si>
  <si>
    <t>Number of capsules per pack (local input)</t>
  </si>
  <si>
    <t>Capsules required per day</t>
  </si>
  <si>
    <t>Number of capsules per year</t>
  </si>
  <si>
    <t>Number of packs per year</t>
  </si>
  <si>
    <t>Cost per pack of capsules</t>
  </si>
  <si>
    <t>Annual cost of treatment exc. VAT</t>
  </si>
  <si>
    <t>VAT rate (local input)</t>
  </si>
  <si>
    <t>Annual cost of treatment inc. VAT</t>
  </si>
  <si>
    <t xml:space="preserve">The recommended total daily dose of zanubrutinib is 320 mg taken orally </t>
  </si>
  <si>
    <t>Administration costs</t>
  </si>
  <si>
    <t>Tariff cost (local input)</t>
  </si>
  <si>
    <t>No. of months (local input)</t>
  </si>
  <si>
    <t>Annual cost</t>
  </si>
  <si>
    <t>Administered via homecare</t>
  </si>
  <si>
    <t>Zanubrutinib may be dispensed via homecare. It is assumed 50% of people may receive the treatment via homecare. An average annual cost is calculated below:</t>
  </si>
  <si>
    <t>Proportion % (local input)</t>
  </si>
  <si>
    <t>Drug cost</t>
  </si>
  <si>
    <t>Admin cost</t>
  </si>
  <si>
    <t>Secondary care</t>
  </si>
  <si>
    <t>Homecare</t>
  </si>
  <si>
    <t xml:space="preserve">Average drug &amp; administration cost </t>
  </si>
  <si>
    <t>Acalabrutnib, (oral)</t>
  </si>
  <si>
    <t>Cost per pack of capsules (local input)</t>
  </si>
  <si>
    <t>The recommended total daily dose of acalabrutinib is 200mg taken orally as 2 x 100mg tablets</t>
  </si>
  <si>
    <t>Acalabrutinib may be dispensed via homecare. It is assumed 50% of people may receive the treatment via homecare. An average annual cost is calculated below:</t>
  </si>
  <si>
    <t>Ibrutinib, (oral)</t>
  </si>
  <si>
    <t>Ibrutinib is administered orally at a daily dose of 420 mg (3 tablets)</t>
  </si>
  <si>
    <t>Ibrutinib may be dispensed via homecare. It is assumed 50% of people may receive the treatment via homecare. An average annual cost is calculated below:</t>
  </si>
  <si>
    <t>Homecare overhead charge assumed to have indicative cost of £50/monthly cycle</t>
  </si>
  <si>
    <t>Ibrutinib with venetoclax</t>
  </si>
  <si>
    <t>Ibrutinib</t>
  </si>
  <si>
    <t>Dose 
(mg) (local input)</t>
  </si>
  <si>
    <t>Pack size (mg) (local input)</t>
  </si>
  <si>
    <t>Dose intensity (local input)</t>
  </si>
  <si>
    <t>Dosage required per cycle (mg)</t>
  </si>
  <si>
    <t>Number of  packs required per cycle</t>
  </si>
  <si>
    <t>Number of cycles per treatment (local input)</t>
  </si>
  <si>
    <t>Total number of packs needed for treatment</t>
  </si>
  <si>
    <t>Cost per pack (local input)</t>
  </si>
  <si>
    <t>Total cost of treatment exc. VAT</t>
  </si>
  <si>
    <t>Total cost of treatment inc. VAT</t>
  </si>
  <si>
    <t>1 x 420 mg tablet once daily</t>
  </si>
  <si>
    <t>Venetoclax</t>
  </si>
  <si>
    <t>Year</t>
  </si>
  <si>
    <t>Dose 
mg (local input)</t>
  </si>
  <si>
    <t>Titration - week 1</t>
  </si>
  <si>
    <t>20mg daily week 1 (10mg x 14 tablets)</t>
  </si>
  <si>
    <t>Titration - week 2</t>
  </si>
  <si>
    <t>50mg daily week 2 (50mg x 7 tablets)</t>
  </si>
  <si>
    <t>Titration - week 3</t>
  </si>
  <si>
    <t>100mg daily week 3 (100mg x 7 tablets)</t>
  </si>
  <si>
    <t>Titration - week 4</t>
  </si>
  <si>
    <t xml:space="preserve">200mg daily week 4 (100mg x 14 tablets) </t>
  </si>
  <si>
    <t>Week 5 - 48</t>
  </si>
  <si>
    <t>400 mg per day</t>
  </si>
  <si>
    <t>Tariff</t>
  </si>
  <si>
    <t xml:space="preserve">Year </t>
  </si>
  <si>
    <t>No. of cycles (local input)</t>
  </si>
  <si>
    <t>Total cost</t>
  </si>
  <si>
    <t>VenO (oral and IV)</t>
  </si>
  <si>
    <t xml:space="preserve"> </t>
  </si>
  <si>
    <t>Dosage required (mg) (local input)</t>
  </si>
  <si>
    <t>Number of packets required</t>
  </si>
  <si>
    <t>Total number of packets needed for treatment</t>
  </si>
  <si>
    <t>Week 1</t>
  </si>
  <si>
    <t>Week 2</t>
  </si>
  <si>
    <t>Week 3</t>
  </si>
  <si>
    <t>Week 4</t>
  </si>
  <si>
    <t>Week 5 onwards</t>
  </si>
  <si>
    <t>400mg daily for 11 cycles</t>
  </si>
  <si>
    <t>Obinutuzumab</t>
  </si>
  <si>
    <t>Vial size (mg) (local input</t>
  </si>
  <si>
    <t>Number of  vials required</t>
  </si>
  <si>
    <t>Total number of vials needed for treatment</t>
  </si>
  <si>
    <t>Dose intensity</t>
  </si>
  <si>
    <t>Cost per  vial (local input)</t>
  </si>
  <si>
    <t>Cycle 1 - day 1</t>
  </si>
  <si>
    <t>1,000 mg administered over Days 1 (100 mg) and 2 (900mg)</t>
  </si>
  <si>
    <t>Cycle 1 - day 2</t>
  </si>
  <si>
    <t>Cycle 1 - day 8</t>
  </si>
  <si>
    <t>1,000 mg on Day 8 and Day 15 of treatment Cycle 1</t>
  </si>
  <si>
    <t>Cycle 2 - day 15</t>
  </si>
  <si>
    <t>Cycle 2-6</t>
  </si>
  <si>
    <t>1000 mg on Day 1 of treatment Cycles 2–6</t>
  </si>
  <si>
    <t xml:space="preserve">Total number of administration &amp; total cost </t>
  </si>
  <si>
    <t>Average administration cost</t>
  </si>
  <si>
    <t>Venetoclax plus rituximab</t>
  </si>
  <si>
    <t>Rituximab</t>
  </si>
  <si>
    <t>Dose 
mg/m2 (local input)</t>
  </si>
  <si>
    <t>Body surface area
(m2 ) (local input)</t>
  </si>
  <si>
    <t>Cycle 1</t>
  </si>
  <si>
    <r>
      <t>IV 375 mg/m</t>
    </r>
    <r>
      <rPr>
        <vertAlign val="superscript"/>
        <sz val="12"/>
        <color theme="1"/>
        <rFont val="Arial"/>
        <family val="2"/>
      </rPr>
      <t>2</t>
    </r>
  </si>
  <si>
    <r>
      <t>IV 500 mg/m</t>
    </r>
    <r>
      <rPr>
        <vertAlign val="superscript"/>
        <sz val="11"/>
        <color theme="1"/>
        <rFont val="Arial"/>
        <family val="2"/>
      </rPr>
      <t>2</t>
    </r>
    <r>
      <rPr>
        <sz val="11"/>
        <color theme="1"/>
        <rFont val="Arial"/>
        <family val="2"/>
      </rPr>
      <t xml:space="preserve"> for the next 5 cycles</t>
    </r>
  </si>
  <si>
    <t xml:space="preserve">Total number of administration &amp; total administration cost </t>
  </si>
  <si>
    <t>Resource impact template</t>
  </si>
  <si>
    <t>Unit cost (local input)</t>
  </si>
  <si>
    <t>Activity current practice</t>
  </si>
  <si>
    <t>Activity future practice</t>
  </si>
  <si>
    <t>Activity change</t>
  </si>
  <si>
    <t>Cost of current practice</t>
  </si>
  <si>
    <t>Cost of future practice</t>
  </si>
  <si>
    <t>Impact of change on cost</t>
  </si>
  <si>
    <t>Total drug resource impact</t>
  </si>
  <si>
    <t>Administration resource impact</t>
  </si>
  <si>
    <t>Total impact all recommendations</t>
  </si>
  <si>
    <t>Cash impact</t>
  </si>
  <si>
    <t>Capacity impact (non-cash/cash)</t>
  </si>
  <si>
    <t>Resource impact over 5 years</t>
  </si>
  <si>
    <t>Population age group - growth rate selection</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</si>
  <si>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</si>
  <si>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</si>
  <si>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</si>
  <si>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</si>
  <si>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</si>
  <si>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</si>
  <si>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</si>
  <si>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</si>
  <si>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</si>
  <si>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</si>
  <si>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</si>
  <si>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</si>
  <si>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</si>
  <si>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Population covered (adults)</t>
  </si>
  <si>
    <t>Population growth rate projections (based on 2020 population baseline)</t>
  </si>
  <si>
    <t xml:space="preserve">Projected increase in incidence or prevalence </t>
  </si>
  <si>
    <t xml:space="preserve">Number of people </t>
  </si>
  <si>
    <t>Eligible population 1 - untreated chronic lymphocytic leukaemia, unsuitable for FCR and BR therapy</t>
  </si>
  <si>
    <t>Eligible population 2 - untreated, 17p deletion and/or TP53 mutation, unsuitable for CIT</t>
  </si>
  <si>
    <t>Eligible population 3 - previously treated, relapsed/refractory CLL</t>
  </si>
  <si>
    <t>Implementation rate (local input)</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</si>
  <si>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</si>
  <si>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</si>
  <si>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</si>
  <si>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</si>
  <si>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</si>
  <si>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</si>
  <si>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</si>
  <si>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</si>
  <si>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</si>
  <si>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</si>
  <si>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People receiving ibrutinib plus venetoclax in year 1</t>
  </si>
  <si>
    <t>People receiving ibrutinib plus venetoclax in year 2</t>
  </si>
  <si>
    <t>Drug resource impact</t>
  </si>
  <si>
    <t>Total all recommendations (£'000)</t>
  </si>
  <si>
    <t>Cash impact (£'000)</t>
  </si>
  <si>
    <t>Capacity impact (non-cash/cash) (£'000)</t>
  </si>
  <si>
    <t>TA689 NICE resource impact template, based on clinical opinion.</t>
  </si>
  <si>
    <t>Population 1 - untreated chronic lymphocytic leukaemia, without a 17p deletion and/ or TP53 mutation who are unsuitable for FCR and BR therapy</t>
  </si>
  <si>
    <t>Adults unsuitable for fludarabine, cyclophosphamide and rituximab-based therapy (FCR) and bendamustine and rituximab-based therapy (BR) therapy</t>
  </si>
  <si>
    <t>People receiving venetoclax plus obinutuzumab</t>
  </si>
  <si>
    <t xml:space="preserve">People receiving venetoclax plus obinutuzumab </t>
  </si>
  <si>
    <t>.</t>
  </si>
  <si>
    <t>C91.1 Cancer registration statistics 2020</t>
  </si>
  <si>
    <t>Population 4</t>
  </si>
  <si>
    <t>Adults who are FCR suitable (TA891)</t>
  </si>
  <si>
    <t>Population 4 - untreated, FCR suitable</t>
  </si>
  <si>
    <t>People receiving fludarabine, cyclophosphamide and rituximab</t>
  </si>
  <si>
    <t>People receiving venetoclax and obinutuzumab</t>
  </si>
  <si>
    <t>All cycles</t>
  </si>
  <si>
    <t>25mg/m2 on days 1-3 for 6 cycles</t>
  </si>
  <si>
    <t>Fludarabine phosphate 50mg/2ml solution for injection vials</t>
  </si>
  <si>
    <t>eMIT (accessed Oct'23)</t>
  </si>
  <si>
    <t>Cyclophosphamide</t>
  </si>
  <si>
    <r>
      <t>250 mg/m</t>
    </r>
    <r>
      <rPr>
        <vertAlign val="superscript"/>
        <sz val="11"/>
        <color theme="1"/>
        <rFont val="Arial"/>
        <family val="2"/>
      </rPr>
      <t>2</t>
    </r>
    <r>
      <rPr>
        <sz val="11"/>
        <color theme="1"/>
        <rFont val="Arial"/>
        <family val="2"/>
      </rPr>
      <t xml:space="preserve"> on days 1-3 for 6 cycles</t>
    </r>
  </si>
  <si>
    <t>Cyclophosphamide 500mg powder for solution for injection vials</t>
  </si>
  <si>
    <t>Filgrastim</t>
  </si>
  <si>
    <t>Days 1-6</t>
  </si>
  <si>
    <t>Dose 
mg/kg (local input)</t>
  </si>
  <si>
    <t>0.01mg/kg per day - 6 cycles</t>
  </si>
  <si>
    <t>Body weight
(kg ) (local input)</t>
  </si>
  <si>
    <t>Filgrastim 30million units/0.5ml solution, pre-filled syringe, 60 mega unit per 1 ml</t>
  </si>
  <si>
    <t>BNF</t>
  </si>
  <si>
    <t>Total drug cost</t>
  </si>
  <si>
    <t xml:space="preserve">People receiving ibrutinib plus venetoclax </t>
  </si>
  <si>
    <t>People receiving ibrutinib with venetoclax</t>
  </si>
  <si>
    <t>Fludarabine</t>
  </si>
  <si>
    <t>Discounted price</t>
  </si>
  <si>
    <t>100mg vial</t>
  </si>
  <si>
    <t>500mg vial</t>
  </si>
  <si>
    <t>Calculation</t>
  </si>
  <si>
    <t>2023/24 SB11Z Deliver Exclusively Oral Chemotherapy</t>
  </si>
  <si>
    <t>2023/24 SB13Z Deliver more complex parenteral chemotherapy at first Attendance</t>
  </si>
  <si>
    <t>Eligible population 4 - untreated, suitable for FCR therapy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</si>
</sst>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
    <numFmt numFmtId="170" formatCode="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
      <u/>
      <sz val="11"/>
      <color theme="1"/>
      <name val="Calibri"/>
      <family val="2"/>
      <scheme val="minor"/>
    </font>
    <font>
      <u/>
      <sz val="11"/>
      <name val="Calibri"/>
      <family val="2"/>
      <scheme val="minor"/>
    </font>
    <font>
      <b/>
      <u/>
      <sz val="11"/>
      <color theme="1"/>
      <name val="Calibri"/>
      <family val="2"/>
      <scheme val="minor"/>
    </font>
    <font>
      <vertAlign val="superscript"/>
      <sz val="12"/>
      <color theme="1"/>
      <name val="Arial"/>
      <family val="2"/>
    </font>
    <font>
      <vertAlign val="superscrip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
      <patternFill patternType="solid">
        <fgColor rgb="FF002060"/>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thin">
        <color auto="1"/>
      </left>
      <right style="medium">
        <color auto="1"/>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auto="1"/>
      </left>
      <right style="medium">
        <color auto="1"/>
      </right>
      <top/>
      <bottom style="medium">
        <color indexed="64"/>
      </bottom>
      <diagonal/>
    </border>
    <border>
      <left style="medium">
        <color indexed="64"/>
      </left>
      <right/>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1"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0" fillId="0" borderId="0"/>
    <xf numFmtId="0" fontId="42" fillId="0" borderId="0"/>
    <xf numFmtId="0" fontId="20" fillId="0" borderId="49" applyNumberFormat="0" applyFill="0" applyAlignment="0" applyProtection="0"/>
    <xf numFmtId="0" fontId="20" fillId="0" borderId="49" applyNumberFormat="0" applyFill="0" applyAlignment="0" applyProtection="0"/>
    <xf numFmtId="0" fontId="30" fillId="0" borderId="0"/>
  </cellStyleXfs>
  <cellXfs count="687">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2" fillId="0" borderId="11" xfId="72" applyFont="1" applyFill="1" applyBorder="1" applyAlignment="1" applyProtection="1">
      <alignment horizontal="left" vertical="top" wrapText="1"/>
    </xf>
    <xf numFmtId="0" fontId="7" fillId="25" borderId="25" xfId="0" applyFont="1" applyFill="1" applyBorder="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6" fillId="0" borderId="0" xfId="0" applyFont="1"/>
    <xf numFmtId="0" fontId="35" fillId="29" borderId="0" xfId="0" applyFont="1" applyFill="1"/>
    <xf numFmtId="0" fontId="36"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4" fillId="29" borderId="0" xfId="72" applyFont="1" applyFill="1" applyAlignment="1" applyProtection="1"/>
    <xf numFmtId="0" fontId="32" fillId="29" borderId="0" xfId="0" applyFont="1" applyFill="1" applyAlignment="1">
      <alignment horizontal="left"/>
    </xf>
    <xf numFmtId="0" fontId="36" fillId="0" borderId="42" xfId="0" applyFont="1" applyBorder="1" applyAlignment="1">
      <alignment horizontal="center" vertical="center" wrapText="1"/>
    </xf>
    <xf numFmtId="0" fontId="36" fillId="0" borderId="47"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3"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6" fillId="29" borderId="0" xfId="0" applyFont="1" applyFill="1"/>
    <xf numFmtId="0" fontId="36" fillId="0" borderId="45" xfId="0" applyFont="1" applyBorder="1" applyAlignment="1">
      <alignment horizontal="left"/>
    </xf>
    <xf numFmtId="166" fontId="36" fillId="0" borderId="46" xfId="56" applyNumberFormat="1" applyFont="1" applyFill="1" applyBorder="1" applyAlignment="1">
      <alignment horizontal="right"/>
    </xf>
    <xf numFmtId="0" fontId="36" fillId="29" borderId="0" xfId="0" applyFont="1" applyFill="1" applyAlignment="1">
      <alignment horizontal="center"/>
    </xf>
    <xf numFmtId="0" fontId="36" fillId="0" borderId="0" xfId="0" applyFont="1" applyAlignment="1">
      <alignment horizontal="center"/>
    </xf>
    <xf numFmtId="3" fontId="32" fillId="29" borderId="0" xfId="0" applyNumberFormat="1" applyFont="1" applyFill="1"/>
    <xf numFmtId="0" fontId="36" fillId="26" borderId="17" xfId="0" applyFont="1" applyFill="1" applyBorder="1" applyAlignment="1">
      <alignment horizontal="center" vertical="center" wrapText="1"/>
    </xf>
    <xf numFmtId="0" fontId="36" fillId="26" borderId="11" xfId="0" applyFont="1" applyFill="1" applyBorder="1" applyAlignment="1">
      <alignment horizontal="center" vertical="center" wrapText="1"/>
    </xf>
    <xf numFmtId="16" fontId="36"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2" fillId="0" borderId="16" xfId="0" applyFont="1" applyBorder="1"/>
    <xf numFmtId="0" fontId="36"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6" fillId="0" borderId="0" xfId="0" applyNumberFormat="1" applyFont="1"/>
    <xf numFmtId="3" fontId="36" fillId="0" borderId="18" xfId="0" applyNumberFormat="1" applyFont="1" applyBorder="1"/>
    <xf numFmtId="0" fontId="36" fillId="33" borderId="25"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6" fillId="0" borderId="10" xfId="0" applyNumberFormat="1" applyFont="1" applyBorder="1"/>
    <xf numFmtId="3" fontId="36" fillId="0" borderId="38" xfId="0" applyNumberFormat="1" applyFont="1" applyBorder="1"/>
    <xf numFmtId="0" fontId="7" fillId="0" borderId="25" xfId="0" applyFont="1" applyBorder="1"/>
    <xf numFmtId="0" fontId="7" fillId="0" borderId="38" xfId="0" applyFont="1" applyBorder="1"/>
    <xf numFmtId="0" fontId="32" fillId="0" borderId="10" xfId="0" applyFont="1" applyBorder="1"/>
    <xf numFmtId="0" fontId="32" fillId="0" borderId="38" xfId="0" applyFont="1" applyBorder="1"/>
    <xf numFmtId="3" fontId="32" fillId="0" borderId="10" xfId="0" applyNumberFormat="1" applyFont="1" applyBorder="1"/>
    <xf numFmtId="3" fontId="32" fillId="0" borderId="38"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5" xfId="0" applyFont="1" applyFill="1" applyBorder="1"/>
    <xf numFmtId="3" fontId="7" fillId="0" borderId="10" xfId="0" applyNumberFormat="1" applyFont="1" applyBorder="1"/>
    <xf numFmtId="3" fontId="7" fillId="0" borderId="38" xfId="0" applyNumberFormat="1" applyFont="1" applyBorder="1"/>
    <xf numFmtId="0" fontId="32" fillId="0" borderId="25" xfId="0" applyFont="1" applyBorder="1"/>
    <xf numFmtId="0" fontId="32" fillId="36" borderId="16" xfId="0" applyFont="1" applyFill="1" applyBorder="1"/>
    <xf numFmtId="0" fontId="7" fillId="0" borderId="37" xfId="0" applyFont="1" applyBorder="1"/>
    <xf numFmtId="3" fontId="7" fillId="0" borderId="39" xfId="0" applyNumberFormat="1" applyFont="1" applyBorder="1"/>
    <xf numFmtId="3" fontId="7" fillId="0" borderId="37" xfId="0" applyNumberFormat="1" applyFont="1" applyBorder="1"/>
    <xf numFmtId="3" fontId="32" fillId="0" borderId="39" xfId="0" applyNumberFormat="1" applyFont="1" applyBorder="1"/>
    <xf numFmtId="3" fontId="32" fillId="0" borderId="37" xfId="0" applyNumberFormat="1" applyFont="1" applyBorder="1"/>
    <xf numFmtId="0" fontId="32" fillId="36" borderId="25" xfId="0" applyFont="1" applyFill="1" applyBorder="1"/>
    <xf numFmtId="0" fontId="32" fillId="31" borderId="16" xfId="0" applyFont="1" applyFill="1" applyBorder="1"/>
    <xf numFmtId="0" fontId="36" fillId="32" borderId="11" xfId="0" applyFont="1" applyFill="1" applyBorder="1" applyAlignment="1">
      <alignment horizontal="right"/>
    </xf>
    <xf numFmtId="0" fontId="36" fillId="0" borderId="11" xfId="0" applyFont="1" applyBorder="1" applyAlignment="1">
      <alignment horizontal="right"/>
    </xf>
    <xf numFmtId="9" fontId="36" fillId="0" borderId="17" xfId="0" applyNumberFormat="1" applyFont="1" applyBorder="1" applyAlignment="1">
      <alignment horizontal="right"/>
    </xf>
    <xf numFmtId="3" fontId="36" fillId="0" borderId="29" xfId="0" applyNumberFormat="1" applyFont="1" applyBorder="1" applyAlignment="1">
      <alignment horizontal="right"/>
    </xf>
    <xf numFmtId="3" fontId="36" fillId="0" borderId="17" xfId="0" applyNumberFormat="1" applyFont="1" applyBorder="1" applyAlignment="1">
      <alignment horizontal="right"/>
    </xf>
    <xf numFmtId="0" fontId="36"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6" fillId="33" borderId="15" xfId="0" applyFont="1" applyFill="1" applyBorder="1"/>
    <xf numFmtId="0" fontId="8" fillId="0" borderId="37" xfId="0" applyFont="1" applyBorder="1"/>
    <xf numFmtId="3" fontId="8" fillId="0" borderId="39" xfId="0" applyNumberFormat="1" applyFont="1" applyBorder="1"/>
    <xf numFmtId="3" fontId="36" fillId="0" borderId="39" xfId="0" applyNumberFormat="1" applyFont="1" applyBorder="1"/>
    <xf numFmtId="3" fontId="36" fillId="0" borderId="37" xfId="0" applyNumberFormat="1" applyFont="1" applyBorder="1"/>
    <xf numFmtId="3" fontId="8" fillId="0" borderId="37" xfId="0" applyNumberFormat="1" applyFont="1" applyBorder="1"/>
    <xf numFmtId="0" fontId="36" fillId="0" borderId="16" xfId="0" applyFont="1" applyBorder="1"/>
    <xf numFmtId="0" fontId="36" fillId="0" borderId="25" xfId="0" applyFont="1" applyBorder="1"/>
    <xf numFmtId="0" fontId="47" fillId="37" borderId="11" xfId="0" applyFont="1" applyFill="1" applyBorder="1" applyAlignment="1">
      <alignment horizontal="center" vertical="center"/>
    </xf>
    <xf numFmtId="0" fontId="32" fillId="24" borderId="0" xfId="0" applyFont="1" applyFill="1" applyAlignment="1">
      <alignment vertical="center"/>
    </xf>
    <xf numFmtId="0" fontId="36" fillId="0" borderId="15" xfId="0" applyFont="1" applyBorder="1"/>
    <xf numFmtId="0" fontId="32" fillId="0" borderId="37" xfId="0" applyFont="1" applyBorder="1"/>
    <xf numFmtId="0" fontId="32" fillId="0" borderId="39" xfId="0" applyFont="1" applyBorder="1"/>
    <xf numFmtId="3" fontId="7" fillId="0" borderId="15" xfId="0" applyNumberFormat="1" applyFont="1" applyBorder="1"/>
    <xf numFmtId="3" fontId="7" fillId="0" borderId="16" xfId="0" applyNumberFormat="1" applyFont="1" applyBorder="1"/>
    <xf numFmtId="0" fontId="36" fillId="28" borderId="11" xfId="0" applyFont="1" applyFill="1" applyBorder="1" applyAlignment="1">
      <alignment horizontal="center" vertical="center" wrapText="1"/>
    </xf>
    <xf numFmtId="0" fontId="36"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0" borderId="18" xfId="0" applyFont="1" applyBorder="1"/>
    <xf numFmtId="3" fontId="45" fillId="29" borderId="0" xfId="0" applyNumberFormat="1" applyFont="1" applyFill="1"/>
    <xf numFmtId="0" fontId="45" fillId="29" borderId="31" xfId="0" applyFont="1" applyFill="1" applyBorder="1" applyAlignment="1">
      <alignment horizontal="left" vertical="top" wrapText="1"/>
    </xf>
    <xf numFmtId="0" fontId="45"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6"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7"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6"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5" xfId="0" applyNumberFormat="1" applyFont="1" applyBorder="1"/>
    <xf numFmtId="49" fontId="32" fillId="0" borderId="40"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4" xfId="87" applyFont="1" applyFill="1" applyBorder="1" applyAlignment="1">
      <alignment horizontal="left" vertical="center" wrapText="1"/>
    </xf>
    <xf numFmtId="0" fontId="5" fillId="28" borderId="54" xfId="0" applyFont="1" applyFill="1" applyBorder="1" applyAlignment="1">
      <alignment horizontal="left" vertical="center" wrapText="1"/>
    </xf>
    <xf numFmtId="0" fontId="39" fillId="28" borderId="54" xfId="72" applyFont="1" applyFill="1" applyBorder="1" applyAlignment="1" applyProtection="1">
      <alignment horizontal="left" vertical="center" wrapText="1"/>
    </xf>
    <xf numFmtId="0" fontId="5" fillId="28" borderId="54" xfId="82" applyFont="1" applyFill="1" applyBorder="1" applyAlignment="1">
      <alignment horizontal="left" vertical="center" wrapText="1"/>
    </xf>
    <xf numFmtId="0" fontId="33" fillId="25" borderId="0" xfId="0" applyFont="1" applyFill="1" applyAlignment="1">
      <alignment vertical="center"/>
    </xf>
    <xf numFmtId="3" fontId="35" fillId="29" borderId="0" xfId="0" applyNumberFormat="1" applyFont="1" applyFill="1"/>
    <xf numFmtId="0" fontId="36" fillId="27" borderId="39" xfId="0" applyFont="1" applyFill="1" applyBorder="1"/>
    <xf numFmtId="0" fontId="36" fillId="27" borderId="37" xfId="0" applyFont="1" applyFill="1" applyBorder="1"/>
    <xf numFmtId="0" fontId="36" fillId="28" borderId="17" xfId="0" applyFont="1" applyFill="1" applyBorder="1" applyAlignment="1">
      <alignment vertical="center" wrapText="1"/>
    </xf>
    <xf numFmtId="0" fontId="36" fillId="28" borderId="11" xfId="0" applyFont="1" applyFill="1" applyBorder="1" applyAlignment="1">
      <alignment vertical="center" wrapText="1"/>
    </xf>
    <xf numFmtId="0" fontId="36" fillId="30" borderId="13" xfId="0" applyFont="1" applyFill="1" applyBorder="1" applyAlignment="1">
      <alignment vertical="center" wrapText="1"/>
    </xf>
    <xf numFmtId="0" fontId="36" fillId="30" borderId="39" xfId="0" applyFont="1" applyFill="1" applyBorder="1" applyAlignment="1">
      <alignment vertical="center" wrapText="1"/>
    </xf>
    <xf numFmtId="0" fontId="36" fillId="30" borderId="37" xfId="0" applyFont="1" applyFill="1" applyBorder="1" applyAlignment="1">
      <alignment vertical="center" wrapText="1"/>
    </xf>
    <xf numFmtId="0" fontId="31" fillId="24" borderId="0" xfId="72" applyFill="1" applyBorder="1" applyAlignment="1" applyProtection="1"/>
    <xf numFmtId="0" fontId="32" fillId="0" borderId="43" xfId="0" applyFont="1" applyBorder="1" applyAlignment="1">
      <alignment vertical="center" wrapText="1"/>
    </xf>
    <xf numFmtId="0" fontId="32"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0" fontId="5" fillId="28" borderId="54" xfId="105" applyFont="1" applyFill="1" applyBorder="1" applyAlignment="1">
      <alignment vertical="center" wrapText="1"/>
    </xf>
    <xf numFmtId="0" fontId="32" fillId="0" borderId="38" xfId="0" applyFont="1" applyBorder="1" applyAlignment="1">
      <alignment horizontal="center" vertical="center" wrapText="1"/>
    </xf>
    <xf numFmtId="0" fontId="32" fillId="0" borderId="48" xfId="0" applyFont="1" applyBorder="1" applyAlignment="1">
      <alignment horizontal="center" vertical="center" wrapText="1"/>
    </xf>
    <xf numFmtId="3" fontId="0" fillId="0" borderId="0" xfId="0" applyNumberFormat="1"/>
    <xf numFmtId="0" fontId="8" fillId="24" borderId="61"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3" fillId="0" borderId="0" xfId="0" applyFont="1" applyAlignment="1">
      <alignment vertical="center"/>
    </xf>
    <xf numFmtId="0" fontId="47" fillId="37" borderId="32" xfId="0" applyFont="1" applyFill="1" applyBorder="1" applyAlignment="1">
      <alignment vertical="center" wrapText="1"/>
    </xf>
    <xf numFmtId="0" fontId="47"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58" xfId="0" applyNumberFormat="1" applyBorder="1"/>
    <xf numFmtId="165" fontId="57" fillId="28" borderId="19" xfId="0" applyNumberFormat="1" applyFont="1" applyFill="1" applyBorder="1" applyAlignment="1">
      <alignment vertical="center"/>
    </xf>
    <xf numFmtId="0" fontId="36" fillId="0" borderId="56" xfId="0" applyFont="1" applyBorder="1" applyAlignment="1">
      <alignment vertical="center" wrapText="1"/>
    </xf>
    <xf numFmtId="0" fontId="39" fillId="28" borderId="54" xfId="72" applyFont="1" applyFill="1" applyBorder="1" applyAlignment="1" applyProtection="1">
      <alignment vertical="center" wrapText="1"/>
    </xf>
    <xf numFmtId="0" fontId="57" fillId="28" borderId="27" xfId="0" applyFont="1" applyFill="1" applyBorder="1" applyAlignment="1">
      <alignment vertical="center"/>
    </xf>
    <xf numFmtId="0" fontId="57" fillId="28" borderId="28" xfId="0" applyFont="1" applyFill="1" applyBorder="1" applyAlignment="1">
      <alignment vertical="center"/>
    </xf>
    <xf numFmtId="0" fontId="31"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6" fillId="0" borderId="42" xfId="0" applyFont="1" applyBorder="1" applyAlignment="1">
      <alignment vertical="center"/>
    </xf>
    <xf numFmtId="0" fontId="36" fillId="0" borderId="43" xfId="0" applyFont="1" applyBorder="1" applyAlignment="1">
      <alignment vertical="center"/>
    </xf>
    <xf numFmtId="0" fontId="36" fillId="0" borderId="66" xfId="0" applyFont="1" applyBorder="1"/>
    <xf numFmtId="0" fontId="53" fillId="24" borderId="0" xfId="0" applyFont="1" applyFill="1"/>
    <xf numFmtId="0" fontId="4" fillId="0" borderId="0" xfId="0" applyFont="1" applyAlignment="1">
      <alignment horizontal="left" vertical="center"/>
    </xf>
    <xf numFmtId="0" fontId="52" fillId="0" borderId="0" xfId="0" applyFont="1" applyAlignment="1">
      <alignment vertical="center"/>
    </xf>
    <xf numFmtId="0" fontId="52" fillId="0" borderId="0" xfId="0" applyFont="1"/>
    <xf numFmtId="0" fontId="58" fillId="0" borderId="0" xfId="72" applyFont="1" applyFill="1" applyBorder="1" applyAlignment="1" applyProtection="1">
      <alignment horizontal="left" vertical="top"/>
    </xf>
    <xf numFmtId="0" fontId="59"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6" fillId="0" borderId="0" xfId="0" applyFont="1"/>
    <xf numFmtId="0" fontId="52" fillId="0" borderId="0" xfId="82" applyFont="1"/>
    <xf numFmtId="3" fontId="0" fillId="0" borderId="12" xfId="0" applyNumberFormat="1" applyBorder="1"/>
    <xf numFmtId="3" fontId="0" fillId="0" borderId="43" xfId="0" applyNumberFormat="1" applyBorder="1"/>
    <xf numFmtId="165" fontId="0" fillId="0" borderId="43" xfId="0" applyNumberFormat="1" applyBorder="1"/>
    <xf numFmtId="3" fontId="0" fillId="0" borderId="17" xfId="0" applyNumberFormat="1" applyBorder="1"/>
    <xf numFmtId="0" fontId="59" fillId="25" borderId="0" xfId="0" applyFont="1" applyFill="1" applyAlignment="1">
      <alignment horizontal="right" vertical="center" wrapText="1"/>
    </xf>
    <xf numFmtId="0" fontId="59" fillId="0" borderId="0" xfId="0" applyFont="1" applyAlignment="1">
      <alignment horizontal="left"/>
    </xf>
    <xf numFmtId="3" fontId="52"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3" fontId="32" fillId="0" borderId="54" xfId="0" applyNumberFormat="1" applyFont="1" applyBorder="1"/>
    <xf numFmtId="165" fontId="32" fillId="24" borderId="62" xfId="0" applyNumberFormat="1" applyFont="1" applyFill="1" applyBorder="1" applyAlignment="1">
      <alignment horizontal="right"/>
    </xf>
    <xf numFmtId="3" fontId="32" fillId="24" borderId="61" xfId="0" applyNumberFormat="1" applyFont="1" applyFill="1" applyBorder="1"/>
    <xf numFmtId="165" fontId="36" fillId="24" borderId="62" xfId="0" applyNumberFormat="1" applyFont="1" applyFill="1" applyBorder="1"/>
    <xf numFmtId="3" fontId="32" fillId="0" borderId="54" xfId="0" applyNumberFormat="1" applyFont="1" applyBorder="1" applyAlignment="1">
      <alignment vertical="center"/>
    </xf>
    <xf numFmtId="3" fontId="32" fillId="0" borderId="54" xfId="0" applyNumberFormat="1" applyFont="1" applyBorder="1" applyAlignment="1">
      <alignment horizontal="center" vertical="center"/>
    </xf>
    <xf numFmtId="165" fontId="36" fillId="28" borderId="27" xfId="0" applyNumberFormat="1" applyFont="1" applyFill="1" applyBorder="1" applyAlignment="1">
      <alignment vertical="center"/>
    </xf>
    <xf numFmtId="165" fontId="36" fillId="28" borderId="28" xfId="0" applyNumberFormat="1" applyFont="1" applyFill="1" applyBorder="1" applyAlignment="1">
      <alignment vertical="center"/>
    </xf>
    <xf numFmtId="165" fontId="32" fillId="0" borderId="0" xfId="0" applyNumberFormat="1" applyFont="1" applyAlignment="1">
      <alignment horizontal="right"/>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0" fillId="38" borderId="52" xfId="0" applyFill="1" applyBorder="1" applyAlignment="1">
      <alignment horizontal="center" vertical="center" wrapText="1"/>
    </xf>
    <xf numFmtId="0" fontId="0" fillId="38" borderId="47" xfId="0" applyFill="1" applyBorder="1" applyAlignment="1">
      <alignment horizontal="center" vertical="center" wrapText="1"/>
    </xf>
    <xf numFmtId="0" fontId="0" fillId="38" borderId="41" xfId="0" applyFill="1" applyBorder="1" applyAlignment="1">
      <alignment horizontal="center" vertical="center" wrapText="1"/>
    </xf>
    <xf numFmtId="0" fontId="0" fillId="38" borderId="50" xfId="0" applyFill="1" applyBorder="1" applyAlignment="1">
      <alignment horizontal="center" vertical="center" wrapText="1"/>
    </xf>
    <xf numFmtId="0" fontId="46"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6" fillId="37" borderId="31" xfId="0" applyFont="1" applyFill="1" applyBorder="1" applyAlignment="1">
      <alignment horizontal="center" vertical="center" wrapText="1"/>
    </xf>
    <xf numFmtId="0" fontId="46" fillId="37" borderId="47" xfId="0" applyFont="1" applyFill="1" applyBorder="1" applyAlignment="1">
      <alignment horizontal="center" vertical="center" wrapText="1"/>
    </xf>
    <xf numFmtId="0" fontId="0" fillId="24" borderId="47" xfId="0" applyFill="1" applyBorder="1" applyAlignment="1">
      <alignment horizontal="center" vertical="center" wrapText="1"/>
    </xf>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4" xfId="0" applyFont="1" applyFill="1" applyBorder="1" applyAlignment="1">
      <alignment horizontal="center" wrapText="1"/>
    </xf>
    <xf numFmtId="0" fontId="32" fillId="24" borderId="47" xfId="0" applyFont="1" applyFill="1" applyBorder="1" applyAlignment="1">
      <alignment horizontal="center" wrapText="1"/>
    </xf>
    <xf numFmtId="0" fontId="32" fillId="24" borderId="65" xfId="0" applyFont="1" applyFill="1" applyBorder="1" applyAlignment="1">
      <alignment horizontal="center" wrapText="1"/>
    </xf>
    <xf numFmtId="0" fontId="48" fillId="37" borderId="12" xfId="0" applyFont="1" applyFill="1" applyBorder="1" applyAlignment="1">
      <alignment horizontal="center"/>
    </xf>
    <xf numFmtId="0" fontId="52" fillId="37" borderId="66" xfId="0" applyFont="1" applyFill="1" applyBorder="1" applyAlignment="1">
      <alignment horizontal="center" wrapText="1"/>
    </xf>
    <xf numFmtId="0" fontId="32" fillId="28" borderId="30" xfId="0" applyFont="1" applyFill="1" applyBorder="1" applyAlignment="1">
      <alignment horizontal="center" wrapText="1"/>
    </xf>
    <xf numFmtId="3" fontId="32" fillId="38" borderId="22" xfId="0" applyNumberFormat="1" applyFont="1" applyFill="1" applyBorder="1" applyAlignment="1">
      <alignment horizontal="center" wrapText="1"/>
    </xf>
    <xf numFmtId="3" fontId="32" fillId="0" borderId="54" xfId="0" applyNumberFormat="1" applyFont="1" applyBorder="1" applyAlignment="1">
      <alignment horizontal="center" wrapText="1"/>
    </xf>
    <xf numFmtId="0" fontId="52" fillId="37" borderId="60" xfId="0" applyFont="1" applyFill="1" applyBorder="1" applyAlignment="1">
      <alignment horizontal="center" wrapText="1"/>
    </xf>
    <xf numFmtId="165"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36" fillId="24" borderId="66" xfId="0" applyFont="1" applyFill="1" applyBorder="1"/>
    <xf numFmtId="3" fontId="32" fillId="38" borderId="23" xfId="0" applyNumberFormat="1" applyFont="1" applyFill="1" applyBorder="1" applyAlignment="1">
      <alignment horizontal="center" wrapText="1"/>
    </xf>
    <xf numFmtId="0" fontId="7" fillId="0" borderId="43" xfId="0" applyFont="1" applyBorder="1" applyAlignment="1">
      <alignment horizontal="left" vertical="center"/>
    </xf>
    <xf numFmtId="3" fontId="32" fillId="24" borderId="69" xfId="0" applyNumberFormat="1" applyFont="1" applyFill="1" applyBorder="1"/>
    <xf numFmtId="165" fontId="32" fillId="24" borderId="22" xfId="0" applyNumberFormat="1" applyFont="1" applyFill="1" applyBorder="1" applyAlignment="1">
      <alignment horizontal="center" wrapText="1"/>
    </xf>
    <xf numFmtId="165" fontId="36" fillId="24" borderId="57" xfId="0" applyNumberFormat="1" applyFont="1" applyFill="1" applyBorder="1"/>
    <xf numFmtId="165" fontId="36" fillId="28" borderId="20" xfId="0" applyNumberFormat="1" applyFont="1" applyFill="1" applyBorder="1" applyAlignment="1">
      <alignment vertical="center"/>
    </xf>
    <xf numFmtId="3" fontId="32" fillId="24" borderId="57" xfId="0" applyNumberFormat="1" applyFont="1" applyFill="1" applyBorder="1"/>
    <xf numFmtId="0" fontId="46" fillId="37" borderId="36" xfId="0" applyFont="1" applyFill="1" applyBorder="1" applyAlignment="1">
      <alignment horizontal="center" wrapText="1"/>
    </xf>
    <xf numFmtId="0" fontId="46" fillId="37" borderId="47" xfId="0" applyFont="1" applyFill="1" applyBorder="1" applyAlignment="1">
      <alignment horizontal="center" wrapText="1"/>
    </xf>
    <xf numFmtId="0" fontId="46" fillId="37" borderId="31" xfId="0" applyFont="1" applyFill="1" applyBorder="1" applyAlignment="1">
      <alignment horizontal="center" wrapText="1"/>
    </xf>
    <xf numFmtId="0" fontId="0" fillId="24" borderId="47" xfId="0" applyFill="1" applyBorder="1" applyAlignment="1">
      <alignment horizontal="center" wrapText="1"/>
    </xf>
    <xf numFmtId="0" fontId="32" fillId="29" borderId="11" xfId="0" applyFont="1" applyFill="1" applyBorder="1" applyAlignment="1">
      <alignment horizontal="left"/>
    </xf>
    <xf numFmtId="0" fontId="32"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0" fillId="39" borderId="19" xfId="0" applyFont="1" applyFill="1" applyBorder="1" applyAlignment="1">
      <alignment vertical="center"/>
    </xf>
    <xf numFmtId="0" fontId="50" fillId="39" borderId="24" xfId="0" applyFont="1" applyFill="1" applyBorder="1" applyAlignment="1">
      <alignment horizontal="center" vertical="center"/>
    </xf>
    <xf numFmtId="0" fontId="50" fillId="0" borderId="0" xfId="0" applyFont="1" applyAlignment="1">
      <alignment vertical="center"/>
    </xf>
    <xf numFmtId="0" fontId="0" fillId="24" borderId="63" xfId="0" applyFill="1" applyBorder="1" applyAlignment="1">
      <alignment horizontal="center" wrapText="1"/>
    </xf>
    <xf numFmtId="3" fontId="56" fillId="28" borderId="70" xfId="0" applyNumberFormat="1" applyFont="1" applyFill="1" applyBorder="1"/>
    <xf numFmtId="3" fontId="0" fillId="0" borderId="58" xfId="0" applyNumberFormat="1" applyBorder="1"/>
    <xf numFmtId="0" fontId="32" fillId="31" borderId="25" xfId="0" applyFont="1" applyFill="1" applyBorder="1"/>
    <xf numFmtId="0" fontId="7" fillId="0" borderId="0" xfId="0" applyFont="1" applyAlignment="1">
      <alignment horizontal="left"/>
    </xf>
    <xf numFmtId="0" fontId="32" fillId="0" borderId="63" xfId="0" applyFont="1" applyBorder="1" applyAlignment="1">
      <alignment horizontal="center" vertical="center" wrapText="1"/>
    </xf>
    <xf numFmtId="0" fontId="32" fillId="0" borderId="65" xfId="0" applyFont="1" applyBorder="1" applyAlignment="1">
      <alignment horizontal="center" vertical="center" wrapText="1"/>
    </xf>
    <xf numFmtId="0" fontId="32" fillId="0" borderId="42" xfId="0" applyFont="1" applyBorder="1" applyAlignment="1">
      <alignment horizontal="center" vertical="center" wrapText="1"/>
    </xf>
    <xf numFmtId="0" fontId="36" fillId="24" borderId="43" xfId="0" applyFont="1" applyFill="1" applyBorder="1" applyAlignment="1">
      <alignment vertical="center"/>
    </xf>
    <xf numFmtId="0" fontId="32" fillId="0" borderId="25" xfId="0" applyFont="1" applyBorder="1" applyAlignment="1">
      <alignment vertical="center"/>
    </xf>
    <xf numFmtId="3" fontId="32" fillId="0" borderId="58" xfId="0" applyNumberFormat="1" applyFont="1" applyBorder="1" applyAlignment="1">
      <alignment vertical="center"/>
    </xf>
    <xf numFmtId="0" fontId="32" fillId="0" borderId="38" xfId="0" applyFont="1" applyBorder="1" applyAlignment="1">
      <alignment vertical="center"/>
    </xf>
    <xf numFmtId="0" fontId="32" fillId="0" borderId="43" xfId="0" applyFont="1" applyBorder="1" applyAlignment="1">
      <alignment vertical="center"/>
    </xf>
    <xf numFmtId="10" fontId="32" fillId="0" borderId="0" xfId="0" applyNumberFormat="1" applyFont="1" applyAlignment="1">
      <alignment vertical="center"/>
    </xf>
    <xf numFmtId="0" fontId="36" fillId="0" borderId="0" xfId="0" applyFont="1" applyAlignment="1">
      <alignment vertical="center"/>
    </xf>
    <xf numFmtId="0" fontId="0" fillId="0" borderId="0" xfId="0" applyAlignment="1">
      <alignment vertical="center" wrapText="1"/>
    </xf>
    <xf numFmtId="0" fontId="2" fillId="28" borderId="53" xfId="87" applyFont="1" applyFill="1" applyBorder="1" applyAlignment="1">
      <alignment horizontal="left" vertical="center" wrapText="1"/>
    </xf>
    <xf numFmtId="0" fontId="43" fillId="28" borderId="54" xfId="0" applyFont="1" applyFill="1" applyBorder="1" applyAlignment="1">
      <alignment vertical="center" wrapText="1"/>
    </xf>
    <xf numFmtId="0" fontId="38" fillId="28" borderId="51"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165" fontId="52" fillId="0" borderId="0" xfId="0" applyNumberFormat="1" applyFont="1" applyAlignment="1">
      <alignment horizontal="right" vertical="center"/>
    </xf>
    <xf numFmtId="3" fontId="32" fillId="0" borderId="43" xfId="0" applyNumberFormat="1" applyFont="1" applyBorder="1" applyAlignment="1">
      <alignment vertical="center"/>
    </xf>
    <xf numFmtId="3" fontId="32" fillId="0" borderId="11" xfId="0" applyNumberFormat="1" applyFont="1" applyBorder="1" applyAlignment="1">
      <alignment vertical="center"/>
    </xf>
    <xf numFmtId="165" fontId="32" fillId="0" borderId="17" xfId="0" applyNumberFormat="1" applyFont="1" applyBorder="1" applyAlignment="1">
      <alignment vertical="center"/>
    </xf>
    <xf numFmtId="165" fontId="32" fillId="0" borderId="11" xfId="0" applyNumberFormat="1" applyFont="1" applyBorder="1" applyAlignment="1">
      <alignment vertical="center"/>
    </xf>
    <xf numFmtId="165" fontId="32" fillId="0" borderId="12" xfId="0" applyNumberFormat="1" applyFont="1" applyBorder="1" applyAlignment="1">
      <alignment vertical="center"/>
    </xf>
    <xf numFmtId="165" fontId="36" fillId="0" borderId="0" xfId="0" applyNumberFormat="1" applyFont="1"/>
    <xf numFmtId="165" fontId="52" fillId="0" borderId="0" xfId="0" applyNumberFormat="1" applyFont="1" applyAlignment="1">
      <alignment vertical="center"/>
    </xf>
    <xf numFmtId="0" fontId="52" fillId="37" borderId="42" xfId="0" applyFont="1" applyFill="1" applyBorder="1" applyAlignment="1">
      <alignment horizontal="center" wrapText="1"/>
    </xf>
    <xf numFmtId="0" fontId="32" fillId="28" borderId="47" xfId="0" applyFont="1" applyFill="1" applyBorder="1" applyAlignment="1">
      <alignment horizontal="center" wrapText="1"/>
    </xf>
    <xf numFmtId="3" fontId="32" fillId="38" borderId="65" xfId="0" applyNumberFormat="1" applyFont="1" applyFill="1" applyBorder="1" applyAlignment="1">
      <alignment horizontal="center" wrapText="1"/>
    </xf>
    <xf numFmtId="0" fontId="8" fillId="24" borderId="56" xfId="0" applyFont="1" applyFill="1" applyBorder="1" applyAlignment="1">
      <alignment horizontal="left" vertical="center" wrapText="1"/>
    </xf>
    <xf numFmtId="0" fontId="0" fillId="24" borderId="50" xfId="0" applyFill="1" applyBorder="1" applyAlignment="1">
      <alignment horizontal="center" wrapText="1"/>
    </xf>
    <xf numFmtId="0" fontId="4" fillId="28" borderId="33" xfId="0" applyFont="1" applyFill="1" applyBorder="1" applyAlignment="1">
      <alignment horizontal="left" vertical="center" wrapText="1"/>
    </xf>
    <xf numFmtId="0" fontId="59" fillId="0" borderId="0" xfId="0" applyFont="1" applyAlignment="1">
      <alignment vertical="center"/>
    </xf>
    <xf numFmtId="0" fontId="68" fillId="0" borderId="0" xfId="0" applyFont="1" applyAlignment="1">
      <alignment horizontal="left"/>
    </xf>
    <xf numFmtId="0" fontId="36" fillId="0" borderId="43" xfId="0" applyFont="1" applyBorder="1" applyAlignment="1">
      <alignment vertical="center" wrapText="1"/>
    </xf>
    <xf numFmtId="165" fontId="0" fillId="0" borderId="11" xfId="0" applyNumberFormat="1" applyBorder="1" applyAlignment="1">
      <alignment vertical="center" wrapText="1"/>
    </xf>
    <xf numFmtId="0" fontId="64" fillId="0" borderId="26" xfId="0" applyFont="1" applyBorder="1" applyAlignment="1">
      <alignment horizontal="center" vertical="center" wrapText="1"/>
    </xf>
    <xf numFmtId="0" fontId="0" fillId="0" borderId="0" xfId="0" applyAlignment="1">
      <alignment vertical="center"/>
    </xf>
    <xf numFmtId="165"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58" xfId="0" applyNumberFormat="1" applyFont="1" applyBorder="1" applyAlignment="1">
      <alignment vertical="center"/>
    </xf>
    <xf numFmtId="0" fontId="4" fillId="0" borderId="0" xfId="0" applyFont="1" applyAlignment="1">
      <alignment vertical="center"/>
    </xf>
    <xf numFmtId="0" fontId="36" fillId="40" borderId="56" xfId="0" applyFont="1" applyFill="1" applyBorder="1" applyAlignment="1" applyProtection="1">
      <alignment vertical="center" wrapText="1"/>
      <protection locked="0"/>
    </xf>
    <xf numFmtId="10" fontId="32" fillId="40" borderId="11" xfId="92" applyNumberFormat="1" applyFont="1" applyFill="1" applyBorder="1" applyAlignment="1">
      <alignment horizontal="center"/>
    </xf>
    <xf numFmtId="0" fontId="32" fillId="40" borderId="11" xfId="0" applyFont="1" applyFill="1" applyBorder="1" applyAlignment="1">
      <alignment horizontal="left" vertical="center" wrapText="1"/>
    </xf>
    <xf numFmtId="0" fontId="5" fillId="26" borderId="28" xfId="82" applyFont="1" applyFill="1" applyBorder="1" applyAlignment="1">
      <alignment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3"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58" xfId="0" applyNumberFormat="1" applyFill="1" applyBorder="1" applyAlignment="1" applyProtection="1">
      <alignment vertical="center"/>
      <protection locked="0"/>
    </xf>
    <xf numFmtId="3" fontId="45" fillId="29" borderId="0" xfId="0" applyNumberFormat="1" applyFont="1" applyFill="1" applyAlignment="1">
      <alignment horizontal="left" vertical="top" wrapText="1"/>
    </xf>
    <xf numFmtId="9" fontId="8" fillId="40" borderId="65" xfId="92" applyFont="1" applyFill="1" applyBorder="1" applyAlignment="1" applyProtection="1">
      <alignment horizontal="center" vertical="center" wrapText="1"/>
      <protection locked="0"/>
    </xf>
    <xf numFmtId="0" fontId="36" fillId="40" borderId="58" xfId="0" applyFont="1" applyFill="1" applyBorder="1" applyAlignment="1" applyProtection="1">
      <alignment horizontal="center" vertical="center" wrapText="1"/>
      <protection locked="0"/>
    </xf>
    <xf numFmtId="3" fontId="32" fillId="40" borderId="55"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35" fillId="0" borderId="43" xfId="0" applyFont="1" applyBorder="1" applyAlignment="1">
      <alignment vertical="center" wrapText="1"/>
    </xf>
    <xf numFmtId="0" fontId="7" fillId="25" borderId="29" xfId="82" applyFont="1" applyFill="1" applyBorder="1"/>
    <xf numFmtId="0" fontId="7" fillId="25" borderId="17" xfId="82" applyFont="1" applyFill="1" applyBorder="1"/>
    <xf numFmtId="0" fontId="7" fillId="25" borderId="0" xfId="82" applyFont="1" applyFill="1"/>
    <xf numFmtId="9" fontId="2" fillId="25" borderId="0" xfId="92" applyFont="1" applyFill="1" applyBorder="1"/>
    <xf numFmtId="0" fontId="54" fillId="25" borderId="0" xfId="72" applyFont="1" applyFill="1" applyBorder="1" applyAlignment="1" applyProtection="1">
      <alignment horizontal="left"/>
    </xf>
    <xf numFmtId="0" fontId="5" fillId="25" borderId="0" xfId="82" applyFont="1" applyFill="1"/>
    <xf numFmtId="0" fontId="2" fillId="25" borderId="0" xfId="82" applyFill="1"/>
    <xf numFmtId="165" fontId="5" fillId="25" borderId="0" xfId="82" applyNumberFormat="1" applyFont="1" applyFill="1"/>
    <xf numFmtId="3" fontId="2" fillId="25" borderId="0" xfId="82" applyNumberFormat="1" applyFill="1"/>
    <xf numFmtId="165" fontId="5" fillId="25" borderId="0" xfId="82" applyNumberFormat="1" applyFont="1" applyFill="1" applyAlignment="1">
      <alignment horizontal="left"/>
    </xf>
    <xf numFmtId="0" fontId="2" fillId="25" borderId="0" xfId="82" applyFill="1" applyAlignment="1">
      <alignment horizontal="left"/>
    </xf>
    <xf numFmtId="0" fontId="7" fillId="25" borderId="0" xfId="82" applyFont="1" applyFill="1" applyAlignment="1">
      <alignment horizontal="left"/>
    </xf>
    <xf numFmtId="0" fontId="2" fillId="25" borderId="0" xfId="82" applyFill="1" applyAlignment="1">
      <alignment vertical="top"/>
    </xf>
    <xf numFmtId="165" fontId="2" fillId="25" borderId="0" xfId="82" applyNumberFormat="1" applyFill="1"/>
    <xf numFmtId="0" fontId="0" fillId="25" borderId="0" xfId="0" applyFill="1"/>
    <xf numFmtId="0" fontId="2" fillId="25" borderId="0" xfId="82" applyFill="1" applyAlignment="1">
      <alignment horizontal="center" wrapText="1"/>
    </xf>
    <xf numFmtId="3" fontId="2" fillId="25" borderId="0" xfId="82" applyNumberFormat="1" applyFill="1" applyAlignment="1">
      <alignment horizontal="center" wrapText="1"/>
    </xf>
    <xf numFmtId="3" fontId="2" fillId="25" borderId="0" xfId="82" applyNumberFormat="1" applyFill="1" applyAlignment="1">
      <alignment horizontal="right"/>
    </xf>
    <xf numFmtId="164" fontId="2" fillId="25" borderId="0" xfId="82" applyNumberFormat="1" applyFill="1"/>
    <xf numFmtId="165" fontId="5" fillId="25" borderId="0" xfId="82" applyNumberFormat="1" applyFont="1" applyFill="1" applyAlignment="1">
      <alignment horizontal="right"/>
    </xf>
    <xf numFmtId="0" fontId="70" fillId="0" borderId="0" xfId="0" applyFont="1"/>
    <xf numFmtId="0" fontId="64" fillId="0" borderId="11" xfId="82" applyFont="1" applyBorder="1" applyAlignment="1">
      <alignment horizontal="center" wrapText="1"/>
    </xf>
    <xf numFmtId="0" fontId="64" fillId="0" borderId="11" xfId="82" applyFont="1" applyBorder="1" applyAlignment="1">
      <alignment wrapText="1"/>
    </xf>
    <xf numFmtId="0" fontId="46" fillId="0" borderId="0" xfId="82" applyFont="1"/>
    <xf numFmtId="164" fontId="64" fillId="0" borderId="0" xfId="82" applyNumberFormat="1" applyFont="1" applyAlignment="1">
      <alignment horizontal="right"/>
    </xf>
    <xf numFmtId="0" fontId="71" fillId="0" borderId="0" xfId="82" applyFont="1"/>
    <xf numFmtId="0" fontId="64" fillId="0" borderId="0" xfId="82" applyFont="1"/>
    <xf numFmtId="165" fontId="64" fillId="0" borderId="11" xfId="82" applyNumberFormat="1" applyFont="1" applyBorder="1" applyAlignment="1">
      <alignment horizontal="center" wrapText="1"/>
    </xf>
    <xf numFmtId="165" fontId="64" fillId="0" borderId="11" xfId="82" applyNumberFormat="1" applyFont="1" applyBorder="1"/>
    <xf numFmtId="0" fontId="0" fillId="0" borderId="29" xfId="0" applyBorder="1" applyAlignment="1">
      <alignment wrapText="1"/>
    </xf>
    <xf numFmtId="0" fontId="0" fillId="0" borderId="17" xfId="0" applyBorder="1" applyAlignment="1">
      <alignment wrapText="1"/>
    </xf>
    <xf numFmtId="0" fontId="0" fillId="0" borderId="11" xfId="0" applyBorder="1" applyAlignment="1">
      <alignment wrapText="1"/>
    </xf>
    <xf numFmtId="0" fontId="0" fillId="0" borderId="39" xfId="0" applyBorder="1" applyAlignment="1">
      <alignment wrapText="1"/>
    </xf>
    <xf numFmtId="0" fontId="0" fillId="0" borderId="37" xfId="0" applyBorder="1" applyAlignment="1">
      <alignment wrapText="1"/>
    </xf>
    <xf numFmtId="0" fontId="64" fillId="0" borderId="12" xfId="82" applyFont="1" applyBorder="1" applyAlignment="1">
      <alignment wrapText="1"/>
    </xf>
    <xf numFmtId="0" fontId="64" fillId="0" borderId="13" xfId="82" applyFont="1" applyBorder="1" applyAlignment="1">
      <alignment horizontal="left" vertical="top"/>
    </xf>
    <xf numFmtId="0" fontId="0" fillId="0" borderId="0" xfId="0" applyAlignment="1">
      <alignment wrapText="1"/>
    </xf>
    <xf numFmtId="0" fontId="56" fillId="0" borderId="11" xfId="0" applyFont="1" applyBorder="1" applyAlignment="1">
      <alignment horizontal="right" wrapText="1"/>
    </xf>
    <xf numFmtId="44" fontId="0" fillId="0" borderId="11" xfId="0" applyNumberFormat="1" applyBorder="1"/>
    <xf numFmtId="0" fontId="5" fillId="24" borderId="0" xfId="82" applyFont="1" applyFill="1" applyAlignment="1">
      <alignment wrapText="1"/>
    </xf>
    <xf numFmtId="0" fontId="8" fillId="24" borderId="0" xfId="82" applyFont="1" applyFill="1"/>
    <xf numFmtId="165" fontId="0" fillId="25" borderId="11" xfId="0" applyNumberFormat="1" applyFill="1" applyBorder="1" applyAlignment="1">
      <alignment wrapText="1"/>
    </xf>
    <xf numFmtId="165" fontId="56" fillId="25" borderId="11" xfId="0" applyNumberFormat="1" applyFont="1" applyFill="1" applyBorder="1" applyAlignment="1">
      <alignment wrapText="1"/>
    </xf>
    <xf numFmtId="0" fontId="69" fillId="0" borderId="11" xfId="82" applyFont="1" applyBorder="1" applyAlignment="1">
      <alignment wrapText="1"/>
    </xf>
    <xf numFmtId="0" fontId="0" fillId="0" borderId="29" xfId="0" applyBorder="1"/>
    <xf numFmtId="0" fontId="0" fillId="0" borderId="12" xfId="0" applyBorder="1"/>
    <xf numFmtId="0" fontId="71" fillId="0" borderId="12" xfId="82" applyFont="1" applyBorder="1"/>
    <xf numFmtId="0" fontId="64" fillId="0" borderId="11" xfId="82" applyFont="1" applyBorder="1" applyAlignment="1">
      <alignment vertical="center" wrapText="1"/>
    </xf>
    <xf numFmtId="3" fontId="64" fillId="25" borderId="11" xfId="82" applyNumberFormat="1" applyFont="1" applyFill="1" applyBorder="1" applyAlignment="1">
      <alignment vertical="center"/>
    </xf>
    <xf numFmtId="0" fontId="64" fillId="25" borderId="11" xfId="82" applyFont="1" applyFill="1" applyBorder="1" applyAlignment="1">
      <alignment vertical="center"/>
    </xf>
    <xf numFmtId="3" fontId="64" fillId="25" borderId="11" xfId="82" applyNumberFormat="1" applyFont="1" applyFill="1" applyBorder="1" applyAlignment="1">
      <alignment horizontal="right" vertical="center"/>
    </xf>
    <xf numFmtId="165" fontId="64" fillId="25" borderId="11" xfId="82" applyNumberFormat="1" applyFont="1" applyFill="1" applyBorder="1" applyAlignment="1">
      <alignment vertical="center"/>
    </xf>
    <xf numFmtId="165" fontId="30" fillId="25" borderId="11" xfId="0" applyNumberFormat="1" applyFont="1" applyFill="1" applyBorder="1" applyAlignment="1">
      <alignment vertical="center"/>
    </xf>
    <xf numFmtId="3" fontId="64" fillId="0" borderId="11" xfId="82" applyNumberFormat="1" applyFont="1" applyBorder="1" applyAlignment="1">
      <alignment vertical="center"/>
    </xf>
    <xf numFmtId="0" fontId="64" fillId="0" borderId="11" xfId="82" applyFont="1" applyBorder="1" applyAlignment="1">
      <alignment vertical="center"/>
    </xf>
    <xf numFmtId="168" fontId="64" fillId="0" borderId="11" xfId="82" applyNumberFormat="1" applyFont="1" applyBorder="1" applyAlignment="1">
      <alignment horizontal="right" vertical="center"/>
    </xf>
    <xf numFmtId="0" fontId="32" fillId="0" borderId="56" xfId="0" applyFont="1" applyBorder="1" applyAlignment="1">
      <alignment vertical="center" wrapText="1"/>
    </xf>
    <xf numFmtId="3" fontId="32" fillId="0" borderId="55" xfId="0" applyNumberFormat="1" applyFont="1" applyBorder="1" applyAlignment="1">
      <alignment vertical="center"/>
    </xf>
    <xf numFmtId="0" fontId="36" fillId="24" borderId="42" xfId="0" applyFont="1" applyFill="1" applyBorder="1" applyAlignment="1">
      <alignment vertical="center" wrapText="1"/>
    </xf>
    <xf numFmtId="0" fontId="32" fillId="0" borderId="44" xfId="0" applyFont="1" applyBorder="1" applyAlignment="1">
      <alignment vertical="center" wrapText="1"/>
    </xf>
    <xf numFmtId="3" fontId="32" fillId="0" borderId="71" xfId="0" applyNumberFormat="1" applyFont="1" applyBorder="1" applyAlignment="1">
      <alignment vertical="center"/>
    </xf>
    <xf numFmtId="0" fontId="32" fillId="0" borderId="0" xfId="0" applyFont="1" applyAlignment="1">
      <alignment vertical="center" wrapText="1"/>
    </xf>
    <xf numFmtId="3" fontId="32" fillId="0" borderId="0" xfId="0" applyNumberFormat="1" applyFont="1" applyAlignment="1">
      <alignment vertical="center"/>
    </xf>
    <xf numFmtId="0" fontId="69" fillId="0" borderId="0" xfId="0" applyFont="1" applyAlignment="1">
      <alignment vertical="center"/>
    </xf>
    <xf numFmtId="165" fontId="56" fillId="0" borderId="11" xfId="0" applyNumberFormat="1" applyFont="1" applyBorder="1" applyAlignment="1">
      <alignment vertical="center"/>
    </xf>
    <xf numFmtId="3" fontId="56" fillId="0" borderId="11" xfId="0" applyNumberFormat="1" applyFont="1" applyBorder="1" applyAlignment="1">
      <alignment vertical="center"/>
    </xf>
    <xf numFmtId="0" fontId="0" fillId="24" borderId="41" xfId="0" applyFill="1" applyBorder="1" applyAlignment="1">
      <alignment horizontal="center" wrapText="1"/>
    </xf>
    <xf numFmtId="0" fontId="64" fillId="0" borderId="32" xfId="0" applyFont="1" applyBorder="1" applyAlignment="1">
      <alignment horizontal="center" vertical="center" wrapText="1"/>
    </xf>
    <xf numFmtId="10" fontId="0" fillId="40" borderId="34" xfId="0" applyNumberFormat="1" applyFill="1" applyBorder="1" applyAlignment="1" applyProtection="1">
      <alignment vertical="center"/>
      <protection locked="0"/>
    </xf>
    <xf numFmtId="3" fontId="56" fillId="0" borderId="43" xfId="0" applyNumberFormat="1" applyFont="1" applyBorder="1" applyAlignment="1">
      <alignment vertical="center"/>
    </xf>
    <xf numFmtId="0" fontId="8" fillId="0" borderId="43" xfId="0" applyFont="1" applyBorder="1" applyAlignment="1">
      <alignment horizontal="left" vertical="center"/>
    </xf>
    <xf numFmtId="0" fontId="8" fillId="0" borderId="42" xfId="0" applyFont="1" applyBorder="1" applyAlignment="1">
      <alignment horizontal="left" vertical="center" wrapText="1"/>
    </xf>
    <xf numFmtId="165" fontId="0" fillId="0" borderId="47" xfId="0" applyNumberFormat="1" applyBorder="1"/>
    <xf numFmtId="0" fontId="0" fillId="25" borderId="47" xfId="0" applyFill="1" applyBorder="1"/>
    <xf numFmtId="9" fontId="0" fillId="25" borderId="42" xfId="92" applyFont="1" applyFill="1" applyBorder="1" applyProtection="1"/>
    <xf numFmtId="9" fontId="0" fillId="25" borderId="47" xfId="92" applyFont="1" applyFill="1" applyBorder="1" applyProtection="1"/>
    <xf numFmtId="9" fontId="0" fillId="25" borderId="65" xfId="92" applyFont="1" applyFill="1" applyBorder="1" applyProtection="1"/>
    <xf numFmtId="3" fontId="0" fillId="0" borderId="12" xfId="0" applyNumberFormat="1" applyBorder="1" applyAlignment="1">
      <alignment vertical="center"/>
    </xf>
    <xf numFmtId="3" fontId="0" fillId="0" borderId="34" xfId="0" applyNumberFormat="1" applyBorder="1" applyAlignment="1">
      <alignment vertical="center"/>
    </xf>
    <xf numFmtId="3" fontId="0" fillId="0" borderId="58" xfId="0" applyNumberFormat="1" applyBorder="1" applyAlignment="1">
      <alignment vertical="center"/>
    </xf>
    <xf numFmtId="3" fontId="0" fillId="0" borderId="11" xfId="0" applyNumberFormat="1" applyBorder="1" applyAlignment="1">
      <alignment vertical="center"/>
    </xf>
    <xf numFmtId="3" fontId="0" fillId="0" borderId="43" xfId="0" applyNumberFormat="1" applyBorder="1" applyAlignment="1">
      <alignment vertical="center"/>
    </xf>
    <xf numFmtId="0" fontId="68" fillId="0" borderId="0" xfId="0" applyFont="1" applyAlignment="1">
      <alignment vertical="center" wrapText="1"/>
    </xf>
    <xf numFmtId="0" fontId="36" fillId="24" borderId="42" xfId="0" applyFont="1" applyFill="1" applyBorder="1" applyAlignment="1">
      <alignment vertical="center"/>
    </xf>
    <xf numFmtId="0" fontId="0" fillId="24" borderId="72" xfId="0" applyFill="1" applyBorder="1" applyAlignment="1">
      <alignment horizontal="center" vertical="center" wrapText="1"/>
    </xf>
    <xf numFmtId="0" fontId="56" fillId="28" borderId="73" xfId="0" applyFont="1" applyFill="1" applyBorder="1"/>
    <xf numFmtId="0" fontId="32" fillId="0" borderId="34" xfId="0" applyFont="1" applyBorder="1" applyAlignment="1">
      <alignment vertical="center" wrapText="1"/>
    </xf>
    <xf numFmtId="0" fontId="7" fillId="0" borderId="34" xfId="0" applyFont="1" applyBorder="1" applyAlignment="1">
      <alignment vertical="center" wrapText="1"/>
    </xf>
    <xf numFmtId="0" fontId="69" fillId="0" borderId="12" xfId="0" applyFont="1" applyBorder="1"/>
    <xf numFmtId="0" fontId="7" fillId="0" borderId="29" xfId="82" applyFont="1" applyBorder="1"/>
    <xf numFmtId="0" fontId="7" fillId="0" borderId="17" xfId="82" applyFont="1" applyBorder="1"/>
    <xf numFmtId="0" fontId="56" fillId="0" borderId="12" xfId="0" applyFont="1" applyBorder="1"/>
    <xf numFmtId="0" fontId="0" fillId="0" borderId="17" xfId="0" applyBorder="1"/>
    <xf numFmtId="0" fontId="69" fillId="0" borderId="11" xfId="82" applyFont="1" applyBorder="1"/>
    <xf numFmtId="0" fontId="64" fillId="0" borderId="12" xfId="82" applyFont="1" applyBorder="1" applyAlignment="1">
      <alignment horizontal="center" wrapText="1"/>
    </xf>
    <xf numFmtId="3" fontId="64" fillId="0" borderId="11" xfId="82" applyNumberFormat="1" applyFont="1" applyBorder="1" applyAlignment="1">
      <alignment horizontal="center" wrapText="1"/>
    </xf>
    <xf numFmtId="0" fontId="64" fillId="0" borderId="11" xfId="82" applyFont="1" applyBorder="1" applyAlignment="1">
      <alignment vertical="top"/>
    </xf>
    <xf numFmtId="0" fontId="64" fillId="0" borderId="12" xfId="82" applyFont="1" applyBorder="1" applyAlignment="1">
      <alignment vertical="center" wrapText="1"/>
    </xf>
    <xf numFmtId="0" fontId="64" fillId="40" borderId="11" xfId="82" applyFont="1" applyFill="1" applyBorder="1" applyProtection="1">
      <protection locked="0"/>
    </xf>
    <xf numFmtId="166" fontId="64" fillId="40" borderId="11" xfId="56" applyNumberFormat="1" applyFont="1" applyFill="1" applyBorder="1" applyProtection="1">
      <protection locked="0"/>
    </xf>
    <xf numFmtId="169" fontId="64" fillId="40" borderId="11" xfId="92" applyNumberFormat="1" applyFont="1" applyFill="1" applyBorder="1" applyProtection="1">
      <protection locked="0"/>
    </xf>
    <xf numFmtId="3" fontId="64" fillId="0" borderId="11" xfId="82" applyNumberFormat="1" applyFont="1" applyBorder="1"/>
    <xf numFmtId="0" fontId="64" fillId="0" borderId="11" xfId="82" applyFont="1" applyBorder="1"/>
    <xf numFmtId="3" fontId="64" fillId="40" borderId="11" xfId="82" applyNumberFormat="1" applyFont="1" applyFill="1" applyBorder="1" applyAlignment="1" applyProtection="1">
      <alignment horizontal="right"/>
      <protection locked="0"/>
    </xf>
    <xf numFmtId="164" fontId="64" fillId="40" borderId="11" xfId="82" applyNumberFormat="1" applyFont="1" applyFill="1" applyBorder="1" applyProtection="1">
      <protection locked="0"/>
    </xf>
    <xf numFmtId="9" fontId="30" fillId="40" borderId="11" xfId="0" applyNumberFormat="1" applyFont="1" applyFill="1" applyBorder="1" applyProtection="1">
      <protection locked="0"/>
    </xf>
    <xf numFmtId="165" fontId="30" fillId="0" borderId="11" xfId="0" applyNumberFormat="1" applyFont="1" applyBorder="1"/>
    <xf numFmtId="0" fontId="64" fillId="0" borderId="12" xfId="82" applyFont="1" applyBorder="1"/>
    <xf numFmtId="0" fontId="30" fillId="0" borderId="0" xfId="0" applyFont="1"/>
    <xf numFmtId="165" fontId="69" fillId="0" borderId="11" xfId="82" applyNumberFormat="1" applyFont="1" applyBorder="1"/>
    <xf numFmtId="0" fontId="2" fillId="0" borderId="0" xfId="82"/>
    <xf numFmtId="0" fontId="72" fillId="0" borderId="12" xfId="0" applyFont="1" applyBorder="1"/>
    <xf numFmtId="0" fontId="56" fillId="0" borderId="11" xfId="0" applyFont="1" applyBorder="1"/>
    <xf numFmtId="0" fontId="30" fillId="0" borderId="11" xfId="0" applyFont="1" applyBorder="1"/>
    <xf numFmtId="165" fontId="64" fillId="0" borderId="16" xfId="82" applyNumberFormat="1" applyFont="1" applyBorder="1"/>
    <xf numFmtId="165" fontId="30" fillId="0" borderId="16" xfId="0" applyNumberFormat="1" applyFont="1" applyBorder="1"/>
    <xf numFmtId="3" fontId="30" fillId="0" borderId="0" xfId="0" applyNumberFormat="1" applyFont="1"/>
    <xf numFmtId="165" fontId="56" fillId="0" borderId="11" xfId="0" applyNumberFormat="1" applyFont="1" applyBorder="1"/>
    <xf numFmtId="0" fontId="64" fillId="0" borderId="0" xfId="0" applyFont="1"/>
    <xf numFmtId="0" fontId="46" fillId="41" borderId="0" xfId="0" applyFont="1" applyFill="1"/>
    <xf numFmtId="44" fontId="0" fillId="0" borderId="0" xfId="0" applyNumberFormat="1"/>
    <xf numFmtId="0" fontId="56" fillId="0" borderId="0" xfId="0" applyFont="1"/>
    <xf numFmtId="0" fontId="0" fillId="0" borderId="12" xfId="0" applyBorder="1" applyAlignment="1">
      <alignment vertical="center" wrapText="1"/>
    </xf>
    <xf numFmtId="3" fontId="64" fillId="40" borderId="11" xfId="82" applyNumberFormat="1" applyFont="1" applyFill="1" applyBorder="1" applyProtection="1">
      <protection locked="0"/>
    </xf>
    <xf numFmtId="0" fontId="0" fillId="0" borderId="12" xfId="0" applyBorder="1" applyAlignment="1">
      <alignment wrapText="1"/>
    </xf>
    <xf numFmtId="3" fontId="56" fillId="0" borderId="11" xfId="82" applyNumberFormat="1" applyFont="1" applyBorder="1"/>
    <xf numFmtId="0" fontId="64" fillId="40" borderId="11" xfId="82" applyFont="1" applyFill="1" applyBorder="1" applyAlignment="1" applyProtection="1">
      <alignment horizontal="right"/>
      <protection locked="0"/>
    </xf>
    <xf numFmtId="168" fontId="64" fillId="0" borderId="11" xfId="82" applyNumberFormat="1" applyFont="1" applyBorder="1"/>
    <xf numFmtId="165" fontId="64" fillId="25" borderId="11" xfId="82" applyNumberFormat="1" applyFont="1" applyFill="1" applyBorder="1"/>
    <xf numFmtId="168" fontId="56" fillId="0" borderId="11" xfId="82" applyNumberFormat="1" applyFont="1" applyBorder="1"/>
    <xf numFmtId="165" fontId="69" fillId="25" borderId="11" xfId="82" applyNumberFormat="1" applyFont="1" applyFill="1" applyBorder="1"/>
    <xf numFmtId="165" fontId="64" fillId="0" borderId="0" xfId="82" applyNumberFormat="1" applyFont="1" applyAlignment="1">
      <alignment horizontal="right"/>
    </xf>
    <xf numFmtId="166" fontId="64" fillId="40" borderId="11" xfId="56" applyNumberFormat="1" applyFont="1" applyFill="1" applyBorder="1" applyAlignment="1" applyProtection="1">
      <alignment horizontal="right"/>
      <protection locked="0"/>
    </xf>
    <xf numFmtId="170" fontId="64" fillId="0" borderId="11" xfId="82" applyNumberFormat="1" applyFont="1" applyBorder="1"/>
    <xf numFmtId="2" fontId="64" fillId="0" borderId="11" xfId="82" applyNumberFormat="1" applyFont="1" applyBorder="1"/>
    <xf numFmtId="165" fontId="69" fillId="25" borderId="0" xfId="82" applyNumberFormat="1" applyFont="1" applyFill="1"/>
    <xf numFmtId="164" fontId="56" fillId="0" borderId="11" xfId="0" applyNumberFormat="1" applyFont="1" applyBorder="1"/>
    <xf numFmtId="168" fontId="56" fillId="0" borderId="0" xfId="82" applyNumberFormat="1" applyFont="1"/>
    <xf numFmtId="0" fontId="69" fillId="0" borderId="0" xfId="82" applyFont="1"/>
    <xf numFmtId="165" fontId="64" fillId="0" borderId="0" xfId="82" applyNumberFormat="1" applyFont="1"/>
    <xf numFmtId="0" fontId="64" fillId="0" borderId="29" xfId="82" applyFont="1" applyBorder="1"/>
    <xf numFmtId="0" fontId="30" fillId="0" borderId="17" xfId="0" applyFont="1" applyBorder="1"/>
    <xf numFmtId="165" fontId="64" fillId="40" borderId="11" xfId="82" applyNumberFormat="1" applyFont="1" applyFill="1" applyBorder="1" applyProtection="1">
      <protection locked="0"/>
    </xf>
    <xf numFmtId="0" fontId="46" fillId="0" borderId="0" xfId="82" applyFont="1" applyAlignment="1">
      <alignment vertical="top"/>
    </xf>
    <xf numFmtId="3" fontId="2" fillId="0" borderId="11" xfId="82" applyNumberFormat="1" applyBorder="1"/>
    <xf numFmtId="3" fontId="64" fillId="0" borderId="0" xfId="82" applyNumberFormat="1" applyFont="1"/>
    <xf numFmtId="0" fontId="0" fillId="0" borderId="0" xfId="0" applyAlignment="1">
      <alignment horizontal="right"/>
    </xf>
    <xf numFmtId="3" fontId="0" fillId="28" borderId="43" xfId="0" applyNumberFormat="1" applyFill="1" applyBorder="1"/>
    <xf numFmtId="3" fontId="0" fillId="28" borderId="11" xfId="0" applyNumberFormat="1" applyFill="1" applyBorder="1"/>
    <xf numFmtId="0" fontId="64" fillId="0" borderId="11" xfId="82" applyFont="1" applyBorder="1" applyAlignment="1">
      <alignment horizontal="center"/>
    </xf>
    <xf numFmtId="0" fontId="30" fillId="0" borderId="11" xfId="0" applyFont="1" applyBorder="1" applyAlignment="1">
      <alignment wrapText="1"/>
    </xf>
    <xf numFmtId="1" fontId="64" fillId="40" borderId="11" xfId="82" applyNumberFormat="1" applyFont="1" applyFill="1" applyBorder="1" applyProtection="1">
      <protection locked="0"/>
    </xf>
    <xf numFmtId="164" fontId="30" fillId="0" borderId="11" xfId="0" applyNumberFormat="1" applyFont="1" applyBorder="1"/>
    <xf numFmtId="0" fontId="0" fillId="24" borderId="0" xfId="0" applyFill="1"/>
    <xf numFmtId="0" fontId="32" fillId="25" borderId="0" xfId="0" applyFont="1" applyFill="1" applyAlignment="1">
      <alignment vertical="center"/>
    </xf>
    <xf numFmtId="0" fontId="32" fillId="25" borderId="32" xfId="0" applyFont="1" applyFill="1" applyBorder="1"/>
    <xf numFmtId="0" fontId="32" fillId="25" borderId="0" xfId="0" applyFont="1" applyFill="1"/>
    <xf numFmtId="0" fontId="32" fillId="25" borderId="32" xfId="0" applyFont="1" applyFill="1" applyBorder="1" applyAlignment="1">
      <alignment vertical="center"/>
    </xf>
    <xf numFmtId="0" fontId="8" fillId="25" borderId="0" xfId="82" applyFont="1" applyFill="1"/>
    <xf numFmtId="0" fontId="36" fillId="25" borderId="0" xfId="0" applyFont="1" applyFill="1" applyAlignment="1">
      <alignment vertical="center"/>
    </xf>
    <xf numFmtId="3" fontId="56" fillId="0" borderId="0" xfId="0" applyNumberFormat="1" applyFont="1"/>
    <xf numFmtId="165" fontId="56" fillId="0" borderId="0" xfId="0" applyNumberFormat="1" applyFont="1"/>
    <xf numFmtId="0" fontId="8" fillId="0" borderId="43" xfId="0" applyFont="1" applyBorder="1" applyAlignment="1">
      <alignment horizontal="left" vertical="center" wrapText="1"/>
    </xf>
    <xf numFmtId="0" fontId="32" fillId="25" borderId="56" xfId="0" applyFont="1" applyFill="1" applyBorder="1" applyAlignment="1">
      <alignment vertical="center" wrapText="1"/>
    </xf>
    <xf numFmtId="0" fontId="37" fillId="28" borderId="33" xfId="0" applyFont="1" applyFill="1" applyBorder="1" applyAlignment="1">
      <alignment vertical="center"/>
    </xf>
    <xf numFmtId="165" fontId="57" fillId="28" borderId="74" xfId="0" applyNumberFormat="1" applyFont="1" applyFill="1" applyBorder="1" applyAlignment="1">
      <alignment vertical="center"/>
    </xf>
    <xf numFmtId="10" fontId="32" fillId="24" borderId="11" xfId="0" applyNumberFormat="1" applyFont="1" applyFill="1" applyBorder="1" applyAlignment="1">
      <alignment vertical="center"/>
    </xf>
    <xf numFmtId="10" fontId="32" fillId="24" borderId="17" xfId="0" applyNumberFormat="1" applyFont="1" applyFill="1" applyBorder="1" applyAlignment="1">
      <alignment vertical="center"/>
    </xf>
    <xf numFmtId="10" fontId="32" fillId="24" borderId="15" xfId="0" applyNumberFormat="1" applyFont="1" applyFill="1" applyBorder="1" applyAlignment="1">
      <alignment vertical="center"/>
    </xf>
    <xf numFmtId="10" fontId="32" fillId="24" borderId="37" xfId="0" applyNumberFormat="1" applyFont="1" applyFill="1" applyBorder="1" applyAlignment="1">
      <alignment vertical="center"/>
    </xf>
    <xf numFmtId="0" fontId="32" fillId="0" borderId="56" xfId="0" applyFont="1" applyBorder="1" applyAlignment="1">
      <alignment vertical="center"/>
    </xf>
    <xf numFmtId="0" fontId="32" fillId="0" borderId="47" xfId="0" applyFont="1" applyBorder="1" applyAlignment="1">
      <alignment horizontal="center" vertical="center" wrapText="1"/>
    </xf>
    <xf numFmtId="0" fontId="32" fillId="0" borderId="64" xfId="0" applyFont="1" applyBorder="1" applyAlignment="1">
      <alignment horizontal="center" vertical="center" wrapText="1"/>
    </xf>
    <xf numFmtId="0" fontId="2" fillId="0" borderId="11" xfId="82" applyBorder="1"/>
    <xf numFmtId="0" fontId="2" fillId="0" borderId="11" xfId="82" applyBorder="1" applyAlignment="1">
      <alignment horizontal="right"/>
    </xf>
    <xf numFmtId="170" fontId="2" fillId="0" borderId="11" xfId="82" applyNumberFormat="1" applyBorder="1"/>
    <xf numFmtId="1" fontId="2" fillId="0" borderId="11" xfId="82" applyNumberFormat="1" applyBorder="1"/>
    <xf numFmtId="8" fontId="2" fillId="0" borderId="11" xfId="82" applyNumberFormat="1" applyBorder="1"/>
    <xf numFmtId="170" fontId="2" fillId="0" borderId="0" xfId="82" applyNumberFormat="1"/>
    <xf numFmtId="8" fontId="2" fillId="0" borderId="0" xfId="82" applyNumberFormat="1"/>
    <xf numFmtId="1" fontId="2" fillId="0" borderId="0" xfId="82" applyNumberFormat="1"/>
    <xf numFmtId="0" fontId="31" fillId="0" borderId="0" xfId="72" applyFill="1" applyAlignment="1" applyProtection="1"/>
    <xf numFmtId="10" fontId="2" fillId="0" borderId="0" xfId="82" applyNumberFormat="1"/>
    <xf numFmtId="9" fontId="2" fillId="0" borderId="0" xfId="82" applyNumberFormat="1"/>
    <xf numFmtId="0" fontId="2" fillId="0" borderId="29" xfId="82" applyBorder="1"/>
    <xf numFmtId="0" fontId="2" fillId="0" borderId="17" xfId="82" applyBorder="1"/>
    <xf numFmtId="0" fontId="5" fillId="0" borderId="12" xfId="82" applyFont="1" applyBorder="1"/>
    <xf numFmtId="8" fontId="5" fillId="0" borderId="11" xfId="82" applyNumberFormat="1" applyFont="1" applyBorder="1"/>
    <xf numFmtId="165" fontId="2" fillId="0" borderId="11" xfId="82" applyNumberFormat="1" applyBorder="1"/>
    <xf numFmtId="165" fontId="5" fillId="0" borderId="11" xfId="82" applyNumberFormat="1" applyFont="1" applyBorder="1"/>
    <xf numFmtId="3" fontId="32" fillId="0" borderId="75" xfId="0" applyNumberFormat="1" applyFont="1" applyBorder="1" applyAlignment="1">
      <alignment vertical="center"/>
    </xf>
    <xf numFmtId="3" fontId="32" fillId="0" borderId="15" xfId="0" applyNumberFormat="1" applyFont="1" applyBorder="1" applyAlignment="1">
      <alignment vertical="center"/>
    </xf>
    <xf numFmtId="165" fontId="32" fillId="24" borderId="12" xfId="0" applyNumberFormat="1" applyFont="1" applyFill="1" applyBorder="1" applyAlignment="1">
      <alignment horizontal="right" vertical="center"/>
    </xf>
    <xf numFmtId="165" fontId="32" fillId="24" borderId="39" xfId="0" applyNumberFormat="1" applyFont="1" applyFill="1" applyBorder="1" applyAlignment="1">
      <alignment horizontal="right" vertical="center"/>
    </xf>
    <xf numFmtId="0" fontId="8" fillId="0" borderId="44" xfId="0" applyFont="1" applyBorder="1" applyAlignment="1">
      <alignment horizontal="left" vertical="center"/>
    </xf>
    <xf numFmtId="0" fontId="7" fillId="0" borderId="44" xfId="0" applyFont="1" applyBorder="1" applyAlignment="1">
      <alignment horizontal="left" vertical="center"/>
    </xf>
    <xf numFmtId="0" fontId="7" fillId="0" borderId="59" xfId="0" applyFont="1" applyBorder="1" applyAlignment="1">
      <alignment horizontal="left" vertical="center"/>
    </xf>
    <xf numFmtId="0" fontId="7" fillId="0" borderId="56" xfId="0" applyFont="1" applyBorder="1" applyAlignment="1">
      <alignment horizontal="left" vertical="center"/>
    </xf>
    <xf numFmtId="0" fontId="46" fillId="0" borderId="73" xfId="0" applyFont="1" applyBorder="1"/>
    <xf numFmtId="0" fontId="0" fillId="25" borderId="65" xfId="0" applyFill="1" applyBorder="1"/>
    <xf numFmtId="165" fontId="0" fillId="0" borderId="0" xfId="0" applyNumberFormat="1"/>
    <xf numFmtId="3" fontId="0" fillId="0" borderId="15" xfId="0" applyNumberFormat="1" applyBorder="1"/>
    <xf numFmtId="3" fontId="0" fillId="0" borderId="13" xfId="0" applyNumberFormat="1" applyBorder="1"/>
    <xf numFmtId="3" fontId="0" fillId="0" borderId="37" xfId="0" applyNumberFormat="1" applyBorder="1"/>
    <xf numFmtId="165" fontId="56" fillId="0" borderId="16" xfId="0" applyNumberFormat="1" applyFont="1" applyBorder="1" applyAlignment="1">
      <alignment vertical="center"/>
    </xf>
    <xf numFmtId="3" fontId="56" fillId="0" borderId="14" xfId="0" applyNumberFormat="1" applyFont="1" applyBorder="1" applyAlignment="1">
      <alignment vertical="center"/>
    </xf>
    <xf numFmtId="3" fontId="56" fillId="0" borderId="32" xfId="0" applyNumberFormat="1" applyFont="1" applyBorder="1" applyAlignment="1">
      <alignment vertical="center"/>
    </xf>
    <xf numFmtId="3" fontId="56" fillId="0" borderId="76" xfId="0" applyNumberFormat="1" applyFont="1" applyBorder="1" applyAlignment="1">
      <alignment vertical="center"/>
    </xf>
    <xf numFmtId="0" fontId="36" fillId="0" borderId="44" xfId="0" applyFont="1" applyBorder="1" applyAlignment="1">
      <alignment vertical="center" wrapText="1"/>
    </xf>
    <xf numFmtId="0" fontId="64" fillId="0" borderId="0" xfId="0" applyFont="1" applyAlignment="1">
      <alignment horizontal="center" vertical="center" wrapText="1"/>
    </xf>
    <xf numFmtId="0" fontId="36" fillId="24" borderId="42" xfId="0" applyFont="1" applyFill="1" applyBorder="1"/>
    <xf numFmtId="165" fontId="56" fillId="0" borderId="57" xfId="0" applyNumberFormat="1" applyFont="1" applyBorder="1" applyAlignment="1">
      <alignment vertical="center"/>
    </xf>
    <xf numFmtId="3" fontId="56" fillId="0" borderId="57" xfId="0" applyNumberFormat="1" applyFont="1" applyBorder="1" applyAlignment="1">
      <alignment vertical="center"/>
    </xf>
    <xf numFmtId="3" fontId="56" fillId="0" borderId="55" xfId="0" applyNumberFormat="1" applyFont="1" applyBorder="1" applyAlignment="1">
      <alignment vertical="center"/>
    </xf>
    <xf numFmtId="3" fontId="56" fillId="0" borderId="56" xfId="0" applyNumberFormat="1" applyFont="1" applyBorder="1" applyAlignment="1">
      <alignment vertical="center"/>
    </xf>
    <xf numFmtId="3" fontId="56" fillId="0" borderId="67" xfId="0" applyNumberFormat="1" applyFont="1" applyBorder="1" applyAlignment="1">
      <alignment vertical="center"/>
    </xf>
    <xf numFmtId="0" fontId="32" fillId="0" borderId="70" xfId="0" applyFont="1" applyBorder="1" applyAlignment="1">
      <alignment vertical="center" wrapText="1"/>
    </xf>
    <xf numFmtId="0" fontId="32" fillId="0" borderId="11" xfId="0" applyFont="1" applyBorder="1" applyAlignment="1">
      <alignment vertical="center" wrapText="1"/>
    </xf>
    <xf numFmtId="3" fontId="0" fillId="28" borderId="15" xfId="0" applyNumberFormat="1" applyFill="1" applyBorder="1"/>
    <xf numFmtId="0" fontId="0" fillId="0" borderId="26" xfId="0" applyBorder="1"/>
    <xf numFmtId="0" fontId="0" fillId="0" borderId="72" xfId="0" applyBorder="1"/>
    <xf numFmtId="3" fontId="0" fillId="0" borderId="39" xfId="0" applyNumberFormat="1" applyBorder="1"/>
    <xf numFmtId="0" fontId="0" fillId="38" borderId="42" xfId="0" applyFill="1" applyBorder="1" applyAlignment="1">
      <alignment horizontal="center" vertical="center" wrapText="1"/>
    </xf>
    <xf numFmtId="0" fontId="0" fillId="38" borderId="65" xfId="0" applyFill="1" applyBorder="1" applyAlignment="1">
      <alignment horizontal="center" vertical="center" wrapText="1"/>
    </xf>
    <xf numFmtId="1" fontId="32" fillId="0" borderId="12" xfId="0" applyNumberFormat="1" applyFont="1" applyBorder="1"/>
    <xf numFmtId="1" fontId="32" fillId="0" borderId="67" xfId="0" applyNumberFormat="1" applyFont="1" applyBorder="1"/>
    <xf numFmtId="1" fontId="32" fillId="0" borderId="58" xfId="0" applyNumberFormat="1" applyFont="1" applyBorder="1"/>
    <xf numFmtId="1" fontId="32" fillId="0" borderId="55" xfId="0" applyNumberFormat="1" applyFont="1" applyBorder="1"/>
    <xf numFmtId="0" fontId="0" fillId="24" borderId="42" xfId="0" applyFill="1" applyBorder="1" applyAlignment="1">
      <alignment horizontal="center" vertical="center" wrapText="1"/>
    </xf>
    <xf numFmtId="0" fontId="0" fillId="24" borderId="65" xfId="0" applyFill="1" applyBorder="1" applyAlignment="1">
      <alignment horizontal="center" vertical="center" wrapText="1"/>
    </xf>
    <xf numFmtId="0" fontId="56" fillId="0" borderId="26" xfId="0" applyFont="1" applyBorder="1"/>
    <xf numFmtId="8" fontId="0" fillId="40" borderId="0" xfId="0" applyNumberFormat="1" applyFill="1" applyProtection="1">
      <protection locked="0"/>
    </xf>
    <xf numFmtId="0" fontId="8" fillId="24" borderId="0" xfId="82" applyFont="1" applyFill="1" applyAlignment="1">
      <alignment vertical="center"/>
    </xf>
    <xf numFmtId="0" fontId="60" fillId="24" borderId="0" xfId="82" applyFont="1" applyFill="1"/>
    <xf numFmtId="0" fontId="2" fillId="24" borderId="0" xfId="82" applyFill="1" applyAlignment="1">
      <alignment horizontal="center" wrapText="1"/>
    </xf>
    <xf numFmtId="165" fontId="2" fillId="24" borderId="0" xfId="82" applyNumberFormat="1" applyFill="1"/>
    <xf numFmtId="165" fontId="5" fillId="24" borderId="0" xfId="82" applyNumberFormat="1" applyFont="1" applyFill="1"/>
    <xf numFmtId="2" fontId="2" fillId="0" borderId="11" xfId="82" applyNumberFormat="1" applyBorder="1"/>
    <xf numFmtId="164" fontId="7" fillId="24" borderId="0" xfId="82" applyNumberFormat="1" applyFont="1" applyFill="1"/>
    <xf numFmtId="0" fontId="0" fillId="25" borderId="0" xfId="0" applyFill="1" applyAlignment="1">
      <alignment horizontal="left" vertical="center"/>
    </xf>
    <xf numFmtId="0" fontId="0" fillId="25" borderId="0" xfId="0" applyFill="1" applyAlignment="1">
      <alignment vertical="center"/>
    </xf>
    <xf numFmtId="10" fontId="32" fillId="40" borderId="17" xfId="0" applyNumberFormat="1" applyFont="1" applyFill="1" applyBorder="1" applyAlignment="1" applyProtection="1">
      <alignment vertical="center"/>
      <protection locked="0"/>
    </xf>
    <xf numFmtId="10" fontId="32" fillId="40" borderId="11" xfId="0" applyNumberFormat="1" applyFont="1" applyFill="1" applyBorder="1" applyAlignment="1" applyProtection="1">
      <alignment vertical="center"/>
      <protection locked="0"/>
    </xf>
    <xf numFmtId="10" fontId="32" fillId="40" borderId="15" xfId="0" applyNumberFormat="1" applyFont="1" applyFill="1" applyBorder="1" applyAlignment="1" applyProtection="1">
      <alignment vertical="center"/>
      <protection locked="0"/>
    </xf>
    <xf numFmtId="10" fontId="32" fillId="40" borderId="37" xfId="0" applyNumberFormat="1" applyFont="1" applyFill="1" applyBorder="1" applyAlignment="1" applyProtection="1">
      <alignment vertical="center"/>
      <protection locked="0"/>
    </xf>
    <xf numFmtId="10" fontId="32" fillId="40" borderId="57" xfId="0" applyNumberFormat="1" applyFont="1" applyFill="1" applyBorder="1" applyAlignment="1" applyProtection="1">
      <alignment vertical="center"/>
      <protection locked="0"/>
    </xf>
    <xf numFmtId="10" fontId="32" fillId="40" borderId="68" xfId="0" applyNumberFormat="1" applyFont="1" applyFill="1" applyBorder="1" applyAlignment="1" applyProtection="1">
      <alignment vertical="center"/>
      <protection locked="0"/>
    </xf>
    <xf numFmtId="10" fontId="32" fillId="40" borderId="11" xfId="0" applyNumberFormat="1" applyFont="1" applyFill="1" applyBorder="1" applyProtection="1">
      <protection locked="0"/>
    </xf>
    <xf numFmtId="10" fontId="32" fillId="40" borderId="57" xfId="0" applyNumberFormat="1" applyFont="1" applyFill="1" applyBorder="1" applyProtection="1">
      <protection locked="0"/>
    </xf>
    <xf numFmtId="10" fontId="32" fillId="40" borderId="43" xfId="0" applyNumberFormat="1" applyFont="1" applyFill="1" applyBorder="1" applyProtection="1">
      <protection locked="0"/>
    </xf>
    <xf numFmtId="10" fontId="32" fillId="40" borderId="56" xfId="0" applyNumberFormat="1" applyFont="1" applyFill="1" applyBorder="1" applyProtection="1">
      <protection locked="0"/>
    </xf>
    <xf numFmtId="10" fontId="36" fillId="24" borderId="57" xfId="0" applyNumberFormat="1" applyFont="1" applyFill="1" applyBorder="1" applyAlignment="1">
      <alignment vertical="center"/>
    </xf>
    <xf numFmtId="10" fontId="36" fillId="24" borderId="68" xfId="0" applyNumberFormat="1" applyFont="1" applyFill="1" applyBorder="1" applyAlignment="1">
      <alignment vertical="center"/>
    </xf>
    <xf numFmtId="3" fontId="32" fillId="24" borderId="58" xfId="0" applyNumberFormat="1" applyFont="1" applyFill="1" applyBorder="1" applyAlignment="1">
      <alignment vertical="center"/>
    </xf>
    <xf numFmtId="3" fontId="32" fillId="24" borderId="71" xfId="0" applyNumberFormat="1" applyFont="1" applyFill="1" applyBorder="1" applyAlignment="1">
      <alignment vertical="center"/>
    </xf>
    <xf numFmtId="3" fontId="36" fillId="40" borderId="55" xfId="0" applyNumberFormat="1" applyFont="1" applyFill="1" applyBorder="1" applyAlignment="1" applyProtection="1">
      <alignment horizontal="right" vertical="center"/>
      <protection locked="0"/>
    </xf>
    <xf numFmtId="0" fontId="31" fillId="0" borderId="0" xfId="72" applyFill="1" applyBorder="1" applyAlignment="1" applyProtection="1">
      <alignment vertical="center" wrapText="1"/>
    </xf>
    <xf numFmtId="0" fontId="31" fillId="0" borderId="0" xfId="72" applyAlignment="1" applyProtection="1">
      <alignment vertical="center"/>
    </xf>
    <xf numFmtId="1" fontId="30" fillId="40" borderId="11" xfId="0" applyNumberFormat="1" applyFont="1" applyFill="1" applyBorder="1" applyAlignment="1" applyProtection="1">
      <alignment vertical="center"/>
      <protection locked="0"/>
    </xf>
    <xf numFmtId="164" fontId="64" fillId="40" borderId="11" xfId="82" applyNumberFormat="1" applyFont="1" applyFill="1" applyBorder="1" applyAlignment="1" applyProtection="1">
      <alignment vertical="center"/>
      <protection locked="0"/>
    </xf>
    <xf numFmtId="9" fontId="30" fillId="40" borderId="11" xfId="0" applyNumberFormat="1" applyFont="1" applyFill="1" applyBorder="1" applyAlignment="1" applyProtection="1">
      <alignment vertical="center"/>
      <protection locked="0"/>
    </xf>
    <xf numFmtId="165" fontId="64" fillId="40" borderId="17" xfId="82" applyNumberFormat="1" applyFont="1" applyFill="1" applyBorder="1" applyProtection="1">
      <protection locked="0"/>
    </xf>
    <xf numFmtId="9" fontId="0" fillId="40" borderId="11" xfId="0" applyNumberFormat="1" applyFill="1" applyBorder="1" applyAlignment="1" applyProtection="1">
      <alignment wrapText="1"/>
      <protection locked="0"/>
    </xf>
    <xf numFmtId="0" fontId="7" fillId="24" borderId="0" xfId="82" applyFont="1" applyFill="1" applyProtection="1">
      <protection locked="0"/>
    </xf>
    <xf numFmtId="0" fontId="2" fillId="40" borderId="11" xfId="82" applyFill="1" applyBorder="1" applyProtection="1">
      <protection locked="0"/>
    </xf>
    <xf numFmtId="169" fontId="2" fillId="40" borderId="11" xfId="82" applyNumberFormat="1" applyFill="1" applyBorder="1" applyProtection="1">
      <protection locked="0"/>
    </xf>
    <xf numFmtId="8" fontId="2" fillId="40" borderId="11" xfId="82" applyNumberFormat="1" applyFill="1" applyBorder="1" applyProtection="1">
      <protection locked="0"/>
    </xf>
    <xf numFmtId="9" fontId="2" fillId="40" borderId="11" xfId="82" applyNumberFormat="1" applyFill="1" applyBorder="1" applyProtection="1">
      <protection locked="0"/>
    </xf>
    <xf numFmtId="10" fontId="2" fillId="40" borderId="11" xfId="82" applyNumberFormat="1" applyFill="1" applyBorder="1" applyProtection="1">
      <protection locked="0"/>
    </xf>
    <xf numFmtId="165" fontId="32" fillId="40" borderId="12" xfId="0" applyNumberFormat="1" applyFont="1" applyFill="1" applyBorder="1" applyAlignment="1" applyProtection="1">
      <alignment horizontal="right" vertical="center"/>
      <protection locked="0"/>
    </xf>
    <xf numFmtId="165" fontId="32" fillId="40" borderId="39" xfId="0" applyNumberFormat="1" applyFont="1" applyFill="1" applyBorder="1" applyAlignment="1" applyProtection="1">
      <alignment horizontal="right" vertical="center"/>
      <protection locked="0"/>
    </xf>
    <xf numFmtId="164" fontId="0" fillId="0" borderId="25" xfId="0" applyNumberFormat="1" applyBorder="1"/>
    <xf numFmtId="3" fontId="0" fillId="0" borderId="25" xfId="0" applyNumberFormat="1" applyBorder="1"/>
    <xf numFmtId="3" fontId="0" fillId="0" borderId="40" xfId="0" applyNumberFormat="1" applyBorder="1"/>
    <xf numFmtId="3" fontId="0" fillId="0" borderId="59" xfId="0" applyNumberFormat="1" applyBorder="1"/>
    <xf numFmtId="3" fontId="0" fillId="0" borderId="48" xfId="0" applyNumberFormat="1" applyBorder="1"/>
    <xf numFmtId="3" fontId="0" fillId="0" borderId="38" xfId="0" applyNumberFormat="1" applyBorder="1"/>
    <xf numFmtId="165" fontId="0" fillId="0" borderId="59" xfId="0" applyNumberFormat="1" applyBorder="1"/>
    <xf numFmtId="165" fontId="0" fillId="0" borderId="25" xfId="0" applyNumberFormat="1" applyBorder="1"/>
    <xf numFmtId="165" fontId="0" fillId="0" borderId="48" xfId="0" applyNumberFormat="1" applyBorder="1"/>
    <xf numFmtId="3" fontId="0" fillId="0" borderId="57" xfId="0" applyNumberFormat="1" applyBorder="1"/>
    <xf numFmtId="3" fontId="0" fillId="0" borderId="67" xfId="0" applyNumberFormat="1" applyBorder="1"/>
    <xf numFmtId="3" fontId="0" fillId="0" borderId="56" xfId="0" applyNumberFormat="1" applyBorder="1"/>
    <xf numFmtId="3" fontId="0" fillId="0" borderId="55" xfId="0" applyNumberFormat="1" applyBorder="1"/>
    <xf numFmtId="3" fontId="0" fillId="0" borderId="68" xfId="0" applyNumberFormat="1" applyBorder="1"/>
    <xf numFmtId="165" fontId="0" fillId="0" borderId="56" xfId="0" applyNumberFormat="1" applyBorder="1"/>
    <xf numFmtId="165" fontId="0" fillId="0" borderId="57" xfId="0" applyNumberFormat="1" applyBorder="1"/>
    <xf numFmtId="165" fontId="0" fillId="0" borderId="55" xfId="0" applyNumberFormat="1" applyBorder="1"/>
    <xf numFmtId="3" fontId="0" fillId="0" borderId="16" xfId="0" applyNumberFormat="1" applyBorder="1"/>
    <xf numFmtId="3" fontId="0" fillId="0" borderId="14" xfId="0" applyNumberFormat="1" applyBorder="1"/>
    <xf numFmtId="3" fontId="0" fillId="0" borderId="18" xfId="0" applyNumberFormat="1" applyBorder="1"/>
    <xf numFmtId="3" fontId="56" fillId="28" borderId="77" xfId="0" applyNumberFormat="1" applyFont="1" applyFill="1" applyBorder="1"/>
    <xf numFmtId="3" fontId="56" fillId="28" borderId="78" xfId="0" applyNumberFormat="1" applyFont="1" applyFill="1" applyBorder="1"/>
    <xf numFmtId="3" fontId="56" fillId="28" borderId="79" xfId="0" applyNumberFormat="1" applyFont="1" applyFill="1" applyBorder="1"/>
    <xf numFmtId="165" fontId="56" fillId="28" borderId="70" xfId="0" applyNumberFormat="1" applyFont="1" applyFill="1" applyBorder="1"/>
    <xf numFmtId="165" fontId="56" fillId="28" borderId="77" xfId="0" applyNumberFormat="1" applyFont="1" applyFill="1" applyBorder="1"/>
    <xf numFmtId="165" fontId="56" fillId="28" borderId="80" xfId="0" applyNumberFormat="1" applyFont="1" applyFill="1" applyBorder="1"/>
    <xf numFmtId="3" fontId="0" fillId="0" borderId="62" xfId="0" applyNumberFormat="1" applyBorder="1"/>
    <xf numFmtId="3" fontId="0" fillId="0" borderId="76" xfId="0" applyNumberFormat="1" applyBorder="1"/>
    <xf numFmtId="3" fontId="56" fillId="28" borderId="80" xfId="0" applyNumberFormat="1" applyFont="1" applyFill="1" applyBorder="1"/>
    <xf numFmtId="10" fontId="0" fillId="40" borderId="11" xfId="0" applyNumberFormat="1" applyFill="1" applyBorder="1" applyProtection="1">
      <protection locked="0"/>
    </xf>
    <xf numFmtId="10" fontId="0" fillId="40" borderId="58" xfId="0" applyNumberFormat="1" applyFill="1" applyBorder="1" applyProtection="1">
      <protection locked="0"/>
    </xf>
    <xf numFmtId="10" fontId="0" fillId="40" borderId="43" xfId="0" applyNumberFormat="1" applyFill="1" applyBorder="1" applyProtection="1">
      <protection locked="0"/>
    </xf>
    <xf numFmtId="10" fontId="0" fillId="40" borderId="17" xfId="0" applyNumberFormat="1" applyFill="1" applyBorder="1" applyProtection="1">
      <protection locked="0"/>
    </xf>
    <xf numFmtId="10" fontId="0" fillId="40" borderId="35" xfId="0" applyNumberFormat="1" applyFill="1" applyBorder="1" applyProtection="1">
      <protection locked="0"/>
    </xf>
    <xf numFmtId="10" fontId="0" fillId="40" borderId="57" xfId="0" applyNumberFormat="1" applyFill="1" applyBorder="1" applyProtection="1">
      <protection locked="0"/>
    </xf>
    <xf numFmtId="10" fontId="0" fillId="40" borderId="55" xfId="0" applyNumberFormat="1" applyFill="1" applyBorder="1" applyProtection="1">
      <protection locked="0"/>
    </xf>
    <xf numFmtId="10" fontId="0" fillId="40" borderId="56" xfId="0" applyNumberFormat="1" applyFill="1" applyBorder="1" applyProtection="1">
      <protection locked="0"/>
    </xf>
    <xf numFmtId="10" fontId="0" fillId="40" borderId="68" xfId="0" applyNumberFormat="1" applyFill="1" applyBorder="1" applyProtection="1">
      <protection locked="0"/>
    </xf>
    <xf numFmtId="10" fontId="0" fillId="40" borderId="69" xfId="0" applyNumberFormat="1" applyFill="1" applyBorder="1" applyProtection="1">
      <protection locked="0"/>
    </xf>
    <xf numFmtId="165" fontId="0" fillId="40" borderId="11" xfId="0" applyNumberFormat="1" applyFill="1" applyBorder="1" applyProtection="1">
      <protection locked="0"/>
    </xf>
    <xf numFmtId="165" fontId="0" fillId="40" borderId="57" xfId="0" applyNumberFormat="1" applyFill="1" applyBorder="1" applyProtection="1">
      <protection locked="0"/>
    </xf>
    <xf numFmtId="164" fontId="0" fillId="40" borderId="25" xfId="0" applyNumberFormat="1" applyFill="1" applyBorder="1" applyProtection="1">
      <protection locked="0"/>
    </xf>
    <xf numFmtId="10" fontId="0" fillId="0" borderId="25" xfId="0" applyNumberFormat="1" applyBorder="1"/>
    <xf numFmtId="10" fontId="0" fillId="0" borderId="48" xfId="0" applyNumberFormat="1" applyBorder="1"/>
    <xf numFmtId="10" fontId="0" fillId="0" borderId="59" xfId="0" applyNumberFormat="1" applyBorder="1"/>
    <xf numFmtId="164" fontId="0" fillId="0" borderId="57" xfId="0" applyNumberFormat="1" applyBorder="1"/>
    <xf numFmtId="3" fontId="56" fillId="28" borderId="81" xfId="0" applyNumberFormat="1" applyFont="1" applyFill="1" applyBorder="1"/>
    <xf numFmtId="3" fontId="56" fillId="28" borderId="20" xfId="0" applyNumberFormat="1" applyFont="1" applyFill="1" applyBorder="1"/>
    <xf numFmtId="3" fontId="56" fillId="28" borderId="24" xfId="0" applyNumberFormat="1" applyFont="1" applyFill="1" applyBorder="1"/>
    <xf numFmtId="0" fontId="32" fillId="29" borderId="12" xfId="0" applyFont="1" applyFill="1" applyBorder="1" applyAlignment="1">
      <alignment horizontal="center"/>
    </xf>
    <xf numFmtId="0" fontId="32" fillId="29" borderId="29" xfId="0" applyFont="1" applyFill="1" applyBorder="1" applyAlignment="1">
      <alignment horizontal="center"/>
    </xf>
    <xf numFmtId="0" fontId="32" fillId="29" borderId="17" xfId="0" applyFont="1" applyFill="1" applyBorder="1" applyAlignment="1">
      <alignment horizontal="center"/>
    </xf>
    <xf numFmtId="0" fontId="64" fillId="0" borderId="12" xfId="82" applyFont="1" applyBorder="1" applyAlignment="1">
      <alignment vertical="top" wrapText="1"/>
    </xf>
    <xf numFmtId="0" fontId="0" fillId="0" borderId="29" xfId="0" applyBorder="1" applyAlignment="1">
      <alignment wrapText="1"/>
    </xf>
    <xf numFmtId="0" fontId="5" fillId="0" borderId="11" xfId="82" applyFont="1" applyBorder="1" applyAlignment="1">
      <alignment horizontal="right"/>
    </xf>
    <xf numFmtId="0" fontId="64" fillId="0" borderId="29" xfId="82" applyFont="1" applyBorder="1" applyAlignment="1">
      <alignment vertical="top" wrapText="1"/>
    </xf>
    <xf numFmtId="0" fontId="64" fillId="0" borderId="17" xfId="82" applyFont="1" applyBorder="1" applyAlignment="1">
      <alignment vertical="top" wrapText="1"/>
    </xf>
    <xf numFmtId="0" fontId="0" fillId="0" borderId="17" xfId="0" applyBorder="1" applyAlignment="1">
      <alignment wrapText="1"/>
    </xf>
    <xf numFmtId="0" fontId="30" fillId="0" borderId="12" xfId="0" applyFont="1" applyBorder="1" applyAlignment="1">
      <alignmen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123825</xdr:rowOff>
        </xdr:from>
        <xdr:to>
          <xdr:col>10</xdr:col>
          <xdr:colOff>457200</xdr:colOff>
          <xdr:row>54</xdr:row>
          <xdr:rowOff>28575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968137</xdr:colOff>
      <xdr:row>0</xdr:row>
      <xdr:rowOff>50054</xdr:rowOff>
    </xdr:from>
    <xdr:to>
      <xdr:col>6</xdr:col>
      <xdr:colOff>44278</xdr:colOff>
      <xdr:row>1</xdr:row>
      <xdr:rowOff>311308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75856" y="50054"/>
          <a:ext cx="3802922" cy="642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821690</xdr:colOff>
      <xdr:row>0</xdr:row>
      <xdr:rowOff>175895</xdr:rowOff>
    </xdr:from>
    <xdr:to>
      <xdr:col>10</xdr:col>
      <xdr:colOff>452236</xdr:colOff>
      <xdr:row>1</xdr:row>
      <xdr:rowOff>220345</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2540" y="175895"/>
          <a:ext cx="257377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82130</xdr:colOff>
      <xdr:row>0</xdr:row>
      <xdr:rowOff>284629</xdr:rowOff>
    </xdr:from>
    <xdr:to>
      <xdr:col>11</xdr:col>
      <xdr:colOff>584095</xdr:colOff>
      <xdr:row>2</xdr:row>
      <xdr:rowOff>20730</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28724" y="284629"/>
          <a:ext cx="2859402"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gov.uk/government/statistics/cancer-registration-statistics-england-2020"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hyperlink" Target="https://bnf.nice.org.uk/drugs/filgrastim/medicinal-forms/" TargetMode="Externa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gov.uk/government/publications/drugs-and-pharmaceutical-electronic-market-information-emit"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M1" sqref="M1"/>
    </sheetView>
  </sheetViews>
  <sheetFormatPr defaultRowHeight="15" x14ac:dyDescent="0.25"/>
  <sheetData/>
  <sheetProtection algorithmName="SHA-512" hashValue="E4ghfyGsoYozVKI0jK1pNaNBhM4bvEM2uFx5qQLnE8uCCOAXRePqlQ9whTvt/01WtcVLsSknswvL4TCfwcIVzg==" saltValue="3D8RlzhsGjnCTI76MQWdSA==" spinCount="100000" sheet="1" objects="1" scenarios="1"/>
  <pageMargins left="0.25" right="0.25" top="0.75" bottom="0.75" header="0.3" footer="0.3"/>
  <pageSetup paperSize="9" scale="92"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123825</xdr:colOff>
                <xdr:row>0</xdr:row>
                <xdr:rowOff>123825</xdr:rowOff>
              </from>
              <to>
                <xdr:col>10</xdr:col>
                <xdr:colOff>457200</xdr:colOff>
                <xdr:row>54</xdr:row>
                <xdr:rowOff>28575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6"/>
  <sheetViews>
    <sheetView showGridLines="0" zoomScale="80" zoomScaleNormal="80" zoomScaleSheetLayoutView="100" workbookViewId="0"/>
  </sheetViews>
  <sheetFormatPr defaultColWidth="9.140625" defaultRowHeight="14.25" x14ac:dyDescent="0.2"/>
  <cols>
    <col min="1" max="1" width="85.140625" style="15" customWidth="1"/>
    <col min="2" max="2" width="3.42578125" style="15" customWidth="1"/>
    <col min="3" max="3" width="26.5703125" style="15" customWidth="1"/>
    <col min="4" max="5" width="9.140625" style="15"/>
    <col min="6" max="6" width="34.42578125" style="15" customWidth="1"/>
    <col min="7" max="16384" width="9.140625" style="15"/>
  </cols>
  <sheetData>
    <row r="1" spans="1:9" s="1" customFormat="1" ht="35.1" customHeight="1" x14ac:dyDescent="0.2">
      <c r="A1" s="103" t="s">
        <v>0</v>
      </c>
      <c r="B1" s="212" t="s">
        <v>1</v>
      </c>
      <c r="C1" s="212" t="s">
        <v>1</v>
      </c>
      <c r="D1" s="212" t="s">
        <v>1</v>
      </c>
      <c r="E1" s="212" t="s">
        <v>1</v>
      </c>
    </row>
    <row r="2" spans="1:9" s="1" customFormat="1" ht="15" x14ac:dyDescent="0.2">
      <c r="A2" s="213" t="s">
        <v>1</v>
      </c>
      <c r="B2" s="214" t="s">
        <v>1</v>
      </c>
      <c r="C2" s="214" t="s">
        <v>1</v>
      </c>
      <c r="D2" s="214" t="s">
        <v>1</v>
      </c>
      <c r="E2" s="214" t="s">
        <v>1</v>
      </c>
    </row>
    <row r="3" spans="1:9" s="1" customFormat="1" ht="57.75" x14ac:dyDescent="0.2">
      <c r="A3" s="12" t="s">
        <v>2</v>
      </c>
      <c r="B3" s="212" t="s">
        <v>1</v>
      </c>
      <c r="C3" s="212" t="s">
        <v>1</v>
      </c>
      <c r="D3" s="212" t="s">
        <v>1</v>
      </c>
      <c r="E3" s="212" t="s">
        <v>1</v>
      </c>
      <c r="F3" s="244"/>
      <c r="G3" s="244"/>
      <c r="H3" s="244"/>
      <c r="I3" s="244"/>
    </row>
    <row r="4" spans="1:9" s="1" customFormat="1" ht="15" x14ac:dyDescent="0.2">
      <c r="A4" s="213" t="s">
        <v>1</v>
      </c>
      <c r="B4" s="214" t="s">
        <v>1</v>
      </c>
      <c r="C4" s="214" t="s">
        <v>1</v>
      </c>
      <c r="D4" s="214" t="s">
        <v>1</v>
      </c>
      <c r="E4" s="214" t="s">
        <v>1</v>
      </c>
    </row>
    <row r="5" spans="1:9" s="1" customFormat="1" ht="42.75" x14ac:dyDescent="0.2">
      <c r="A5" s="341" t="s">
        <v>3</v>
      </c>
      <c r="B5" s="212" t="s">
        <v>1</v>
      </c>
      <c r="C5" s="212" t="s">
        <v>1</v>
      </c>
      <c r="D5" s="212" t="s">
        <v>1</v>
      </c>
      <c r="E5" s="212" t="s">
        <v>1</v>
      </c>
    </row>
    <row r="6" spans="1:9" s="1" customFormat="1" ht="15" x14ac:dyDescent="0.2">
      <c r="A6" s="213" t="s">
        <v>1</v>
      </c>
      <c r="B6" s="214" t="s">
        <v>1</v>
      </c>
      <c r="C6" s="214" t="s">
        <v>1</v>
      </c>
      <c r="D6" s="214" t="s">
        <v>1</v>
      </c>
      <c r="E6" s="214" t="s">
        <v>1</v>
      </c>
    </row>
    <row r="7" spans="1:9" s="244" customFormat="1" ht="257.25" x14ac:dyDescent="0.25">
      <c r="A7" s="14" t="s">
        <v>4</v>
      </c>
      <c r="B7" s="211" t="s">
        <v>1</v>
      </c>
      <c r="C7" s="211" t="s">
        <v>1</v>
      </c>
      <c r="D7" s="211" t="s">
        <v>1</v>
      </c>
      <c r="E7" s="211" t="s">
        <v>1</v>
      </c>
    </row>
    <row r="8" spans="1:9" ht="30" customHeight="1" x14ac:dyDescent="0.2">
      <c r="A8" s="213" t="s">
        <v>1</v>
      </c>
      <c r="B8" s="214" t="s">
        <v>1</v>
      </c>
      <c r="C8" s="214" t="s">
        <v>1</v>
      </c>
      <c r="D8" s="214" t="s">
        <v>1</v>
      </c>
      <c r="E8" s="214" t="s">
        <v>1</v>
      </c>
    </row>
    <row r="9" spans="1:9" s="104" customFormat="1" ht="40.35" customHeight="1" x14ac:dyDescent="0.25">
      <c r="A9" s="14" t="s">
        <v>5</v>
      </c>
      <c r="B9" s="211" t="s">
        <v>1</v>
      </c>
      <c r="C9" s="211" t="s">
        <v>1</v>
      </c>
      <c r="D9" s="211" t="s">
        <v>1</v>
      </c>
      <c r="E9" s="211" t="s">
        <v>1</v>
      </c>
    </row>
    <row r="10" spans="1:9" ht="30" customHeight="1" x14ac:dyDescent="0.2">
      <c r="A10" s="213" t="s">
        <v>1</v>
      </c>
      <c r="B10" s="214" t="s">
        <v>1</v>
      </c>
      <c r="C10" s="214" t="s">
        <v>1</v>
      </c>
      <c r="D10" s="214" t="s">
        <v>1</v>
      </c>
      <c r="E10" s="214" t="s">
        <v>1</v>
      </c>
    </row>
    <row r="11" spans="1:9" ht="111" customHeight="1" x14ac:dyDescent="0.2">
      <c r="A11" s="14" t="s">
        <v>6</v>
      </c>
      <c r="B11" s="212" t="s">
        <v>1</v>
      </c>
      <c r="C11" s="212" t="s">
        <v>1</v>
      </c>
      <c r="D11" s="212" t="s">
        <v>1</v>
      </c>
      <c r="E11" s="212" t="s">
        <v>1</v>
      </c>
    </row>
    <row r="12" spans="1:9" ht="15" x14ac:dyDescent="0.2">
      <c r="A12" s="213" t="s">
        <v>1</v>
      </c>
      <c r="B12" s="214" t="s">
        <v>1</v>
      </c>
      <c r="C12" s="214" t="s">
        <v>1</v>
      </c>
      <c r="D12" s="214" t="s">
        <v>1</v>
      </c>
      <c r="E12" s="214" t="s">
        <v>1</v>
      </c>
    </row>
    <row r="13" spans="1:9" ht="45" customHeight="1" x14ac:dyDescent="0.2">
      <c r="A13" s="14" t="s">
        <v>7</v>
      </c>
      <c r="B13" s="212" t="s">
        <v>1</v>
      </c>
      <c r="C13" s="212" t="s">
        <v>1</v>
      </c>
      <c r="D13" s="212" t="s">
        <v>1</v>
      </c>
      <c r="E13" s="212" t="s">
        <v>1</v>
      </c>
    </row>
    <row r="14" spans="1:9" ht="15" x14ac:dyDescent="0.2">
      <c r="A14" s="213" t="s">
        <v>1</v>
      </c>
      <c r="B14" s="214" t="s">
        <v>1</v>
      </c>
      <c r="C14" s="214" t="s">
        <v>1</v>
      </c>
      <c r="D14" s="214" t="s">
        <v>1</v>
      </c>
      <c r="E14" s="214" t="s">
        <v>1</v>
      </c>
    </row>
    <row r="15" spans="1:9" ht="15" x14ac:dyDescent="0.2">
      <c r="A15" s="213" t="s">
        <v>1</v>
      </c>
      <c r="B15" s="214" t="s">
        <v>1</v>
      </c>
      <c r="C15" s="214" t="s">
        <v>1</v>
      </c>
      <c r="D15" s="214" t="s">
        <v>1</v>
      </c>
      <c r="E15" s="214" t="s">
        <v>1</v>
      </c>
    </row>
    <row r="16" spans="1:9" ht="28.5" x14ac:dyDescent="0.2">
      <c r="A16" s="8" t="s">
        <v>8</v>
      </c>
      <c r="B16" s="212" t="s">
        <v>1</v>
      </c>
      <c r="C16" s="212" t="s">
        <v>1</v>
      </c>
      <c r="D16" s="212" t="s">
        <v>1</v>
      </c>
      <c r="E16" s="212" t="s">
        <v>1</v>
      </c>
    </row>
    <row r="17" spans="1:5" ht="28.5" x14ac:dyDescent="0.2">
      <c r="A17" s="9" t="s">
        <v>9</v>
      </c>
      <c r="B17" s="212" t="s">
        <v>1</v>
      </c>
      <c r="C17" s="212" t="s">
        <v>1</v>
      </c>
      <c r="D17" s="212" t="s">
        <v>1</v>
      </c>
      <c r="E17" s="212" t="s">
        <v>1</v>
      </c>
    </row>
    <row r="18" spans="1:5" x14ac:dyDescent="0.2">
      <c r="A18" s="7" t="s">
        <v>10</v>
      </c>
      <c r="B18" s="212" t="s">
        <v>1</v>
      </c>
      <c r="C18" s="212" t="s">
        <v>1</v>
      </c>
      <c r="D18" s="212" t="s">
        <v>1</v>
      </c>
      <c r="E18" s="212" t="s">
        <v>1</v>
      </c>
    </row>
    <row r="19" spans="1:5" x14ac:dyDescent="0.2">
      <c r="A19" s="10" t="s">
        <v>11</v>
      </c>
      <c r="B19" s="212" t="s">
        <v>1</v>
      </c>
      <c r="C19" s="212" t="s">
        <v>1</v>
      </c>
      <c r="D19" s="212" t="s">
        <v>1</v>
      </c>
      <c r="E19" s="212" t="s">
        <v>1</v>
      </c>
    </row>
    <row r="20" spans="1:5" x14ac:dyDescent="0.2">
      <c r="A20" s="7" t="s">
        <v>12</v>
      </c>
      <c r="B20" s="212" t="s">
        <v>1</v>
      </c>
      <c r="C20" s="212" t="s">
        <v>1</v>
      </c>
      <c r="D20" s="212" t="s">
        <v>1</v>
      </c>
      <c r="E20" s="212" t="s">
        <v>1</v>
      </c>
    </row>
    <row r="21" spans="1:5" x14ac:dyDescent="0.2">
      <c r="A21" s="13" t="s">
        <v>13</v>
      </c>
      <c r="B21" s="212" t="s">
        <v>1</v>
      </c>
      <c r="C21" s="212" t="s">
        <v>1</v>
      </c>
      <c r="D21" s="212" t="s">
        <v>1</v>
      </c>
      <c r="E21" s="212" t="s">
        <v>1</v>
      </c>
    </row>
    <row r="22" spans="1:5" ht="15" x14ac:dyDescent="0.2">
      <c r="A22" s="213" t="s">
        <v>1</v>
      </c>
      <c r="B22" s="214" t="s">
        <v>1</v>
      </c>
      <c r="C22" s="214" t="s">
        <v>1</v>
      </c>
      <c r="D22" s="214" t="s">
        <v>1</v>
      </c>
      <c r="E22" s="214" t="s">
        <v>1</v>
      </c>
    </row>
    <row r="23" spans="1:5" s="104" customFormat="1" ht="30" customHeight="1" x14ac:dyDescent="0.2">
      <c r="A23" s="203" t="s">
        <v>14</v>
      </c>
      <c r="B23" s="212" t="s">
        <v>1</v>
      </c>
      <c r="C23" s="212" t="s">
        <v>1</v>
      </c>
      <c r="D23" s="212" t="s">
        <v>1</v>
      </c>
      <c r="E23" s="212" t="s">
        <v>1</v>
      </c>
    </row>
    <row r="24" spans="1:5" ht="15" x14ac:dyDescent="0.25">
      <c r="C24" s="176"/>
    </row>
    <row r="26" spans="1:5" x14ac:dyDescent="0.2">
      <c r="C26" s="104"/>
    </row>
  </sheetData>
  <sheetProtection algorithmName="SHA-512" hashValue="cHhiUv90FwZoAPwdSpmkQfnVoS+mFUIjVq9X2FY4YCmVSmXeFvnB56Yrrbg9JXX0hVKlC44202uEGOEW9YWsVw==" saltValue="wBuv8aoODYHW87NPKIswQ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40625" defaultRowHeight="14.25" x14ac:dyDescent="0.2"/>
  <cols>
    <col min="1" max="1" width="24.28515625" style="20" customWidth="1"/>
    <col min="2" max="2" width="55.28515625" style="20" customWidth="1"/>
    <col min="3" max="3" width="63.5703125" style="24" customWidth="1"/>
    <col min="4" max="4" width="20.42578125" style="20" customWidth="1"/>
    <col min="5" max="12" width="21" style="20" customWidth="1"/>
    <col min="13" max="13" width="22.85546875" style="20" customWidth="1"/>
    <col min="14" max="14" width="22.5703125" style="20" customWidth="1"/>
    <col min="15" max="15" width="25.85546875" style="20" customWidth="1"/>
    <col min="16" max="16" width="10.85546875" style="20" customWidth="1"/>
    <col min="17" max="42" width="10.85546875" style="21" customWidth="1"/>
    <col min="43" max="50" width="10.85546875" style="22" customWidth="1"/>
    <col min="51" max="106" width="10.85546875" style="2" customWidth="1"/>
    <col min="107" max="193" width="10.85546875" style="20" customWidth="1"/>
    <col min="194" max="194" width="10.42578125" style="20" customWidth="1"/>
    <col min="195" max="16384" width="9.140625" style="20"/>
  </cols>
  <sheetData>
    <row r="1" spans="2:106" ht="15" x14ac:dyDescent="0.25">
      <c r="B1" s="18" t="s">
        <v>15</v>
      </c>
      <c r="C1" s="135"/>
      <c r="D1" s="38"/>
      <c r="E1" s="19" t="s">
        <v>16</v>
      </c>
      <c r="F1" s="16"/>
      <c r="G1" s="16"/>
    </row>
    <row r="3" spans="2:106" x14ac:dyDescent="0.2">
      <c r="B3" s="123" t="s">
        <v>17</v>
      </c>
      <c r="C3" s="124"/>
      <c r="D3" s="125"/>
      <c r="E3" s="125"/>
      <c r="F3" s="125"/>
      <c r="G3" s="126"/>
    </row>
    <row r="4" spans="2:106" x14ac:dyDescent="0.2">
      <c r="B4" s="127"/>
      <c r="C4" s="128"/>
      <c r="D4" s="16"/>
      <c r="E4" s="16"/>
      <c r="F4" s="16"/>
      <c r="G4" s="129"/>
    </row>
    <row r="5" spans="2:106" x14ac:dyDescent="0.2">
      <c r="B5" s="130" t="s">
        <v>18</v>
      </c>
      <c r="C5" s="128"/>
      <c r="D5" s="16"/>
      <c r="E5" s="16"/>
      <c r="F5" s="16"/>
      <c r="G5" s="129"/>
    </row>
    <row r="6" spans="2:106" x14ac:dyDescent="0.2">
      <c r="B6" s="127"/>
      <c r="C6" s="128"/>
      <c r="D6" s="16"/>
      <c r="E6" s="16"/>
      <c r="F6" s="16"/>
      <c r="G6" s="129"/>
      <c r="J6" s="243"/>
    </row>
    <row r="7" spans="2:106" ht="15" x14ac:dyDescent="0.25">
      <c r="B7" s="130" t="s">
        <v>19</v>
      </c>
      <c r="C7" s="128"/>
      <c r="D7" s="16"/>
      <c r="E7" s="16"/>
      <c r="F7" s="16"/>
      <c r="G7" s="129"/>
    </row>
    <row r="8" spans="2:106" ht="19.5" customHeight="1" x14ac:dyDescent="0.2">
      <c r="B8" s="131" t="s">
        <v>20</v>
      </c>
      <c r="C8" s="132"/>
      <c r="D8" s="133"/>
      <c r="E8" s="133"/>
      <c r="F8" s="133"/>
      <c r="G8" s="134"/>
    </row>
    <row r="9" spans="2:106" x14ac:dyDescent="0.2">
      <c r="B9" s="23"/>
      <c r="K9" s="43"/>
      <c r="L9" s="43"/>
    </row>
    <row r="10" spans="2:106" ht="15" x14ac:dyDescent="0.25">
      <c r="B10" s="18" t="s">
        <v>21</v>
      </c>
      <c r="C10" s="43"/>
      <c r="D10" s="43"/>
      <c r="E10" s="43"/>
      <c r="K10" s="43"/>
      <c r="L10" s="168"/>
      <c r="M10" s="18"/>
      <c r="N10" s="18"/>
      <c r="O10" s="18"/>
    </row>
    <row r="11" spans="2:106" ht="43.5" customHeight="1" thickBot="1" x14ac:dyDescent="0.3">
      <c r="B11" s="24"/>
      <c r="D11" s="45" t="s">
        <v>22</v>
      </c>
      <c r="E11" s="45" t="s">
        <v>22</v>
      </c>
      <c r="H11" s="45" t="s">
        <v>22</v>
      </c>
      <c r="I11" s="45" t="s">
        <v>22</v>
      </c>
      <c r="L11" s="18" t="s">
        <v>23</v>
      </c>
      <c r="M11" s="18" t="s">
        <v>23</v>
      </c>
      <c r="N11" s="18" t="s">
        <v>24</v>
      </c>
      <c r="O11" s="18" t="s">
        <v>24</v>
      </c>
      <c r="P11" s="18" t="s">
        <v>25</v>
      </c>
    </row>
    <row r="12" spans="2:106" s="30" customFormat="1" ht="45.95" customHeight="1" x14ac:dyDescent="0.2">
      <c r="B12" s="25" t="s">
        <v>26</v>
      </c>
      <c r="C12" s="26" t="s">
        <v>27</v>
      </c>
      <c r="D12" s="44" t="s">
        <v>28</v>
      </c>
      <c r="E12" s="45" t="s">
        <v>29</v>
      </c>
      <c r="F12" s="26" t="s">
        <v>30</v>
      </c>
      <c r="G12" s="26" t="s">
        <v>31</v>
      </c>
      <c r="H12" s="44" t="s">
        <v>28</v>
      </c>
      <c r="I12" s="45" t="s">
        <v>29</v>
      </c>
      <c r="J12" s="26" t="s">
        <v>32</v>
      </c>
      <c r="K12" s="20"/>
      <c r="L12" s="27" t="s">
        <v>33</v>
      </c>
      <c r="M12" s="27" t="s">
        <v>34</v>
      </c>
      <c r="N12" s="27" t="s">
        <v>35</v>
      </c>
      <c r="O12" s="27" t="s">
        <v>36</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31" t="str">
        <f>IF((OR('Assumptions input'!$B6="&lt;select&gt;", 'Assumptions input'!$B6="")), "-", 'Assumptions input'!$B7)</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input'!B5)</f>
        <v>1</v>
      </c>
      <c r="G13" s="32">
        <f t="shared" ref="G13:I14" si="0">IFERROR(C13*$F13, "")</f>
        <v>56550138</v>
      </c>
      <c r="H13" s="121">
        <f>IFERROR(D13*$F13, "")</f>
        <v>21779298</v>
      </c>
      <c r="I13" s="121">
        <f t="shared" si="0"/>
        <v>22677552</v>
      </c>
      <c r="J13" s="32">
        <f>IFERROR(H13+I13, "")</f>
        <v>44456850</v>
      </c>
      <c r="L13" s="34" t="s">
        <v>37</v>
      </c>
      <c r="M13" s="34" t="s">
        <v>38</v>
      </c>
      <c r="N13" s="34" t="str">
        <f>'Assumptions input'!$B$6</f>
        <v>National</v>
      </c>
      <c r="O13" s="34" t="str">
        <f>IFERROR(VLOOKUP('Assumptions input'!$B$6, $L$12:$M$22, 2, FALSE), "-")</f>
        <v>NATIONAL</v>
      </c>
      <c r="P13" s="27" t="b">
        <f>ISTEXT('Assumptions input'!$B$7)</f>
        <v>1</v>
      </c>
    </row>
    <row r="14" spans="2:106" x14ac:dyDescent="0.2">
      <c r="B14" s="31" t="str">
        <f>'Assumptions input'!A8</f>
        <v>Manual input (total population, all ages)</v>
      </c>
      <c r="C14" s="32" t="str">
        <f>IF(OR('Assumptions input'!B8="", 'Assumptions input'!B8="-"), "", 'Assumptions input'!B8)</f>
        <v/>
      </c>
      <c r="D14" s="121" t="str">
        <f>IFERROR(C14*($D$30/100000), "")</f>
        <v/>
      </c>
      <c r="E14" s="121" t="str">
        <f>IFERROR(C14*($E$30/100000), "")</f>
        <v/>
      </c>
      <c r="F14" s="33">
        <f>IF(B14="", "", 'Assumptions input'!B5)</f>
        <v>1</v>
      </c>
      <c r="G14" s="32" t="str">
        <f t="shared" si="0"/>
        <v/>
      </c>
      <c r="H14" s="121" t="str">
        <f>IFERROR(D14*$F14, "")</f>
        <v/>
      </c>
      <c r="I14" s="121" t="str">
        <f>IFERROR(E14*$F14, "")</f>
        <v/>
      </c>
      <c r="J14" s="32">
        <f>IF('Assumptions input'!B8=0,'Population selection'!J13,IFERROR(H14+I14,""))</f>
        <v>44456850</v>
      </c>
      <c r="L14" s="34" t="s">
        <v>39</v>
      </c>
      <c r="M14" s="34" t="s">
        <v>40</v>
      </c>
      <c r="N14" s="34" t="str">
        <f>'Assumptions input'!$B$6</f>
        <v>National</v>
      </c>
      <c r="O14" s="34" t="str">
        <f>IFERROR(VLOOKUP('Assumptions input'!$B$6, $L$12:$M$22, 2, FALSE), "-")</f>
        <v>NATIONAL</v>
      </c>
      <c r="P14" s="27" t="b">
        <f>ISTEXT('Assumptions input'!$B$7)</f>
        <v>1</v>
      </c>
    </row>
    <row r="15" spans="2:106" x14ac:dyDescent="0.2">
      <c r="B15" s="31"/>
      <c r="C15" s="32" t="str">
        <f>IF(OR('Assumptions input'!B9="", 'Assumptions input'!B9="-"), "", 'Assumptions input'!B9)</f>
        <v/>
      </c>
      <c r="D15" s="121" t="str">
        <f>IFERROR(C15*($D$30/($D$30+$E$30)), "")</f>
        <v/>
      </c>
      <c r="E15" s="121" t="str">
        <f>IFERROR(C15*($E$30/($D$30+$E$30)), "")</f>
        <v/>
      </c>
      <c r="F15" s="33">
        <v>1</v>
      </c>
      <c r="G15" s="32" t="str">
        <f t="shared" ref="G15" si="1">IFERROR(C15*$F15, "")</f>
        <v/>
      </c>
      <c r="H15" s="121" t="str">
        <f>IFERROR(D15*$F15, "")</f>
        <v/>
      </c>
      <c r="I15" s="121" t="str">
        <f>IFERROR(E15*$F15, "")</f>
        <v/>
      </c>
      <c r="J15" s="32">
        <f>IF('Assumptions input'!B9=0,'Assumptions input'!B9,IFERROR(H15+I15,""))</f>
        <v>0</v>
      </c>
      <c r="L15" s="34" t="s">
        <v>41</v>
      </c>
      <c r="M15" s="34" t="s">
        <v>42</v>
      </c>
      <c r="N15" s="34" t="str">
        <f>'Assumptions input'!$B$6</f>
        <v>National</v>
      </c>
      <c r="O15" s="34" t="str">
        <f>IFERROR(VLOOKUP('Assumptions input'!$B$6, $L$12:$M$22, 2, FALSE), "-")</f>
        <v>NATIONAL</v>
      </c>
      <c r="P15" s="27" t="b">
        <f>ISTEXT('Assumptions input'!$B$7)</f>
        <v>1</v>
      </c>
    </row>
    <row r="16" spans="2:106" x14ac:dyDescent="0.2">
      <c r="B16" s="31"/>
      <c r="C16" s="32"/>
      <c r="D16" s="121"/>
      <c r="E16" s="121"/>
      <c r="F16" s="33"/>
      <c r="G16" s="32"/>
      <c r="H16" s="121"/>
      <c r="I16" s="121"/>
      <c r="J16" s="32"/>
      <c r="L16" s="34" t="s">
        <v>43</v>
      </c>
      <c r="M16" s="34" t="s">
        <v>44</v>
      </c>
      <c r="N16" s="34" t="str">
        <f>'Assumptions input'!$B$6</f>
        <v>National</v>
      </c>
      <c r="O16" s="34" t="str">
        <f>IFERROR(VLOOKUP('Assumptions input'!$B$6, $L$12:$M$22, 2, FALSE), "-")</f>
        <v>NATIONAL</v>
      </c>
      <c r="P16" s="27" t="b">
        <f>ISTEXT('Assumptions input'!$B$7)</f>
        <v>1</v>
      </c>
    </row>
    <row r="17" spans="1:194" x14ac:dyDescent="0.2">
      <c r="B17" s="31"/>
      <c r="C17" s="32"/>
      <c r="D17" s="121"/>
      <c r="E17" s="121"/>
      <c r="F17" s="33"/>
      <c r="G17" s="32"/>
      <c r="H17" s="121"/>
      <c r="I17" s="121"/>
      <c r="J17" s="32"/>
      <c r="L17" s="34" t="s">
        <v>45</v>
      </c>
      <c r="M17" s="34" t="s">
        <v>46</v>
      </c>
      <c r="N17" s="34" t="str">
        <f>'Assumptions input'!$B$6</f>
        <v>National</v>
      </c>
      <c r="O17" s="34" t="str">
        <f>IFERROR(VLOOKUP('Assumptions input'!$B$6, $L$12:$M$22, 2, FALSE), "-")</f>
        <v>NATIONAL</v>
      </c>
      <c r="P17" s="27" t="b">
        <f>ISTEXT('Assumptions input'!$B$7)</f>
        <v>1</v>
      </c>
    </row>
    <row r="18" spans="1:194" x14ac:dyDescent="0.2">
      <c r="B18" s="31"/>
      <c r="C18" s="32"/>
      <c r="D18" s="121"/>
      <c r="E18" s="121"/>
      <c r="F18" s="33"/>
      <c r="G18" s="32"/>
      <c r="H18" s="121"/>
      <c r="I18" s="121"/>
      <c r="J18" s="32"/>
      <c r="L18" s="34" t="s">
        <v>47</v>
      </c>
      <c r="M18" s="34" t="s">
        <v>48</v>
      </c>
      <c r="N18" s="34" t="str">
        <f>'Assumptions input'!$B$6</f>
        <v>National</v>
      </c>
      <c r="O18" s="34" t="str">
        <f>IFERROR(VLOOKUP('Assumptions input'!$B$6, $L$12:$M$22, 2, FALSE), "-")</f>
        <v>NATIONAL</v>
      </c>
      <c r="P18" s="27" t="b">
        <f>ISTEXT('Assumptions input'!$B$7)</f>
        <v>1</v>
      </c>
    </row>
    <row r="19" spans="1:194" x14ac:dyDescent="0.2">
      <c r="B19" s="31"/>
      <c r="C19" s="32"/>
      <c r="D19" s="121"/>
      <c r="E19" s="121"/>
      <c r="F19" s="33"/>
      <c r="G19" s="32"/>
      <c r="H19" s="121"/>
      <c r="I19" s="121"/>
      <c r="J19" s="32"/>
      <c r="L19" s="150" t="s">
        <v>49</v>
      </c>
      <c r="M19" s="34" t="s">
        <v>50</v>
      </c>
      <c r="N19" s="34" t="str">
        <f>'Assumptions input'!$B$6</f>
        <v>National</v>
      </c>
      <c r="O19" s="34" t="str">
        <f>IFERROR(VLOOKUP('Assumptions input'!$B$6, $L$12:$M$22, 2, FALSE), "-")</f>
        <v>NATIONAL</v>
      </c>
      <c r="P19" s="27" t="b">
        <f>ISTEXT('Assumptions input'!$B$7)</f>
        <v>1</v>
      </c>
    </row>
    <row r="20" spans="1:194" x14ac:dyDescent="0.2">
      <c r="B20" s="31"/>
      <c r="C20" s="32"/>
      <c r="D20" s="121"/>
      <c r="E20" s="121"/>
      <c r="F20" s="33"/>
      <c r="G20" s="32"/>
      <c r="H20" s="121"/>
      <c r="I20" s="121"/>
      <c r="J20" s="32"/>
      <c r="L20" s="34" t="s">
        <v>51</v>
      </c>
      <c r="M20" s="34" t="s">
        <v>52</v>
      </c>
      <c r="N20" s="34" t="str">
        <f>'Assumptions input'!$B$6</f>
        <v>National</v>
      </c>
      <c r="O20" s="34" t="str">
        <f>IFERROR(VLOOKUP('Assumptions input'!$B$6, $L$12:$M$22, 2, FALSE), "-")</f>
        <v>NATIONAL</v>
      </c>
      <c r="P20" s="27" t="b">
        <f>ISTEXT('Assumptions input'!$B$7)</f>
        <v>1</v>
      </c>
    </row>
    <row r="21" spans="1:194" x14ac:dyDescent="0.2">
      <c r="B21" s="31"/>
      <c r="C21" s="32"/>
      <c r="D21" s="121"/>
      <c r="E21" s="121"/>
      <c r="F21" s="33"/>
      <c r="G21" s="32"/>
      <c r="H21" s="121"/>
      <c r="I21" s="121"/>
      <c r="J21" s="32"/>
      <c r="L21" s="34" t="s">
        <v>53</v>
      </c>
      <c r="M21" s="34" t="s">
        <v>54</v>
      </c>
      <c r="N21" s="34" t="str">
        <f>'Assumptions input'!$B$6</f>
        <v>National</v>
      </c>
      <c r="O21" s="34" t="str">
        <f>IFERROR(VLOOKUP('Assumptions input'!$B$6, $L$12:$M$22, 2, FALSE), "-")</f>
        <v>NATIONAL</v>
      </c>
      <c r="P21" s="27" t="b">
        <f>ISTEXT('Assumptions input'!$B$7)</f>
        <v>1</v>
      </c>
    </row>
    <row r="22" spans="1:194" ht="15" thickBot="1" x14ac:dyDescent="0.25">
      <c r="B22" s="35"/>
      <c r="C22" s="36"/>
      <c r="D22" s="136"/>
      <c r="E22" s="136"/>
      <c r="F22" s="37"/>
      <c r="G22" s="36"/>
      <c r="H22" s="36"/>
      <c r="I22" s="36"/>
      <c r="J22" s="36"/>
      <c r="K22" s="20">
        <f>IFERROR(I22+J22, "")</f>
        <v>0</v>
      </c>
      <c r="L22" s="34"/>
      <c r="M22" s="34"/>
      <c r="N22" s="34"/>
      <c r="O22" s="34"/>
      <c r="P22" s="27"/>
    </row>
    <row r="23" spans="1:194" s="38" customFormat="1" ht="16.5" thickTop="1" thickBot="1" x14ac:dyDescent="0.3">
      <c r="B23" s="39" t="s">
        <v>55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input'!B9&gt;0,"",SUM(J14:J21))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2">
      <c r="B24" s="119"/>
      <c r="C24" s="119"/>
      <c r="D24" s="119"/>
      <c r="E24" s="119"/>
      <c r="F24" s="119"/>
      <c r="G24" s="119"/>
      <c r="H24" s="119"/>
      <c r="I24" s="119"/>
      <c r="J24" s="119"/>
    </row>
    <row r="25" spans="1:194" ht="45" x14ac:dyDescent="0.2">
      <c r="B25" s="120"/>
      <c r="C25" s="350"/>
      <c r="D25" s="45" t="s">
        <v>22</v>
      </c>
      <c r="E25" s="45" t="s">
        <v>22</v>
      </c>
      <c r="F25" s="120"/>
      <c r="I25" s="120"/>
      <c r="J25" s="120"/>
      <c r="K25" s="43"/>
      <c r="N25" s="43"/>
    </row>
    <row r="26" spans="1:194" ht="15" x14ac:dyDescent="0.25">
      <c r="D26" s="122">
        <v>2</v>
      </c>
      <c r="E26" s="122">
        <v>3</v>
      </c>
      <c r="F26" s="122">
        <v>4</v>
      </c>
      <c r="G26" s="122">
        <v>5</v>
      </c>
      <c r="H26" s="122">
        <v>6</v>
      </c>
      <c r="K26" s="43"/>
    </row>
    <row r="27" spans="1:194" s="2" customFormat="1" ht="48" customHeight="1" x14ac:dyDescent="0.25">
      <c r="A27" s="172" t="s">
        <v>35</v>
      </c>
      <c r="B27" s="171" t="s">
        <v>56</v>
      </c>
      <c r="C27" s="171" t="s">
        <v>57</v>
      </c>
      <c r="D27" s="111" t="s">
        <v>58</v>
      </c>
      <c r="E27" s="111" t="s">
        <v>58</v>
      </c>
      <c r="F27" s="111" t="s">
        <v>59</v>
      </c>
      <c r="G27" s="111" t="s">
        <v>59</v>
      </c>
      <c r="H27" s="111" t="s">
        <v>59</v>
      </c>
      <c r="I27" s="171" t="s">
        <v>58</v>
      </c>
      <c r="J27" s="171" t="s">
        <v>58</v>
      </c>
      <c r="K27" s="171" t="s">
        <v>60</v>
      </c>
      <c r="L27" s="171" t="s">
        <v>60</v>
      </c>
      <c r="M27" s="173" t="s">
        <v>61</v>
      </c>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5"/>
      <c r="CZ27" s="169" t="s">
        <v>62</v>
      </c>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70"/>
    </row>
    <row r="28" spans="1:194" s="17" customFormat="1" ht="30" x14ac:dyDescent="0.25">
      <c r="A28" s="172"/>
      <c r="B28" s="171"/>
      <c r="C28" s="171"/>
      <c r="D28" s="44" t="s">
        <v>28</v>
      </c>
      <c r="E28" s="45" t="s">
        <v>29</v>
      </c>
      <c r="F28" s="111" t="s">
        <v>63</v>
      </c>
      <c r="G28" s="110" t="s">
        <v>61</v>
      </c>
      <c r="H28" s="110" t="s">
        <v>62</v>
      </c>
      <c r="I28" s="111" t="s">
        <v>61</v>
      </c>
      <c r="J28" s="110" t="s">
        <v>62</v>
      </c>
      <c r="K28" s="111" t="s">
        <v>61</v>
      </c>
      <c r="L28" s="46" t="s">
        <v>62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64</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64</v>
      </c>
    </row>
    <row r="29" spans="1:194" s="2" customFormat="1" x14ac:dyDescent="0.2">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25">
      <c r="A30" s="86" t="s">
        <v>33</v>
      </c>
      <c r="B30" s="87" t="s">
        <v>33</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2">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ht="15" x14ac:dyDescent="0.25">
      <c r="A32" s="95" t="s">
        <v>37</v>
      </c>
      <c r="B32" s="105" t="s">
        <v>65</v>
      </c>
      <c r="C32" s="96" t="s">
        <v>66</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ht="15" x14ac:dyDescent="0.25">
      <c r="A33" s="51" t="s">
        <v>37</v>
      </c>
      <c r="B33" s="101" t="s">
        <v>67</v>
      </c>
      <c r="C33" s="52" t="s">
        <v>68</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ht="15" x14ac:dyDescent="0.25">
      <c r="A34" s="57" t="s">
        <v>37</v>
      </c>
      <c r="B34" s="102" t="s">
        <v>69</v>
      </c>
      <c r="C34" s="58" t="s">
        <v>70</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2">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2">
      <c r="A36" s="112" t="s">
        <v>39</v>
      </c>
      <c r="B36" s="247" t="s">
        <v>71</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2">
      <c r="A37" s="116" t="s">
        <v>39</v>
      </c>
      <c r="B37" s="247" t="s">
        <v>72</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2">
      <c r="A38" s="116" t="s">
        <v>39</v>
      </c>
      <c r="B38" s="247" t="s">
        <v>73</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2">
      <c r="A39" s="116" t="s">
        <v>39</v>
      </c>
      <c r="B39" s="247" t="s">
        <v>74</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2">
      <c r="A40" s="116" t="s">
        <v>39</v>
      </c>
      <c r="B40" s="247" t="s">
        <v>75</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2">
      <c r="A41" s="116" t="s">
        <v>39</v>
      </c>
      <c r="B41" s="247" t="s">
        <v>76</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2">
      <c r="A42" s="116" t="s">
        <v>39</v>
      </c>
      <c r="B42" s="247" t="s">
        <v>77</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2">
      <c r="A43" s="116" t="s">
        <v>39</v>
      </c>
      <c r="B43" s="247" t="s">
        <v>78</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2">
      <c r="A44" s="116" t="s">
        <v>39</v>
      </c>
      <c r="B44" s="247" t="s">
        <v>79</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2">
      <c r="A45" s="116" t="s">
        <v>39</v>
      </c>
      <c r="B45" s="247" t="s">
        <v>80</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2">
      <c r="A46" s="116" t="s">
        <v>39</v>
      </c>
      <c r="B46" s="247" t="s">
        <v>81</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2">
      <c r="A47" s="116" t="s">
        <v>39</v>
      </c>
      <c r="B47" s="247" t="s">
        <v>82</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2">
      <c r="A48" s="116" t="s">
        <v>39</v>
      </c>
      <c r="B48" s="247" t="s">
        <v>83</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2">
      <c r="A49" s="116" t="s">
        <v>39</v>
      </c>
      <c r="B49" s="247" t="s">
        <v>84</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2">
      <c r="A50" s="116" t="s">
        <v>39</v>
      </c>
      <c r="B50" s="247" t="s">
        <v>85</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2">
      <c r="A51" s="116" t="s">
        <v>39</v>
      </c>
      <c r="B51" s="247" t="s">
        <v>86</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2">
      <c r="A52" s="116" t="s">
        <v>39</v>
      </c>
      <c r="B52" s="247" t="s">
        <v>87</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2">
      <c r="A53" s="116" t="s">
        <v>39</v>
      </c>
      <c r="B53" s="247" t="s">
        <v>88</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2">
      <c r="A54" s="116" t="s">
        <v>39</v>
      </c>
      <c r="B54" s="247" t="s">
        <v>89</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2">
      <c r="A55" s="116" t="s">
        <v>39</v>
      </c>
      <c r="B55" s="247" t="s">
        <v>90</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2">
      <c r="A56" s="116" t="s">
        <v>39</v>
      </c>
      <c r="B56" s="247" t="s">
        <v>91</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2">
      <c r="A57" s="116" t="s">
        <v>39</v>
      </c>
      <c r="B57" s="247" t="s">
        <v>92</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2">
      <c r="A58" s="116" t="s">
        <v>39</v>
      </c>
      <c r="B58" s="247" t="s">
        <v>93</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2">
      <c r="A59" s="116" t="s">
        <v>39</v>
      </c>
      <c r="B59" s="247" t="s">
        <v>94</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2">
      <c r="A60" s="116" t="s">
        <v>39</v>
      </c>
      <c r="B60" s="247" t="s">
        <v>95</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2">
      <c r="A61" s="116" t="s">
        <v>39</v>
      </c>
      <c r="B61" s="247" t="s">
        <v>96</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2">
      <c r="A62" s="116" t="s">
        <v>39</v>
      </c>
      <c r="B62" s="247" t="s">
        <v>97</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2">
      <c r="A63" s="116" t="s">
        <v>39</v>
      </c>
      <c r="B63" s="247" t="s">
        <v>98</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2">
      <c r="A64" s="116" t="s">
        <v>39</v>
      </c>
      <c r="B64" s="247" t="s">
        <v>99</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2">
      <c r="A65" s="116" t="s">
        <v>39</v>
      </c>
      <c r="B65" s="247" t="s">
        <v>100</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2">
      <c r="A66" s="116" t="s">
        <v>39</v>
      </c>
      <c r="B66" s="247" t="s">
        <v>101</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2">
      <c r="A67" s="116" t="s">
        <v>39</v>
      </c>
      <c r="B67" s="247" t="s">
        <v>102</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2">
      <c r="A68" s="116" t="s">
        <v>39</v>
      </c>
      <c r="B68" s="247" t="s">
        <v>103</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2">
      <c r="A69" s="116" t="s">
        <v>39</v>
      </c>
      <c r="B69" s="247" t="s">
        <v>104</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2">
      <c r="A70" s="116" t="s">
        <v>39</v>
      </c>
      <c r="B70" s="247" t="s">
        <v>105</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2">
      <c r="A71" s="116" t="s">
        <v>39</v>
      </c>
      <c r="B71" s="247" t="s">
        <v>106</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2">
      <c r="A72" s="116" t="s">
        <v>39</v>
      </c>
      <c r="B72" s="247" t="s">
        <v>107</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2">
      <c r="A73" s="116" t="s">
        <v>39</v>
      </c>
      <c r="B73" s="247" t="s">
        <v>108</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2">
      <c r="A74" s="116" t="s">
        <v>39</v>
      </c>
      <c r="B74" s="247" t="s">
        <v>109</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2">
      <c r="A75" s="116" t="s">
        <v>39</v>
      </c>
      <c r="B75" s="247" t="s">
        <v>110</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2">
      <c r="A76" s="116" t="s">
        <v>39</v>
      </c>
      <c r="B76" s="247" t="s">
        <v>111</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2">
      <c r="A77" s="116" t="s">
        <v>39</v>
      </c>
      <c r="B77" s="247" t="s">
        <v>112</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2">
      <c r="A78" s="116" t="s">
        <v>39</v>
      </c>
      <c r="B78" s="247" t="s">
        <v>113</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2">
      <c r="A79" s="116" t="s">
        <v>39</v>
      </c>
      <c r="B79" s="247" t="s">
        <v>114</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2">
      <c r="A80" s="116" t="s">
        <v>39</v>
      </c>
      <c r="B80" s="247" t="s">
        <v>115</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2">
      <c r="A81" s="116" t="s">
        <v>39</v>
      </c>
      <c r="B81" s="247" t="s">
        <v>116</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2">
      <c r="A82" s="116" t="s">
        <v>39</v>
      </c>
      <c r="B82" s="247" t="s">
        <v>117</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2">
      <c r="A83" s="116" t="s">
        <v>39</v>
      </c>
      <c r="B83" s="247" t="s">
        <v>118</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2">
      <c r="A84" s="116" t="s">
        <v>39</v>
      </c>
      <c r="B84" s="247" t="s">
        <v>119</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2">
      <c r="A85" s="116" t="s">
        <v>39</v>
      </c>
      <c r="B85" s="247" t="s">
        <v>120</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2">
      <c r="A86" s="116" t="s">
        <v>39</v>
      </c>
      <c r="B86" s="247" t="s">
        <v>121</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2">
      <c r="A87" s="116" t="s">
        <v>39</v>
      </c>
      <c r="B87" s="247" t="s">
        <v>122</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2">
      <c r="A88" s="116" t="s">
        <v>39</v>
      </c>
      <c r="B88" s="247" t="s">
        <v>123</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2">
      <c r="A89" s="116" t="s">
        <v>39</v>
      </c>
      <c r="B89" s="247" t="s">
        <v>124</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2">
      <c r="A90" s="116" t="s">
        <v>39</v>
      </c>
      <c r="B90" s="247" t="s">
        <v>125</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2">
      <c r="A91" s="116" t="s">
        <v>39</v>
      </c>
      <c r="B91" s="247" t="s">
        <v>126</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2">
      <c r="A92" s="116" t="s">
        <v>39</v>
      </c>
      <c r="B92" s="247" t="s">
        <v>127</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2">
      <c r="A93" s="116" t="s">
        <v>39</v>
      </c>
      <c r="B93" s="247" t="s">
        <v>128</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2">
      <c r="A94" s="116" t="s">
        <v>39</v>
      </c>
      <c r="B94" s="247" t="s">
        <v>129</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2">
      <c r="A95" s="116" t="s">
        <v>39</v>
      </c>
      <c r="B95" s="247" t="s">
        <v>130</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2">
      <c r="A96" s="116" t="s">
        <v>39</v>
      </c>
      <c r="B96" s="247" t="s">
        <v>131</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2">
      <c r="A97" s="116" t="s">
        <v>39</v>
      </c>
      <c r="B97" s="247" t="s">
        <v>132</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2">
      <c r="A98" s="116" t="s">
        <v>39</v>
      </c>
      <c r="B98" s="247" t="s">
        <v>133</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2">
      <c r="A99" s="116" t="s">
        <v>39</v>
      </c>
      <c r="B99" s="247" t="s">
        <v>134</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2">
      <c r="A100" s="116" t="s">
        <v>39</v>
      </c>
      <c r="B100" s="247" t="s">
        <v>135</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2">
      <c r="A101" s="116" t="s">
        <v>39</v>
      </c>
      <c r="B101" s="247" t="s">
        <v>136</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2">
      <c r="A102" s="116" t="s">
        <v>39</v>
      </c>
      <c r="B102" s="247" t="s">
        <v>137</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2">
      <c r="A103" s="116" t="s">
        <v>39</v>
      </c>
      <c r="B103" s="247" t="s">
        <v>138</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2">
      <c r="A104" s="116" t="s">
        <v>39</v>
      </c>
      <c r="B104" s="247" t="s">
        <v>139</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2">
      <c r="A105" s="116" t="s">
        <v>39</v>
      </c>
      <c r="B105" s="247" t="s">
        <v>140</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2">
      <c r="A106" s="116" t="s">
        <v>39</v>
      </c>
      <c r="B106" s="247" t="s">
        <v>141</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2">
      <c r="A107" s="116" t="s">
        <v>39</v>
      </c>
      <c r="B107" s="247" t="s">
        <v>142</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2">
      <c r="A108" s="116" t="s">
        <v>39</v>
      </c>
      <c r="B108" s="247" t="s">
        <v>143</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2">
      <c r="A109" s="116" t="s">
        <v>39</v>
      </c>
      <c r="B109" s="247" t="s">
        <v>144</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2">
      <c r="A110" s="116" t="s">
        <v>39</v>
      </c>
      <c r="B110" s="247" t="s">
        <v>145</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2">
      <c r="A111" s="116" t="s">
        <v>39</v>
      </c>
      <c r="B111" s="247" t="s">
        <v>146</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2">
      <c r="A112" s="116" t="s">
        <v>39</v>
      </c>
      <c r="B112" s="247" t="s">
        <v>147</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2">
      <c r="A113" s="116" t="s">
        <v>39</v>
      </c>
      <c r="B113" s="247" t="s">
        <v>148</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2">
      <c r="A114" s="116" t="s">
        <v>39</v>
      </c>
      <c r="B114" s="247" t="s">
        <v>149</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2">
      <c r="A115" s="116" t="s">
        <v>39</v>
      </c>
      <c r="B115" s="247" t="s">
        <v>150</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2">
      <c r="A116" s="116" t="s">
        <v>39</v>
      </c>
      <c r="B116" s="247" t="s">
        <v>151</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2">
      <c r="A117" s="116" t="s">
        <v>39</v>
      </c>
      <c r="B117" s="247" t="s">
        <v>152</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2">
      <c r="A118" s="116" t="s">
        <v>39</v>
      </c>
      <c r="B118" s="247" t="s">
        <v>153</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2">
      <c r="A119" s="116" t="s">
        <v>39</v>
      </c>
      <c r="B119" s="247" t="s">
        <v>154</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2">
      <c r="A120" s="116" t="s">
        <v>39</v>
      </c>
      <c r="B120" s="247" t="s">
        <v>155</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2">
      <c r="A121" s="116" t="s">
        <v>39</v>
      </c>
      <c r="B121" s="247" t="s">
        <v>156</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2">
      <c r="A122" s="116" t="s">
        <v>39</v>
      </c>
      <c r="B122" s="247" t="s">
        <v>157</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2">
      <c r="A123" s="116" t="s">
        <v>39</v>
      </c>
      <c r="B123" s="247" t="s">
        <v>158</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2">
      <c r="A124" s="116" t="s">
        <v>39</v>
      </c>
      <c r="B124" s="247" t="s">
        <v>159</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2">
      <c r="A125" s="116" t="s">
        <v>39</v>
      </c>
      <c r="B125" s="247" t="s">
        <v>160</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2">
      <c r="A126" s="116" t="s">
        <v>39</v>
      </c>
      <c r="B126" s="247" t="s">
        <v>161</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2">
      <c r="A127" s="116" t="s">
        <v>39</v>
      </c>
      <c r="B127" s="247" t="s">
        <v>162</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2">
      <c r="A128" s="116" t="s">
        <v>39</v>
      </c>
      <c r="B128" s="247" t="s">
        <v>163</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2">
      <c r="A129" s="116" t="s">
        <v>39</v>
      </c>
      <c r="B129" s="247" t="s">
        <v>164</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2">
      <c r="A130" s="116" t="s">
        <v>39</v>
      </c>
      <c r="B130" s="247" t="s">
        <v>165</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2">
      <c r="A131" s="116" t="s">
        <v>39</v>
      </c>
      <c r="B131" s="247" t="s">
        <v>166</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2">
      <c r="A132" s="116" t="s">
        <v>39</v>
      </c>
      <c r="B132" s="247" t="s">
        <v>167</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2">
      <c r="A133" s="116" t="s">
        <v>39</v>
      </c>
      <c r="B133" s="247" t="s">
        <v>168</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2">
      <c r="A134" s="116" t="s">
        <v>39</v>
      </c>
      <c r="B134" s="247" t="s">
        <v>169</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2">
      <c r="A135" s="116" t="s">
        <v>39</v>
      </c>
      <c r="B135" s="247" t="s">
        <v>170</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2">
      <c r="A136" s="116" t="s">
        <v>39</v>
      </c>
      <c r="B136" s="247" t="s">
        <v>171</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2">
      <c r="A137" s="116" t="s">
        <v>39</v>
      </c>
      <c r="B137" s="247" t="s">
        <v>172</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2">
      <c r="A138" s="116" t="s">
        <v>39</v>
      </c>
      <c r="B138" s="247" t="s">
        <v>173</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2">
      <c r="A139" s="116" t="s">
        <v>39</v>
      </c>
      <c r="B139" s="247" t="s">
        <v>174</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2">
      <c r="A140" s="116" t="s">
        <v>39</v>
      </c>
      <c r="B140" s="247" t="s">
        <v>175</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2">
      <c r="A141" s="116" t="s">
        <v>39</v>
      </c>
      <c r="B141" s="247" t="s">
        <v>176</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5" customFormat="1" ht="15" x14ac:dyDescent="0.25">
      <c r="A142" s="151"/>
      <c r="B142" s="152"/>
      <c r="C142" s="151"/>
      <c r="D142" s="154">
        <f t="shared" ref="D142:L142" si="43">SUM(D36:D141)</f>
        <v>21779298</v>
      </c>
      <c r="E142" s="154">
        <f t="shared" si="43"/>
        <v>22677552</v>
      </c>
      <c r="F142" s="154">
        <f t="shared" si="43"/>
        <v>56550138</v>
      </c>
      <c r="G142" s="154">
        <f t="shared" si="43"/>
        <v>27982818</v>
      </c>
      <c r="H142" s="154">
        <f t="shared" si="43"/>
        <v>28567320</v>
      </c>
      <c r="I142" s="154">
        <f t="shared" si="43"/>
        <v>21779298</v>
      </c>
      <c r="J142" s="154">
        <f t="shared" si="43"/>
        <v>22677552</v>
      </c>
      <c r="K142" s="154">
        <f t="shared" si="43"/>
        <v>6203520</v>
      </c>
      <c r="L142" s="154">
        <f t="shared" si="43"/>
        <v>5889768</v>
      </c>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3"/>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c r="FR142" s="154"/>
      <c r="FS142" s="154"/>
      <c r="FT142" s="154"/>
      <c r="FU142" s="154"/>
      <c r="FV142" s="154"/>
      <c r="FW142" s="154"/>
      <c r="FX142" s="154"/>
      <c r="FY142" s="154"/>
      <c r="FZ142" s="154"/>
      <c r="GA142" s="154"/>
      <c r="GB142" s="154"/>
      <c r="GC142" s="154"/>
      <c r="GD142" s="154"/>
      <c r="GE142" s="154"/>
      <c r="GF142" s="154"/>
      <c r="GG142" s="154"/>
      <c r="GH142" s="154"/>
      <c r="GI142" s="154"/>
      <c r="GJ142" s="154"/>
      <c r="GK142" s="154"/>
      <c r="GL142" s="153"/>
    </row>
    <row r="143" spans="1:194" s="2" customFormat="1" x14ac:dyDescent="0.2">
      <c r="A143" s="73" t="s">
        <v>41</v>
      </c>
      <c r="B143" s="139" t="s">
        <v>177</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2">
      <c r="A144" s="73" t="s">
        <v>41</v>
      </c>
      <c r="B144" s="140" t="s">
        <v>178</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2">
      <c r="A145" s="73" t="s">
        <v>41</v>
      </c>
      <c r="B145" s="140" t="s">
        <v>179</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2">
      <c r="A146" s="73" t="s">
        <v>41</v>
      </c>
      <c r="B146" s="140" t="s">
        <v>180</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2">
      <c r="A147" s="73" t="s">
        <v>41</v>
      </c>
      <c r="B147" s="140" t="s">
        <v>181</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2">
      <c r="A148" s="73" t="s">
        <v>41</v>
      </c>
      <c r="B148" s="140" t="s">
        <v>182</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2">
      <c r="A149" s="74" t="s">
        <v>41</v>
      </c>
      <c r="B149" s="138" t="s">
        <v>183</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55" customFormat="1" ht="15" x14ac:dyDescent="0.25">
      <c r="A150" s="156"/>
      <c r="B150" s="157"/>
      <c r="C150" s="156"/>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2">
      <c r="A151" s="78" t="s">
        <v>43</v>
      </c>
      <c r="B151" s="139" t="s">
        <v>184</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2">
      <c r="A152" s="78" t="s">
        <v>43</v>
      </c>
      <c r="B152" s="140" t="s">
        <v>185</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2">
      <c r="A153" s="78" t="s">
        <v>43</v>
      </c>
      <c r="B153" s="140" t="s">
        <v>186</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2">
      <c r="A154" s="78" t="s">
        <v>43</v>
      </c>
      <c r="B154" s="140" t="s">
        <v>187</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2">
      <c r="A155" s="84" t="s">
        <v>43</v>
      </c>
      <c r="B155" s="138" t="s">
        <v>188</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55" customFormat="1" ht="15" x14ac:dyDescent="0.25">
      <c r="A156" s="156"/>
      <c r="B156" s="157"/>
      <c r="C156" s="156"/>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2">
      <c r="A157" s="94" t="s">
        <v>45</v>
      </c>
      <c r="B157" s="141" t="s">
        <v>189</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2">
      <c r="A158" s="85" t="s">
        <v>45</v>
      </c>
      <c r="B158" s="141" t="s">
        <v>190</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2">
      <c r="A159" s="85" t="s">
        <v>45</v>
      </c>
      <c r="B159" s="141" t="s">
        <v>191</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2">
      <c r="A160" s="85" t="s">
        <v>45</v>
      </c>
      <c r="B160" s="141" t="s">
        <v>192</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2">
      <c r="A161" s="85" t="s">
        <v>45</v>
      </c>
      <c r="B161" s="141" t="s">
        <v>193</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2">
      <c r="A162" s="85" t="s">
        <v>45</v>
      </c>
      <c r="B162" s="141" t="s">
        <v>194</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2">
      <c r="A163" s="297" t="s">
        <v>45</v>
      </c>
      <c r="B163" s="141" t="s">
        <v>195</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55" customFormat="1" ht="15" x14ac:dyDescent="0.25">
      <c r="A164" s="158"/>
      <c r="B164" s="159"/>
      <c r="C164" s="151"/>
      <c r="D164" s="160">
        <f t="shared" ref="D164:E164" si="73">SUM(D157:D163)</f>
        <v>21779298</v>
      </c>
      <c r="E164" s="160">
        <f t="shared" si="73"/>
        <v>22677552</v>
      </c>
      <c r="F164" s="160">
        <f>SUM(F157:F163)</f>
        <v>56550138</v>
      </c>
      <c r="G164" s="160">
        <f t="shared" ref="G164:L164" si="74">SUM(G157:G163)</f>
        <v>27982818</v>
      </c>
      <c r="H164" s="160">
        <f t="shared" si="74"/>
        <v>28567320</v>
      </c>
      <c r="I164" s="160">
        <f t="shared" si="74"/>
        <v>21779298</v>
      </c>
      <c r="J164" s="160">
        <f t="shared" si="74"/>
        <v>22677552</v>
      </c>
      <c r="K164" s="160">
        <f t="shared" si="74"/>
        <v>6203520</v>
      </c>
      <c r="L164" s="160">
        <f t="shared" si="74"/>
        <v>5889768</v>
      </c>
      <c r="M164" s="160"/>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0"/>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2">
      <c r="A165" s="147" t="s">
        <v>47</v>
      </c>
      <c r="B165" s="354" t="s">
        <v>196</v>
      </c>
      <c r="C165" s="250"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2">
      <c r="A166" s="149" t="s">
        <v>47</v>
      </c>
      <c r="B166" s="355" t="s">
        <v>197</v>
      </c>
      <c r="C166" s="251"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2">
      <c r="A167" s="149" t="s">
        <v>47</v>
      </c>
      <c r="B167" s="355" t="s">
        <v>198</v>
      </c>
      <c r="C167" s="251"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2">
      <c r="A168" s="149" t="s">
        <v>47</v>
      </c>
      <c r="B168" s="355" t="s">
        <v>199</v>
      </c>
      <c r="C168" s="251"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2">
      <c r="A169" s="149" t="s">
        <v>47</v>
      </c>
      <c r="B169" s="355" t="s">
        <v>200</v>
      </c>
      <c r="C169" s="251"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2">
      <c r="A170" s="149" t="s">
        <v>47</v>
      </c>
      <c r="B170" s="355" t="s">
        <v>201</v>
      </c>
      <c r="C170" s="251"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2">
      <c r="A171" s="149" t="s">
        <v>47</v>
      </c>
      <c r="B171" s="355" t="s">
        <v>202</v>
      </c>
      <c r="C171" s="251"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2">
      <c r="A172" s="149" t="s">
        <v>47</v>
      </c>
      <c r="B172" s="355" t="s">
        <v>203</v>
      </c>
      <c r="C172" s="251"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2">
      <c r="A173" s="149" t="s">
        <v>47</v>
      </c>
      <c r="B173" s="355" t="s">
        <v>204</v>
      </c>
      <c r="C173" s="251"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2">
      <c r="A174" s="149" t="s">
        <v>47</v>
      </c>
      <c r="B174" s="355" t="s">
        <v>205</v>
      </c>
      <c r="C174" s="251"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2">
      <c r="A175" s="149" t="s">
        <v>47</v>
      </c>
      <c r="B175" s="355" t="s">
        <v>206</v>
      </c>
      <c r="C175" s="251"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2">
      <c r="A176" s="149" t="s">
        <v>47</v>
      </c>
      <c r="B176" s="355" t="s">
        <v>207</v>
      </c>
      <c r="C176" s="251"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2">
      <c r="A177" s="149" t="s">
        <v>47</v>
      </c>
      <c r="B177" s="355" t="s">
        <v>208</v>
      </c>
      <c r="C177" s="251"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2">
      <c r="A178" s="149" t="s">
        <v>47</v>
      </c>
      <c r="B178" s="355" t="s">
        <v>209</v>
      </c>
      <c r="C178" s="251"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2">
      <c r="A179" s="149" t="s">
        <v>47</v>
      </c>
      <c r="B179" s="355" t="s">
        <v>210</v>
      </c>
      <c r="C179" s="251"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2">
      <c r="A180" s="149" t="s">
        <v>47</v>
      </c>
      <c r="B180" s="355" t="s">
        <v>211</v>
      </c>
      <c r="C180" s="251"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2">
      <c r="A181" s="149" t="s">
        <v>47</v>
      </c>
      <c r="B181" s="355" t="s">
        <v>212</v>
      </c>
      <c r="C181" s="251"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2">
      <c r="A182" s="149" t="s">
        <v>47</v>
      </c>
      <c r="B182" s="355" t="s">
        <v>213</v>
      </c>
      <c r="C182" s="251"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2">
      <c r="A183" s="149" t="s">
        <v>47</v>
      </c>
      <c r="B183" s="355" t="s">
        <v>214</v>
      </c>
      <c r="C183" s="251"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2">
      <c r="A184" s="149" t="s">
        <v>47</v>
      </c>
      <c r="B184" s="355" t="s">
        <v>215</v>
      </c>
      <c r="C184" s="251"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2">
      <c r="A185" s="149" t="s">
        <v>47</v>
      </c>
      <c r="B185" s="355" t="s">
        <v>216</v>
      </c>
      <c r="C185" s="251"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2">
      <c r="A186" s="149" t="s">
        <v>47</v>
      </c>
      <c r="B186" s="355" t="s">
        <v>217</v>
      </c>
      <c r="C186" s="251"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2">
      <c r="A187" s="149" t="s">
        <v>47</v>
      </c>
      <c r="B187" s="355" t="s">
        <v>218</v>
      </c>
      <c r="C187" s="251"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2">
      <c r="A188" s="149" t="s">
        <v>47</v>
      </c>
      <c r="B188" s="355" t="s">
        <v>219</v>
      </c>
      <c r="C188" s="251"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2">
      <c r="A189" s="149" t="s">
        <v>47</v>
      </c>
      <c r="B189" s="355" t="s">
        <v>220</v>
      </c>
      <c r="C189" s="251"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2">
      <c r="A190" s="149" t="s">
        <v>47</v>
      </c>
      <c r="B190" s="355" t="s">
        <v>129</v>
      </c>
      <c r="C190" s="251"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2">
      <c r="A191" s="149" t="s">
        <v>47</v>
      </c>
      <c r="B191" s="355" t="s">
        <v>221</v>
      </c>
      <c r="C191" s="251"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2">
      <c r="A192" s="149" t="s">
        <v>47</v>
      </c>
      <c r="B192" s="355" t="s">
        <v>133</v>
      </c>
      <c r="C192" s="251"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2">
      <c r="A193" s="149" t="s">
        <v>47</v>
      </c>
      <c r="B193" s="355" t="s">
        <v>222</v>
      </c>
      <c r="C193" s="251"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2">
      <c r="A194" s="149" t="s">
        <v>47</v>
      </c>
      <c r="B194" s="355" t="s">
        <v>223</v>
      </c>
      <c r="C194" s="251"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2">
      <c r="A195" s="149" t="s">
        <v>47</v>
      </c>
      <c r="B195" s="355" t="s">
        <v>224</v>
      </c>
      <c r="C195" s="251"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2">
      <c r="A196" s="149" t="s">
        <v>47</v>
      </c>
      <c r="B196" s="355" t="s">
        <v>225</v>
      </c>
      <c r="C196" s="251"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2">
      <c r="A197" s="149" t="s">
        <v>47</v>
      </c>
      <c r="B197" s="355" t="s">
        <v>226</v>
      </c>
      <c r="C197" s="251"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2">
      <c r="A198" s="149" t="s">
        <v>47</v>
      </c>
      <c r="B198" s="355" t="s">
        <v>227</v>
      </c>
      <c r="C198" s="251"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2">
      <c r="A199" s="149" t="s">
        <v>47</v>
      </c>
      <c r="B199" s="355" t="s">
        <v>228</v>
      </c>
      <c r="C199" s="251"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2">
      <c r="A200" s="149" t="s">
        <v>47</v>
      </c>
      <c r="B200" s="355" t="s">
        <v>229</v>
      </c>
      <c r="C200" s="251"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2">
      <c r="A201" s="149" t="s">
        <v>47</v>
      </c>
      <c r="B201" s="355" t="s">
        <v>230</v>
      </c>
      <c r="C201" s="251"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2">
      <c r="A202" s="149" t="s">
        <v>47</v>
      </c>
      <c r="B202" s="355" t="s">
        <v>231</v>
      </c>
      <c r="C202" s="251"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2">
      <c r="A203" s="149" t="s">
        <v>47</v>
      </c>
      <c r="B203" s="355" t="s">
        <v>232</v>
      </c>
      <c r="C203" s="251"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2">
      <c r="A204" s="149" t="s">
        <v>47</v>
      </c>
      <c r="B204" s="355" t="s">
        <v>233</v>
      </c>
      <c r="C204" s="251"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2">
      <c r="A205" s="149" t="s">
        <v>47</v>
      </c>
      <c r="B205" s="355" t="s">
        <v>234</v>
      </c>
      <c r="C205" s="251"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2">
      <c r="A206" s="149" t="s">
        <v>47</v>
      </c>
      <c r="B206" s="355" t="s">
        <v>235</v>
      </c>
      <c r="C206" s="251"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55" customFormat="1" ht="15" x14ac:dyDescent="0.25">
      <c r="A207" s="151"/>
      <c r="B207" s="262"/>
      <c r="C207" s="161"/>
      <c r="D207" s="248">
        <f t="shared" ref="D207:L207" si="120">SUM(D165:D206)</f>
        <v>21779298</v>
      </c>
      <c r="E207" s="248">
        <f t="shared" si="120"/>
        <v>22677552</v>
      </c>
      <c r="F207" s="248">
        <f t="shared" si="120"/>
        <v>56550138</v>
      </c>
      <c r="G207" s="248">
        <f t="shared" si="120"/>
        <v>27982818</v>
      </c>
      <c r="H207" s="248">
        <f t="shared" si="120"/>
        <v>28567320</v>
      </c>
      <c r="I207" s="248">
        <f t="shared" si="120"/>
        <v>21779298</v>
      </c>
      <c r="J207" s="248">
        <f t="shared" si="120"/>
        <v>22677552</v>
      </c>
      <c r="K207" s="248">
        <f t="shared" si="120"/>
        <v>6203520</v>
      </c>
      <c r="L207" s="248">
        <f t="shared" si="120"/>
        <v>5889768</v>
      </c>
      <c r="M207" s="248"/>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3"/>
      <c r="CZ207" s="249"/>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c r="FR207" s="154"/>
      <c r="FS207" s="154"/>
      <c r="FT207" s="154"/>
      <c r="FU207" s="154"/>
      <c r="FV207" s="154"/>
      <c r="FW207" s="154"/>
      <c r="FX207" s="154"/>
      <c r="FY207" s="154"/>
      <c r="FZ207" s="154"/>
      <c r="GA207" s="154"/>
      <c r="GB207" s="154"/>
      <c r="GC207" s="154"/>
      <c r="GD207" s="154"/>
      <c r="GE207" s="154"/>
      <c r="GF207" s="154"/>
      <c r="GG207" s="154"/>
      <c r="GH207" s="154"/>
      <c r="GI207" s="154"/>
      <c r="GJ207" s="154"/>
      <c r="GK207" s="154"/>
      <c r="GL207" s="153"/>
    </row>
    <row r="208" spans="1:194" s="2" customFormat="1" x14ac:dyDescent="0.2">
      <c r="A208" s="50" t="s">
        <v>53</v>
      </c>
      <c r="B208" s="2" t="s">
        <v>236</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2">
      <c r="A209" s="50" t="s">
        <v>53</v>
      </c>
      <c r="B209" s="2" t="s">
        <v>237</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2">
      <c r="A210" s="50" t="s">
        <v>53</v>
      </c>
      <c r="B210" s="2" t="s">
        <v>238</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2">
      <c r="A211" s="50" t="s">
        <v>53</v>
      </c>
      <c r="B211" s="2" t="s">
        <v>239</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2">
      <c r="A212" s="50" t="s">
        <v>53</v>
      </c>
      <c r="B212" s="2" t="s">
        <v>240</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2">
      <c r="A213" s="50" t="s">
        <v>53</v>
      </c>
      <c r="B213" s="2" t="s">
        <v>241</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2">
      <c r="A214" s="50" t="s">
        <v>53</v>
      </c>
      <c r="B214" s="2" t="s">
        <v>242</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2">
      <c r="A215" s="50" t="s">
        <v>53</v>
      </c>
      <c r="B215" s="2" t="s">
        <v>243</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2">
      <c r="A216" s="50" t="s">
        <v>53</v>
      </c>
      <c r="B216" s="2" t="s">
        <v>244</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2">
      <c r="A217" s="50" t="s">
        <v>53</v>
      </c>
      <c r="B217" s="2" t="s">
        <v>245</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2">
      <c r="A218" s="50" t="s">
        <v>53</v>
      </c>
      <c r="B218" s="2" t="s">
        <v>246</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2">
      <c r="A219" s="50" t="s">
        <v>53</v>
      </c>
      <c r="B219" s="2" t="s">
        <v>247</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2">
      <c r="A220" s="50" t="s">
        <v>53</v>
      </c>
      <c r="B220" s="2" t="s">
        <v>248</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2">
      <c r="A221" s="50" t="s">
        <v>53</v>
      </c>
      <c r="B221" s="2" t="s">
        <v>249</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2">
      <c r="A222" s="50" t="s">
        <v>53</v>
      </c>
      <c r="B222" s="2" t="s">
        <v>250</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2">
      <c r="A223" s="50" t="s">
        <v>53</v>
      </c>
      <c r="B223" s="2" t="s">
        <v>251</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2">
      <c r="A224" s="50" t="s">
        <v>53</v>
      </c>
      <c r="B224" s="2" t="s">
        <v>252</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2">
      <c r="A225" s="50" t="s">
        <v>53</v>
      </c>
      <c r="B225" s="2" t="s">
        <v>253</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2">
      <c r="A226" s="50" t="s">
        <v>53</v>
      </c>
      <c r="B226" s="2" t="s">
        <v>254</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2">
      <c r="A227" s="50" t="s">
        <v>53</v>
      </c>
      <c r="B227" s="2" t="s">
        <v>255</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2">
      <c r="A228" s="50" t="s">
        <v>53</v>
      </c>
      <c r="B228" s="2" t="s">
        <v>256</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2">
      <c r="A229" s="50" t="s">
        <v>53</v>
      </c>
      <c r="B229" s="2" t="s">
        <v>257</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2">
      <c r="A230" s="50" t="s">
        <v>53</v>
      </c>
      <c r="B230" s="2" t="s">
        <v>258</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2">
      <c r="A231" s="50" t="s">
        <v>53</v>
      </c>
      <c r="B231" s="2" t="s">
        <v>259</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2">
      <c r="A232" s="50" t="s">
        <v>53</v>
      </c>
      <c r="B232" s="2" t="s">
        <v>260</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2">
      <c r="A233" s="50" t="s">
        <v>53</v>
      </c>
      <c r="B233" s="2" t="s">
        <v>261</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2">
      <c r="A234" s="50" t="s">
        <v>53</v>
      </c>
      <c r="B234" s="2" t="s">
        <v>262</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2">
      <c r="A235" s="50" t="s">
        <v>53</v>
      </c>
      <c r="B235" s="2" t="s">
        <v>263</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2">
      <c r="A236" s="50" t="s">
        <v>53</v>
      </c>
      <c r="B236" s="2" t="s">
        <v>264</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2">
      <c r="A237" s="50" t="s">
        <v>53</v>
      </c>
      <c r="B237" s="2" t="s">
        <v>265</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2">
      <c r="A238" s="50" t="s">
        <v>53</v>
      </c>
      <c r="B238" s="2" t="s">
        <v>266</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2">
      <c r="A239" s="50" t="s">
        <v>53</v>
      </c>
      <c r="B239" s="2" t="s">
        <v>267</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2">
      <c r="A240" s="50" t="s">
        <v>53</v>
      </c>
      <c r="B240" s="2" t="s">
        <v>268</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2">
      <c r="A241" s="50" t="s">
        <v>53</v>
      </c>
      <c r="B241" s="2" t="s">
        <v>269</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2">
      <c r="A242" s="50" t="s">
        <v>53</v>
      </c>
      <c r="B242" s="2" t="s">
        <v>270</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2">
      <c r="A243" s="50" t="s">
        <v>53</v>
      </c>
      <c r="B243" s="2" t="s">
        <v>271</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2">
      <c r="A244" s="50" t="s">
        <v>53</v>
      </c>
      <c r="B244" s="2" t="s">
        <v>272</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2">
      <c r="A245" s="50" t="s">
        <v>53</v>
      </c>
      <c r="B245" s="2" t="s">
        <v>273</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2">
      <c r="A246" s="50" t="s">
        <v>53</v>
      </c>
      <c r="B246" s="2" t="s">
        <v>274</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2">
      <c r="A247" s="50" t="s">
        <v>53</v>
      </c>
      <c r="B247" s="2" t="s">
        <v>275</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2">
      <c r="A248" s="50" t="s">
        <v>53</v>
      </c>
      <c r="B248" s="2" t="s">
        <v>276</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2">
      <c r="A249" s="50" t="s">
        <v>53</v>
      </c>
      <c r="B249" s="2" t="s">
        <v>277</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2">
      <c r="A250" s="50" t="s">
        <v>53</v>
      </c>
      <c r="B250" s="2" t="s">
        <v>278</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2">
      <c r="A251" s="50" t="s">
        <v>53</v>
      </c>
      <c r="B251" s="2" t="s">
        <v>279</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2">
      <c r="A252" s="50" t="s">
        <v>53</v>
      </c>
      <c r="B252" s="2" t="s">
        <v>280</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2">
      <c r="A253" s="50" t="s">
        <v>53</v>
      </c>
      <c r="B253" s="2" t="s">
        <v>281</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2">
      <c r="A254" s="50" t="s">
        <v>53</v>
      </c>
      <c r="B254" s="2" t="s">
        <v>282</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2">
      <c r="A255" s="50" t="s">
        <v>53</v>
      </c>
      <c r="B255" s="2" t="s">
        <v>283</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2">
      <c r="A256" s="50" t="s">
        <v>53</v>
      </c>
      <c r="B256" s="2" t="s">
        <v>284</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2">
      <c r="A257" s="50" t="s">
        <v>53</v>
      </c>
      <c r="B257" s="2" t="s">
        <v>285</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2">
      <c r="A258" s="50" t="s">
        <v>53</v>
      </c>
      <c r="B258" s="2" t="s">
        <v>286</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2">
      <c r="A259" s="50" t="s">
        <v>53</v>
      </c>
      <c r="B259" s="2" t="s">
        <v>287</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2">
      <c r="A260" s="50" t="s">
        <v>53</v>
      </c>
      <c r="B260" s="2" t="s">
        <v>288</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2">
      <c r="A261" s="50" t="s">
        <v>53</v>
      </c>
      <c r="B261" s="2" t="s">
        <v>289</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2">
      <c r="A262" s="50" t="s">
        <v>53</v>
      </c>
      <c r="B262" s="2" t="s">
        <v>290</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2">
      <c r="A263" s="50" t="s">
        <v>53</v>
      </c>
      <c r="B263" s="2" t="s">
        <v>291</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2">
      <c r="A264" s="50" t="s">
        <v>53</v>
      </c>
      <c r="B264" s="2" t="s">
        <v>292</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2">
      <c r="A265" s="50" t="s">
        <v>53</v>
      </c>
      <c r="B265" s="2" t="s">
        <v>293</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2">
      <c r="A266" s="50" t="s">
        <v>53</v>
      </c>
      <c r="B266" s="2" t="s">
        <v>294</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2">
      <c r="A267" s="50" t="s">
        <v>53</v>
      </c>
      <c r="B267" s="2" t="s">
        <v>295</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2">
      <c r="A268" s="50" t="s">
        <v>53</v>
      </c>
      <c r="B268" s="2" t="s">
        <v>296</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2">
      <c r="A269" s="50" t="s">
        <v>53</v>
      </c>
      <c r="B269" s="2" t="s">
        <v>297</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2">
      <c r="A270" s="50" t="s">
        <v>53</v>
      </c>
      <c r="B270" s="2" t="s">
        <v>298</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2">
      <c r="A271" s="50" t="s">
        <v>53</v>
      </c>
      <c r="B271" s="2" t="s">
        <v>299</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2">
      <c r="A272" s="50" t="s">
        <v>53</v>
      </c>
      <c r="B272" s="2" t="s">
        <v>300</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2">
      <c r="A273" s="50" t="s">
        <v>53</v>
      </c>
      <c r="B273" s="2" t="s">
        <v>301</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2">
      <c r="A274" s="50" t="s">
        <v>53</v>
      </c>
      <c r="B274" s="2" t="s">
        <v>302</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2">
      <c r="A275" s="50" t="s">
        <v>53</v>
      </c>
      <c r="B275" s="2" t="s">
        <v>303</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2">
      <c r="A276" s="50" t="s">
        <v>53</v>
      </c>
      <c r="B276" s="2" t="s">
        <v>304</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2">
      <c r="A277" s="50" t="s">
        <v>53</v>
      </c>
      <c r="B277" s="2" t="s">
        <v>305</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2">
      <c r="A278" s="50" t="s">
        <v>53</v>
      </c>
      <c r="B278" s="2" t="s">
        <v>306</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2">
      <c r="A279" s="50" t="s">
        <v>53</v>
      </c>
      <c r="B279" s="2" t="s">
        <v>307</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2">
      <c r="A280" s="50" t="s">
        <v>53</v>
      </c>
      <c r="B280" s="2" t="s">
        <v>308</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2">
      <c r="A281" s="50" t="s">
        <v>53</v>
      </c>
      <c r="B281" s="2" t="s">
        <v>309</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2">
      <c r="A282" s="50" t="s">
        <v>53</v>
      </c>
      <c r="B282" s="2" t="s">
        <v>310</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2">
      <c r="A283" s="50" t="s">
        <v>53</v>
      </c>
      <c r="B283" s="2" t="s">
        <v>311</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2">
      <c r="A284" s="50" t="s">
        <v>53</v>
      </c>
      <c r="B284" s="2" t="s">
        <v>207</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2">
      <c r="A285" s="50" t="s">
        <v>53</v>
      </c>
      <c r="B285" s="2" t="s">
        <v>312</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2">
      <c r="A286" s="50" t="s">
        <v>53</v>
      </c>
      <c r="B286" s="2" t="s">
        <v>313</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2">
      <c r="A287" s="50" t="s">
        <v>53</v>
      </c>
      <c r="B287" s="2" t="s">
        <v>314</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2">
      <c r="A288" s="50" t="s">
        <v>53</v>
      </c>
      <c r="B288" s="2" t="s">
        <v>315</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2">
      <c r="A289" s="50" t="s">
        <v>53</v>
      </c>
      <c r="B289" s="2" t="s">
        <v>316</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2">
      <c r="A290" s="50" t="s">
        <v>53</v>
      </c>
      <c r="B290" s="2" t="s">
        <v>317</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2">
      <c r="A291" s="50" t="s">
        <v>53</v>
      </c>
      <c r="B291" s="2" t="s">
        <v>318</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2">
      <c r="A292" s="50" t="s">
        <v>53</v>
      </c>
      <c r="B292" s="2" t="s">
        <v>319</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2">
      <c r="A293" s="50" t="s">
        <v>53</v>
      </c>
      <c r="B293" s="2" t="s">
        <v>320</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2">
      <c r="A294" s="50" t="s">
        <v>53</v>
      </c>
      <c r="B294" s="2" t="s">
        <v>321</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2">
      <c r="A295" s="50" t="s">
        <v>53</v>
      </c>
      <c r="B295" s="2" t="s">
        <v>322</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2">
      <c r="A296" s="50" t="s">
        <v>53</v>
      </c>
      <c r="B296" s="2" t="s">
        <v>323</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2">
      <c r="A297" s="50" t="s">
        <v>53</v>
      </c>
      <c r="B297" s="2" t="s">
        <v>324</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2">
      <c r="A298" s="50" t="s">
        <v>53</v>
      </c>
      <c r="B298" s="2" t="s">
        <v>325</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2">
      <c r="A299" s="50" t="s">
        <v>53</v>
      </c>
      <c r="B299" s="2" t="s">
        <v>326</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2">
      <c r="A300" s="50" t="s">
        <v>53</v>
      </c>
      <c r="B300" s="2" t="s">
        <v>327</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2">
      <c r="A301" s="50" t="s">
        <v>53</v>
      </c>
      <c r="B301" s="2" t="s">
        <v>328</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2">
      <c r="A302" s="50" t="s">
        <v>53</v>
      </c>
      <c r="B302" s="2" t="s">
        <v>329</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2">
      <c r="A303" s="50" t="s">
        <v>53</v>
      </c>
      <c r="B303" s="2" t="s">
        <v>330</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2">
      <c r="A304" s="50" t="s">
        <v>53</v>
      </c>
      <c r="B304" s="2" t="s">
        <v>331</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2">
      <c r="A305" s="50" t="s">
        <v>53</v>
      </c>
      <c r="B305" s="2" t="s">
        <v>332</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2">
      <c r="A306" s="50" t="s">
        <v>53</v>
      </c>
      <c r="B306" s="2" t="s">
        <v>333</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2">
      <c r="A307" s="50" t="s">
        <v>53</v>
      </c>
      <c r="B307" s="2" t="s">
        <v>334</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2">
      <c r="A308" s="50" t="s">
        <v>53</v>
      </c>
      <c r="B308" s="2" t="s">
        <v>335</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2">
      <c r="A309" s="50" t="s">
        <v>53</v>
      </c>
      <c r="B309" s="2" t="s">
        <v>336</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2">
      <c r="A310" s="50" t="s">
        <v>53</v>
      </c>
      <c r="B310" s="2" t="s">
        <v>337</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2">
      <c r="A311" s="50" t="s">
        <v>53</v>
      </c>
      <c r="B311" s="2" t="s">
        <v>338</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2">
      <c r="A312" s="50" t="s">
        <v>53</v>
      </c>
      <c r="B312" s="2" t="s">
        <v>339</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2">
      <c r="A313" s="50" t="s">
        <v>53</v>
      </c>
      <c r="B313" s="2" t="s">
        <v>340</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2">
      <c r="A314" s="50" t="s">
        <v>53</v>
      </c>
      <c r="B314" s="2" t="s">
        <v>341</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2">
      <c r="A315" s="50" t="s">
        <v>53</v>
      </c>
      <c r="B315" s="2" t="s">
        <v>342</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2">
      <c r="A316" s="50" t="s">
        <v>53</v>
      </c>
      <c r="B316" s="2" t="s">
        <v>343</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2">
      <c r="A317" s="50" t="s">
        <v>53</v>
      </c>
      <c r="B317" s="2" t="s">
        <v>344</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2">
      <c r="A318" s="50" t="s">
        <v>53</v>
      </c>
      <c r="B318" s="2" t="s">
        <v>345</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2">
      <c r="A319" s="50" t="s">
        <v>53</v>
      </c>
      <c r="B319" s="2" t="s">
        <v>346</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2">
      <c r="A320" s="50" t="s">
        <v>53</v>
      </c>
      <c r="B320" s="2" t="s">
        <v>347</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2">
      <c r="A321" s="50" t="s">
        <v>53</v>
      </c>
      <c r="B321" s="2" t="s">
        <v>348</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2">
      <c r="A322" s="50" t="s">
        <v>53</v>
      </c>
      <c r="B322" s="2" t="s">
        <v>349</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2">
      <c r="A323" s="50" t="s">
        <v>53</v>
      </c>
      <c r="B323" s="2" t="s">
        <v>350</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2">
      <c r="A324" s="50" t="s">
        <v>53</v>
      </c>
      <c r="B324" s="2" t="s">
        <v>351</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2">
      <c r="A325" s="50" t="s">
        <v>53</v>
      </c>
      <c r="B325" s="2" t="s">
        <v>352</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2">
      <c r="A326" s="50" t="s">
        <v>53</v>
      </c>
      <c r="B326" s="2" t="s">
        <v>353</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2">
      <c r="A327" s="50" t="s">
        <v>53</v>
      </c>
      <c r="B327" s="2" t="s">
        <v>354</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2">
      <c r="A328" s="50" t="s">
        <v>53</v>
      </c>
      <c r="B328" s="2" t="s">
        <v>355</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2">
      <c r="A329" s="50" t="s">
        <v>53</v>
      </c>
      <c r="B329" s="2" t="s">
        <v>356</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2">
      <c r="A330" s="50" t="s">
        <v>53</v>
      </c>
      <c r="B330" s="2" t="s">
        <v>357</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2">
      <c r="A331" s="50" t="s">
        <v>53</v>
      </c>
      <c r="B331" s="2" t="s">
        <v>358</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2">
      <c r="A332" s="50" t="s">
        <v>53</v>
      </c>
      <c r="B332" s="2" t="s">
        <v>359</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2">
      <c r="A333" s="50" t="s">
        <v>53</v>
      </c>
      <c r="B333" s="2" t="s">
        <v>360</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2">
      <c r="A334" s="50" t="s">
        <v>53</v>
      </c>
      <c r="B334" s="2" t="s">
        <v>361</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2">
      <c r="A335" s="50" t="s">
        <v>53</v>
      </c>
      <c r="B335" s="2" t="s">
        <v>362</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2">
      <c r="A336" s="50" t="s">
        <v>53</v>
      </c>
      <c r="B336" s="2" t="s">
        <v>363</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2">
      <c r="A337" s="50" t="s">
        <v>53</v>
      </c>
      <c r="B337" s="2" t="s">
        <v>364</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2">
      <c r="A338" s="50" t="s">
        <v>53</v>
      </c>
      <c r="B338" s="2" t="s">
        <v>365</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2">
      <c r="A339" s="50" t="s">
        <v>53</v>
      </c>
      <c r="B339" s="2" t="s">
        <v>366</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2">
      <c r="A340" s="50" t="s">
        <v>53</v>
      </c>
      <c r="B340" s="2" t="s">
        <v>367</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2">
      <c r="A341" s="50" t="s">
        <v>53</v>
      </c>
      <c r="B341" s="2" t="s">
        <v>368</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2">
      <c r="A342" s="50" t="s">
        <v>53</v>
      </c>
      <c r="B342" s="2" t="s">
        <v>369</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2">
      <c r="A343" s="50" t="s">
        <v>53</v>
      </c>
      <c r="B343" s="2" t="s">
        <v>370</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2">
      <c r="A344" s="50" t="s">
        <v>53</v>
      </c>
      <c r="B344" s="2" t="s">
        <v>371</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2">
      <c r="A345" s="50" t="s">
        <v>53</v>
      </c>
      <c r="B345" s="2" t="s">
        <v>372</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2">
      <c r="A346" s="50" t="s">
        <v>53</v>
      </c>
      <c r="B346" s="2" t="s">
        <v>373</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2">
      <c r="A347" s="50" t="s">
        <v>53</v>
      </c>
      <c r="B347" s="2" t="s">
        <v>374</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2">
      <c r="A348" s="50" t="s">
        <v>53</v>
      </c>
      <c r="B348" s="2" t="s">
        <v>375</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2">
      <c r="A349" s="50" t="s">
        <v>53</v>
      </c>
      <c r="B349" s="2" t="s">
        <v>376</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2">
      <c r="A350" s="50" t="s">
        <v>53</v>
      </c>
      <c r="B350" s="2" t="s">
        <v>377</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2">
      <c r="A351" s="50" t="s">
        <v>53</v>
      </c>
      <c r="B351" s="2" t="s">
        <v>378</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2">
      <c r="A352" s="50" t="s">
        <v>53</v>
      </c>
      <c r="B352" s="2" t="s">
        <v>379</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2">
      <c r="A353" s="50" t="s">
        <v>53</v>
      </c>
      <c r="B353" s="2" t="s">
        <v>380</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2">
      <c r="A354" s="50" t="s">
        <v>53</v>
      </c>
      <c r="B354" s="2" t="s">
        <v>381</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2">
      <c r="A355" s="50" t="s">
        <v>53</v>
      </c>
      <c r="B355" s="2" t="s">
        <v>382</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2">
      <c r="A356" s="50" t="s">
        <v>53</v>
      </c>
      <c r="B356" s="2" t="s">
        <v>383</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2">
      <c r="A357" s="50" t="s">
        <v>53</v>
      </c>
      <c r="B357" s="2" t="s">
        <v>384</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2">
      <c r="A358" s="50" t="s">
        <v>53</v>
      </c>
      <c r="B358" s="2" t="s">
        <v>385</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2">
      <c r="A359" s="50" t="s">
        <v>53</v>
      </c>
      <c r="B359" s="2" t="s">
        <v>386</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2">
      <c r="A360" s="50" t="s">
        <v>53</v>
      </c>
      <c r="B360" s="2" t="s">
        <v>387</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2">
      <c r="A361" s="50" t="s">
        <v>53</v>
      </c>
      <c r="B361" s="2" t="s">
        <v>388</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2">
      <c r="A362" s="50" t="s">
        <v>53</v>
      </c>
      <c r="B362" s="2" t="s">
        <v>389</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2">
      <c r="A363" s="50" t="s">
        <v>53</v>
      </c>
      <c r="B363" s="2" t="s">
        <v>390</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2">
      <c r="A364" s="50" t="s">
        <v>53</v>
      </c>
      <c r="B364" s="2" t="s">
        <v>391</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2">
      <c r="A365" s="50" t="s">
        <v>53</v>
      </c>
      <c r="B365" s="2" t="s">
        <v>392</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2">
      <c r="A366" s="50" t="s">
        <v>53</v>
      </c>
      <c r="B366" s="2" t="s">
        <v>393</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2">
      <c r="A367" s="50" t="s">
        <v>53</v>
      </c>
      <c r="B367" s="2" t="s">
        <v>394</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2">
      <c r="A368" s="50" t="s">
        <v>53</v>
      </c>
      <c r="B368" s="2" t="s">
        <v>395</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2">
      <c r="A369" s="50" t="s">
        <v>53</v>
      </c>
      <c r="B369" s="2" t="s">
        <v>396</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2">
      <c r="A370" s="50" t="s">
        <v>53</v>
      </c>
      <c r="B370" s="2" t="s">
        <v>397</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2">
      <c r="A371" s="50" t="s">
        <v>53</v>
      </c>
      <c r="B371" s="2" t="s">
        <v>398</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2">
      <c r="A372" s="50" t="s">
        <v>53</v>
      </c>
      <c r="B372" s="2" t="s">
        <v>399</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2">
      <c r="A373" s="50" t="s">
        <v>53</v>
      </c>
      <c r="B373" s="2" t="s">
        <v>400</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2">
      <c r="A374" s="50" t="s">
        <v>53</v>
      </c>
      <c r="B374" s="2" t="s">
        <v>401</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2">
      <c r="A375" s="50" t="s">
        <v>53</v>
      </c>
      <c r="B375" s="2" t="s">
        <v>402</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2">
      <c r="A376" s="50" t="s">
        <v>53</v>
      </c>
      <c r="B376" s="2" t="s">
        <v>403</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2">
      <c r="A377" s="50" t="s">
        <v>53</v>
      </c>
      <c r="B377" s="2" t="s">
        <v>404</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2">
      <c r="A378" s="50" t="s">
        <v>53</v>
      </c>
      <c r="B378" s="2" t="s">
        <v>405</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2">
      <c r="A379" s="50" t="s">
        <v>53</v>
      </c>
      <c r="B379" s="2" t="s">
        <v>406</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2">
      <c r="A380" s="50" t="s">
        <v>53</v>
      </c>
      <c r="B380" s="2" t="s">
        <v>407</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2">
      <c r="A381" s="50" t="s">
        <v>53</v>
      </c>
      <c r="B381" s="2" t="s">
        <v>408</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2">
      <c r="A382" s="50" t="s">
        <v>53</v>
      </c>
      <c r="B382" s="2" t="s">
        <v>409</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2">
      <c r="A383" s="50" t="s">
        <v>53</v>
      </c>
      <c r="B383" s="2" t="s">
        <v>410</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2">
      <c r="A384" s="50" t="s">
        <v>53</v>
      </c>
      <c r="B384" s="2" t="s">
        <v>411</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2">
      <c r="A385" s="50" t="s">
        <v>53</v>
      </c>
      <c r="B385" s="2" t="s">
        <v>412</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2">
      <c r="A386" s="50" t="s">
        <v>53</v>
      </c>
      <c r="B386" s="2" t="s">
        <v>413</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2">
      <c r="A387" s="50" t="s">
        <v>53</v>
      </c>
      <c r="B387" s="2" t="s">
        <v>414</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2">
      <c r="A388" s="50" t="s">
        <v>53</v>
      </c>
      <c r="B388" s="2" t="s">
        <v>415</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2">
      <c r="A389" s="50" t="s">
        <v>53</v>
      </c>
      <c r="B389" s="2" t="s">
        <v>416</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2">
      <c r="A390" s="50" t="s">
        <v>53</v>
      </c>
      <c r="B390" s="2" t="s">
        <v>417</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2">
      <c r="A391" s="50" t="s">
        <v>53</v>
      </c>
      <c r="B391" s="2" t="s">
        <v>418</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2">
      <c r="A392" s="50" t="s">
        <v>53</v>
      </c>
      <c r="B392" s="2" t="s">
        <v>419</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2">
      <c r="A393" s="50" t="s">
        <v>53</v>
      </c>
      <c r="B393" s="2" t="s">
        <v>420</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2">
      <c r="A394" s="50" t="s">
        <v>53</v>
      </c>
      <c r="B394" s="2" t="s">
        <v>421</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2">
      <c r="A395" s="50" t="s">
        <v>53</v>
      </c>
      <c r="B395" s="2" t="s">
        <v>422</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2">
      <c r="A396" s="50" t="s">
        <v>53</v>
      </c>
      <c r="B396" s="2" t="s">
        <v>423</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2">
      <c r="A397" s="50" t="s">
        <v>53</v>
      </c>
      <c r="B397" s="2" t="s">
        <v>424</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2">
      <c r="A398" s="50" t="s">
        <v>53</v>
      </c>
      <c r="B398" s="2" t="s">
        <v>425</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2">
      <c r="A399" s="50" t="s">
        <v>53</v>
      </c>
      <c r="B399" s="2" t="s">
        <v>426</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2">
      <c r="A400" s="50" t="s">
        <v>53</v>
      </c>
      <c r="B400" s="2" t="s">
        <v>427</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2">
      <c r="A401" s="50" t="s">
        <v>53</v>
      </c>
      <c r="B401" s="2" t="s">
        <v>428</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2">
      <c r="A402" s="50" t="s">
        <v>53</v>
      </c>
      <c r="B402" s="2" t="s">
        <v>429</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2">
      <c r="A403" s="50" t="s">
        <v>53</v>
      </c>
      <c r="B403" s="2" t="s">
        <v>430</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2">
      <c r="A404" s="50" t="s">
        <v>53</v>
      </c>
      <c r="B404" s="2" t="s">
        <v>431</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2">
      <c r="A405" s="50" t="s">
        <v>53</v>
      </c>
      <c r="B405" s="2" t="s">
        <v>432</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2">
      <c r="A406" s="50" t="s">
        <v>53</v>
      </c>
      <c r="B406" s="2" t="s">
        <v>433</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2">
      <c r="A407" s="50" t="s">
        <v>53</v>
      </c>
      <c r="B407" s="2" t="s">
        <v>434</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2">
      <c r="A408" s="50" t="s">
        <v>53</v>
      </c>
      <c r="B408" s="2" t="s">
        <v>435</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2">
      <c r="A409" s="50" t="s">
        <v>53</v>
      </c>
      <c r="B409" s="2" t="s">
        <v>436</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2">
      <c r="A410" s="50" t="s">
        <v>53</v>
      </c>
      <c r="B410" s="2" t="s">
        <v>437</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2">
      <c r="A411" s="50" t="s">
        <v>53</v>
      </c>
      <c r="B411" s="2" t="s">
        <v>438</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2">
      <c r="A412" s="50" t="s">
        <v>53</v>
      </c>
      <c r="B412" s="2" t="s">
        <v>439</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2">
      <c r="A413" s="50" t="s">
        <v>53</v>
      </c>
      <c r="B413" s="2" t="s">
        <v>440</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2">
      <c r="A414" s="50" t="s">
        <v>53</v>
      </c>
      <c r="B414" s="2" t="s">
        <v>441</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2">
      <c r="A415" s="50" t="s">
        <v>53</v>
      </c>
      <c r="B415" s="2" t="s">
        <v>442</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2">
      <c r="A416" s="50" t="s">
        <v>53</v>
      </c>
      <c r="B416" s="2" t="s">
        <v>443</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2">
      <c r="A417" s="50" t="s">
        <v>53</v>
      </c>
      <c r="B417" s="2" t="s">
        <v>444</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2">
      <c r="A418" s="50" t="s">
        <v>53</v>
      </c>
      <c r="B418" s="2" t="s">
        <v>445</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2">
      <c r="A419" s="50" t="s">
        <v>53</v>
      </c>
      <c r="B419" s="2" t="s">
        <v>446</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2">
      <c r="A420" s="50" t="s">
        <v>53</v>
      </c>
      <c r="B420" s="2" t="s">
        <v>447</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2">
      <c r="A421" s="50" t="s">
        <v>53</v>
      </c>
      <c r="B421" s="2" t="s">
        <v>448</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2">
      <c r="A422" s="50" t="s">
        <v>53</v>
      </c>
      <c r="B422" s="2" t="s">
        <v>449</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2">
      <c r="A423" s="50" t="s">
        <v>53</v>
      </c>
      <c r="B423" s="2" t="s">
        <v>450</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2">
      <c r="A424" s="50" t="s">
        <v>53</v>
      </c>
      <c r="B424" s="2" t="s">
        <v>451</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2">
      <c r="A425" s="50" t="s">
        <v>53</v>
      </c>
      <c r="B425" s="2" t="s">
        <v>452</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2">
      <c r="A426" s="50" t="s">
        <v>53</v>
      </c>
      <c r="B426" s="2" t="s">
        <v>453</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2">
      <c r="A427" s="50" t="s">
        <v>53</v>
      </c>
      <c r="B427" s="2" t="s">
        <v>454</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2">
      <c r="A428" s="50" t="s">
        <v>53</v>
      </c>
      <c r="B428" s="2" t="s">
        <v>455</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2">
      <c r="A429" s="50" t="s">
        <v>53</v>
      </c>
      <c r="B429" s="2" t="s">
        <v>456</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2">
      <c r="A430" s="50" t="s">
        <v>53</v>
      </c>
      <c r="B430" s="2" t="s">
        <v>457</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2">
      <c r="A431" s="50" t="s">
        <v>53</v>
      </c>
      <c r="B431" s="2" t="s">
        <v>458</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2">
      <c r="A432" s="50" t="s">
        <v>53</v>
      </c>
      <c r="B432" s="2" t="s">
        <v>459</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2">
      <c r="A433" s="50" t="s">
        <v>53</v>
      </c>
      <c r="B433" s="2" t="s">
        <v>460</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2">
      <c r="A434" s="50" t="s">
        <v>53</v>
      </c>
      <c r="B434" s="2" t="s">
        <v>461</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2">
      <c r="A435" s="50" t="s">
        <v>53</v>
      </c>
      <c r="B435" s="2" t="s">
        <v>462</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2">
      <c r="A436" s="50" t="s">
        <v>53</v>
      </c>
      <c r="B436" s="2" t="s">
        <v>463</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2">
      <c r="A437" s="50" t="s">
        <v>53</v>
      </c>
      <c r="B437" s="2" t="s">
        <v>464</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2">
      <c r="A438" s="50" t="s">
        <v>53</v>
      </c>
      <c r="B438" s="2" t="s">
        <v>465</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2">
      <c r="A439" s="50" t="s">
        <v>53</v>
      </c>
      <c r="B439" s="2" t="s">
        <v>466</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2">
      <c r="A440" s="50" t="s">
        <v>53</v>
      </c>
      <c r="B440" s="2" t="s">
        <v>467</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2">
      <c r="A441" s="50" t="s">
        <v>53</v>
      </c>
      <c r="B441" s="2" t="s">
        <v>468</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2">
      <c r="A442" s="50" t="s">
        <v>53</v>
      </c>
      <c r="B442" s="2" t="s">
        <v>469</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2">
      <c r="A443" s="50" t="s">
        <v>53</v>
      </c>
      <c r="B443" s="2" t="s">
        <v>470</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2">
      <c r="A444" s="50" t="s">
        <v>53</v>
      </c>
      <c r="B444" s="2" t="s">
        <v>471</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2">
      <c r="A445" s="50" t="s">
        <v>53</v>
      </c>
      <c r="B445" s="2" t="s">
        <v>472</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2">
      <c r="A446" s="50" t="s">
        <v>53</v>
      </c>
      <c r="B446" s="2" t="s">
        <v>473</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2">
      <c r="A447" s="50" t="s">
        <v>53</v>
      </c>
      <c r="B447" s="2" t="s">
        <v>474</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2">
      <c r="A448" s="50" t="s">
        <v>53</v>
      </c>
      <c r="B448" s="2" t="s">
        <v>475</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2">
      <c r="A449" s="50" t="s">
        <v>53</v>
      </c>
      <c r="B449" s="2" t="s">
        <v>476</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2">
      <c r="A450" s="50" t="s">
        <v>53</v>
      </c>
      <c r="B450" s="2" t="s">
        <v>477</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2">
      <c r="A451" s="50" t="s">
        <v>53</v>
      </c>
      <c r="B451" s="2" t="s">
        <v>478</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2">
      <c r="A452" s="50" t="s">
        <v>53</v>
      </c>
      <c r="B452" s="2" t="s">
        <v>479</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2">
      <c r="A453" s="50" t="s">
        <v>53</v>
      </c>
      <c r="B453" s="2" t="s">
        <v>480</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2">
      <c r="A454" s="50" t="s">
        <v>53</v>
      </c>
      <c r="B454" s="2" t="s">
        <v>481</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2">
      <c r="A455" s="50" t="s">
        <v>53</v>
      </c>
      <c r="B455" s="2" t="s">
        <v>482</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2">
      <c r="A456" s="50" t="s">
        <v>53</v>
      </c>
      <c r="B456" s="2" t="s">
        <v>483</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2">
      <c r="A457" s="50" t="s">
        <v>53</v>
      </c>
      <c r="B457" s="2" t="s">
        <v>484</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2">
      <c r="A458" s="50" t="s">
        <v>53</v>
      </c>
      <c r="B458" s="2" t="s">
        <v>485</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2">
      <c r="A459" s="50" t="s">
        <v>53</v>
      </c>
      <c r="B459" s="2" t="s">
        <v>486</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2">
      <c r="A460" s="50" t="s">
        <v>53</v>
      </c>
      <c r="B460" s="2" t="s">
        <v>487</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2">
      <c r="A461" s="50" t="s">
        <v>53</v>
      </c>
      <c r="B461" s="2" t="s">
        <v>488</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2">
      <c r="A462" s="50" t="s">
        <v>53</v>
      </c>
      <c r="B462" s="2" t="s">
        <v>489</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2">
      <c r="A463" s="50" t="s">
        <v>53</v>
      </c>
      <c r="B463" s="2" t="s">
        <v>490</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2">
      <c r="A464" s="50" t="s">
        <v>53</v>
      </c>
      <c r="B464" s="2" t="s">
        <v>491</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2">
      <c r="A465" s="50" t="s">
        <v>53</v>
      </c>
      <c r="B465" s="2" t="s">
        <v>492</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2">
      <c r="A466" s="50" t="s">
        <v>53</v>
      </c>
      <c r="B466" s="2" t="s">
        <v>493</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2">
      <c r="A467" s="50" t="s">
        <v>53</v>
      </c>
      <c r="B467" s="2" t="s">
        <v>494</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2">
      <c r="A468" s="50" t="s">
        <v>53</v>
      </c>
      <c r="B468" s="2" t="s">
        <v>495</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2">
      <c r="A469" s="50" t="s">
        <v>53</v>
      </c>
      <c r="B469" s="2" t="s">
        <v>496</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2">
      <c r="A470" s="50" t="s">
        <v>53</v>
      </c>
      <c r="B470" s="2" t="s">
        <v>497</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2">
      <c r="A471" s="50" t="s">
        <v>53</v>
      </c>
      <c r="B471" s="2" t="s">
        <v>498</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2">
      <c r="A472" s="50" t="s">
        <v>53</v>
      </c>
      <c r="B472" s="2" t="s">
        <v>499</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2">
      <c r="A473" s="50" t="s">
        <v>53</v>
      </c>
      <c r="B473" s="2" t="s">
        <v>500</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2">
      <c r="A474" s="50" t="s">
        <v>53</v>
      </c>
      <c r="B474" s="2" t="s">
        <v>501</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2">
      <c r="A475" s="50" t="s">
        <v>53</v>
      </c>
      <c r="B475" s="2" t="s">
        <v>502</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2">
      <c r="A476" s="50" t="s">
        <v>53</v>
      </c>
      <c r="B476" s="2" t="s">
        <v>503</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2">
      <c r="A477" s="50" t="s">
        <v>53</v>
      </c>
      <c r="B477" s="2" t="s">
        <v>504</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2">
      <c r="A478" s="50" t="s">
        <v>53</v>
      </c>
      <c r="B478" s="2" t="s">
        <v>505</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2">
      <c r="A479" s="50" t="s">
        <v>53</v>
      </c>
      <c r="B479" s="2" t="s">
        <v>506</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2">
      <c r="A480" s="50" t="s">
        <v>53</v>
      </c>
      <c r="B480" s="2" t="s">
        <v>507</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2">
      <c r="A481" s="50" t="s">
        <v>53</v>
      </c>
      <c r="B481" s="2" t="s">
        <v>508</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2">
      <c r="A482" s="50" t="s">
        <v>53</v>
      </c>
      <c r="B482" s="2" t="s">
        <v>509</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2">
      <c r="A483" s="50" t="s">
        <v>53</v>
      </c>
      <c r="B483" s="2" t="s">
        <v>510</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2">
      <c r="A484" s="50" t="s">
        <v>53</v>
      </c>
      <c r="B484" s="2" t="s">
        <v>511</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2">
      <c r="A485" s="50" t="s">
        <v>53</v>
      </c>
      <c r="B485" s="2" t="s">
        <v>512</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2">
      <c r="A486" s="50" t="s">
        <v>53</v>
      </c>
      <c r="B486" s="2" t="s">
        <v>513</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2">
      <c r="A487" s="50" t="s">
        <v>53</v>
      </c>
      <c r="B487" s="2" t="s">
        <v>514</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2">
      <c r="A488" s="50" t="s">
        <v>53</v>
      </c>
      <c r="B488" s="2" t="s">
        <v>515</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2">
      <c r="A489" s="50" t="s">
        <v>53</v>
      </c>
      <c r="B489" s="2" t="s">
        <v>516</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2">
      <c r="A490" s="50" t="s">
        <v>53</v>
      </c>
      <c r="B490" s="2" t="s">
        <v>517</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2">
      <c r="A491" s="50" t="s">
        <v>53</v>
      </c>
      <c r="B491" s="2" t="s">
        <v>518</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2">
      <c r="A492" s="50" t="s">
        <v>53</v>
      </c>
      <c r="B492" s="2" t="s">
        <v>519</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2">
      <c r="A493" s="50" t="s">
        <v>53</v>
      </c>
      <c r="B493" s="2" t="s">
        <v>520</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2">
      <c r="A494" s="50" t="s">
        <v>53</v>
      </c>
      <c r="B494" s="2" t="s">
        <v>521</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2">
      <c r="A495" s="50" t="s">
        <v>53</v>
      </c>
      <c r="B495" s="2" t="s">
        <v>522</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2">
      <c r="A496" s="50" t="s">
        <v>53</v>
      </c>
      <c r="B496" s="2" t="s">
        <v>523</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2">
      <c r="A497" s="50" t="s">
        <v>53</v>
      </c>
      <c r="B497" s="2" t="s">
        <v>524</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2">
      <c r="A498" s="50" t="s">
        <v>53</v>
      </c>
      <c r="B498" s="2" t="s">
        <v>525</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2">
      <c r="A499" s="50" t="s">
        <v>53</v>
      </c>
      <c r="B499" s="2" t="s">
        <v>526</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2">
      <c r="A500" s="50" t="s">
        <v>53</v>
      </c>
      <c r="B500" s="2" t="s">
        <v>527</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2">
      <c r="A501" s="50" t="s">
        <v>53</v>
      </c>
      <c r="B501" s="2" t="s">
        <v>528</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2">
      <c r="A502" s="50" t="s">
        <v>53</v>
      </c>
      <c r="B502" s="2" t="s">
        <v>529</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2">
      <c r="A503" s="50" t="s">
        <v>53</v>
      </c>
      <c r="B503" s="2" t="s">
        <v>530</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2">
      <c r="A504" s="50" t="s">
        <v>53</v>
      </c>
      <c r="B504" s="2" t="s">
        <v>531</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2">
      <c r="A505" s="50" t="s">
        <v>53</v>
      </c>
      <c r="B505" s="2" t="s">
        <v>532</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2">
      <c r="A506" s="50" t="s">
        <v>53</v>
      </c>
      <c r="B506" s="2" t="s">
        <v>533</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2">
      <c r="A507" s="50" t="s">
        <v>53</v>
      </c>
      <c r="B507" s="2" t="s">
        <v>534</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2">
      <c r="A508" s="50" t="s">
        <v>53</v>
      </c>
      <c r="B508" s="2" t="s">
        <v>535</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2">
      <c r="A509" s="50" t="s">
        <v>53</v>
      </c>
      <c r="B509" s="2" t="s">
        <v>536</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2">
      <c r="A510" s="50" t="s">
        <v>53</v>
      </c>
      <c r="B510" s="2" t="s">
        <v>537</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2">
      <c r="A511" s="50" t="s">
        <v>53</v>
      </c>
      <c r="B511" s="2" t="s">
        <v>538</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2">
      <c r="A512" s="50" t="s">
        <v>53</v>
      </c>
      <c r="B512" s="2" t="s">
        <v>539</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2">
      <c r="A513" s="50" t="s">
        <v>53</v>
      </c>
      <c r="B513" s="2" t="s">
        <v>540</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2">
      <c r="A514" s="50" t="s">
        <v>53</v>
      </c>
      <c r="B514" s="2" t="s">
        <v>541</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2">
      <c r="A515" s="50" t="s">
        <v>53</v>
      </c>
      <c r="B515" s="2" t="s">
        <v>542</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2">
      <c r="A516" s="50" t="s">
        <v>53</v>
      </c>
      <c r="B516" s="2" t="s">
        <v>543</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2">
      <c r="A517" s="50" t="s">
        <v>53</v>
      </c>
      <c r="B517" s="2" t="s">
        <v>544</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2">
      <c r="A518" s="50" t="s">
        <v>53</v>
      </c>
      <c r="B518" s="2" t="s">
        <v>545</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2">
      <c r="A519" s="50" t="s">
        <v>53</v>
      </c>
      <c r="B519" s="2" t="s">
        <v>546</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2">
      <c r="A520" s="50" t="s">
        <v>53</v>
      </c>
      <c r="B520" s="2" t="s">
        <v>547</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2">
      <c r="A521" s="50" t="s">
        <v>53</v>
      </c>
      <c r="B521" s="2" t="s">
        <v>548</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55" customFormat="1" ht="15" x14ac:dyDescent="0.25">
      <c r="A522" s="151"/>
      <c r="B522" s="161"/>
      <c r="C522" s="151"/>
      <c r="D522" s="154">
        <f t="shared" ref="D522:L522" si="181">SUM(D208:D521)</f>
        <v>21779298</v>
      </c>
      <c r="E522" s="154">
        <f t="shared" si="181"/>
        <v>22677552</v>
      </c>
      <c r="F522" s="154">
        <f t="shared" si="181"/>
        <v>56550138</v>
      </c>
      <c r="G522" s="154">
        <f t="shared" si="181"/>
        <v>27982818</v>
      </c>
      <c r="H522" s="154">
        <f t="shared" si="181"/>
        <v>28567320</v>
      </c>
      <c r="I522" s="154">
        <f t="shared" si="181"/>
        <v>21779298</v>
      </c>
      <c r="J522" s="154">
        <f t="shared" si="181"/>
        <v>22677552</v>
      </c>
      <c r="K522" s="154">
        <f t="shared" si="181"/>
        <v>6203520</v>
      </c>
      <c r="L522" s="154">
        <f t="shared" si="181"/>
        <v>5889768</v>
      </c>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c r="FR522" s="154"/>
      <c r="FS522" s="154"/>
      <c r="FT522" s="154"/>
      <c r="FU522" s="154"/>
      <c r="FV522" s="154"/>
      <c r="FW522" s="154"/>
      <c r="FX522" s="154"/>
      <c r="FY522" s="154"/>
      <c r="FZ522" s="154"/>
      <c r="GA522" s="154"/>
      <c r="GB522" s="154"/>
      <c r="GC522" s="154"/>
      <c r="GD522" s="154"/>
      <c r="GE522" s="154"/>
      <c r="GF522" s="154"/>
      <c r="GG522" s="154"/>
      <c r="GH522" s="154"/>
      <c r="GI522" s="154"/>
      <c r="GJ522" s="154"/>
      <c r="GK522" s="154"/>
      <c r="GL522" s="153"/>
    </row>
    <row r="523" spans="1:194" s="2" customFormat="1" ht="15" x14ac:dyDescent="0.2">
      <c r="A523" s="50" t="s">
        <v>549</v>
      </c>
      <c r="B523" s="2" t="s">
        <v>550</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61">
        <v>375</v>
      </c>
      <c r="N523" s="261">
        <v>392</v>
      </c>
      <c r="O523" s="261">
        <v>399</v>
      </c>
      <c r="P523" s="261">
        <v>337</v>
      </c>
      <c r="Q523" s="261">
        <v>373</v>
      </c>
      <c r="R523" s="261">
        <v>388</v>
      </c>
      <c r="S523" s="261">
        <v>395</v>
      </c>
      <c r="T523" s="261">
        <v>406</v>
      </c>
      <c r="U523" s="261">
        <v>390</v>
      </c>
      <c r="V523" s="261">
        <v>440</v>
      </c>
      <c r="W523" s="261">
        <v>432</v>
      </c>
      <c r="X523" s="261">
        <v>444</v>
      </c>
      <c r="Y523" s="261">
        <v>403</v>
      </c>
      <c r="Z523" s="261">
        <v>352</v>
      </c>
      <c r="AA523" s="261">
        <v>380</v>
      </c>
      <c r="AB523" s="261">
        <v>376</v>
      </c>
      <c r="AC523" s="261">
        <v>356</v>
      </c>
      <c r="AD523" s="261">
        <v>355</v>
      </c>
      <c r="AE523" s="261">
        <v>303</v>
      </c>
      <c r="AF523" s="261">
        <v>350</v>
      </c>
      <c r="AG523" s="261">
        <v>418</v>
      </c>
      <c r="AH523" s="261">
        <v>410</v>
      </c>
      <c r="AI523" s="261">
        <v>390</v>
      </c>
      <c r="AJ523" s="261">
        <v>405</v>
      </c>
      <c r="AK523" s="261">
        <v>398</v>
      </c>
      <c r="AL523" s="261">
        <v>426</v>
      </c>
      <c r="AM523" s="261">
        <v>444</v>
      </c>
      <c r="AN523" s="261">
        <v>508</v>
      </c>
      <c r="AO523" s="261">
        <v>451</v>
      </c>
      <c r="AP523" s="261">
        <v>511</v>
      </c>
      <c r="AQ523" s="261">
        <v>475</v>
      </c>
      <c r="AR523" s="261">
        <v>547</v>
      </c>
      <c r="AS523" s="261">
        <v>426</v>
      </c>
      <c r="AT523" s="261">
        <v>441</v>
      </c>
      <c r="AU523" s="261">
        <v>456</v>
      </c>
      <c r="AV523" s="261">
        <v>464</v>
      </c>
      <c r="AW523" s="261">
        <v>405</v>
      </c>
      <c r="AX523" s="261">
        <v>408</v>
      </c>
      <c r="AY523" s="261">
        <v>407</v>
      </c>
      <c r="AZ523" s="261">
        <v>393</v>
      </c>
      <c r="BA523" s="261">
        <v>448</v>
      </c>
      <c r="BB523" s="261">
        <v>392</v>
      </c>
      <c r="BC523" s="261">
        <v>377</v>
      </c>
      <c r="BD523" s="261">
        <v>348</v>
      </c>
      <c r="BE523" s="261">
        <v>341</v>
      </c>
      <c r="BF523" s="261">
        <v>403</v>
      </c>
      <c r="BG523" s="261">
        <v>408</v>
      </c>
      <c r="BH523" s="261">
        <v>437</v>
      </c>
      <c r="BI523" s="261">
        <v>477</v>
      </c>
      <c r="BJ523" s="261">
        <v>482</v>
      </c>
      <c r="BK523" s="261">
        <v>514</v>
      </c>
      <c r="BL523" s="261">
        <v>530</v>
      </c>
      <c r="BM523" s="261">
        <v>517</v>
      </c>
      <c r="BN523" s="261">
        <v>529</v>
      </c>
      <c r="BO523" s="261">
        <v>520</v>
      </c>
      <c r="BP523" s="261">
        <v>527</v>
      </c>
      <c r="BQ523" s="261">
        <v>533</v>
      </c>
      <c r="BR523" s="261">
        <v>523</v>
      </c>
      <c r="BS523" s="261">
        <v>515</v>
      </c>
      <c r="BT523" s="261">
        <v>437</v>
      </c>
      <c r="BU523" s="261">
        <v>441</v>
      </c>
      <c r="BV523" s="261">
        <v>456</v>
      </c>
      <c r="BW523" s="261">
        <v>398</v>
      </c>
      <c r="BX523" s="261">
        <v>466</v>
      </c>
      <c r="BY523" s="261">
        <v>405</v>
      </c>
      <c r="BZ523" s="261">
        <v>371</v>
      </c>
      <c r="CA523" s="261">
        <v>399</v>
      </c>
      <c r="CB523" s="261">
        <v>387</v>
      </c>
      <c r="CC523" s="261">
        <v>377</v>
      </c>
      <c r="CD523" s="261">
        <v>380</v>
      </c>
      <c r="CE523" s="261">
        <v>390</v>
      </c>
      <c r="CF523" s="261">
        <v>411</v>
      </c>
      <c r="CG523" s="261">
        <v>386</v>
      </c>
      <c r="CH523" s="261">
        <v>451</v>
      </c>
      <c r="CI523" s="261">
        <v>324</v>
      </c>
      <c r="CJ523" s="261">
        <v>321</v>
      </c>
      <c r="CK523" s="261">
        <v>293</v>
      </c>
      <c r="CL523" s="261">
        <v>284</v>
      </c>
      <c r="CM523" s="261">
        <v>244</v>
      </c>
      <c r="CN523" s="261">
        <v>202</v>
      </c>
      <c r="CO523" s="261">
        <v>198</v>
      </c>
      <c r="CP523" s="261">
        <v>207</v>
      </c>
      <c r="CQ523" s="261">
        <v>180</v>
      </c>
      <c r="CR523" s="261">
        <v>146</v>
      </c>
      <c r="CS523" s="261">
        <v>150</v>
      </c>
      <c r="CT523" s="261">
        <v>125</v>
      </c>
      <c r="CU523" s="261">
        <v>75</v>
      </c>
      <c r="CV523" s="261">
        <v>101</v>
      </c>
      <c r="CW523" s="261">
        <v>77</v>
      </c>
      <c r="CX523" s="261">
        <v>50</v>
      </c>
      <c r="CY523" s="261">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 x14ac:dyDescent="0.2">
      <c r="A524" s="50" t="s">
        <v>49</v>
      </c>
      <c r="B524" s="2" t="s">
        <v>551</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61">
        <v>706</v>
      </c>
      <c r="N524" s="261">
        <v>755</v>
      </c>
      <c r="O524" s="261">
        <v>813</v>
      </c>
      <c r="P524" s="261">
        <v>831</v>
      </c>
      <c r="Q524" s="261">
        <v>818</v>
      </c>
      <c r="R524" s="261">
        <v>848</v>
      </c>
      <c r="S524" s="261">
        <v>897</v>
      </c>
      <c r="T524" s="261">
        <v>878</v>
      </c>
      <c r="U524" s="261">
        <v>904</v>
      </c>
      <c r="V524" s="261">
        <v>977</v>
      </c>
      <c r="W524" s="261">
        <v>844</v>
      </c>
      <c r="X524" s="261">
        <v>896</v>
      </c>
      <c r="Y524" s="261">
        <v>860</v>
      </c>
      <c r="Z524" s="261">
        <v>855</v>
      </c>
      <c r="AA524" s="261">
        <v>861</v>
      </c>
      <c r="AB524" s="261">
        <v>863</v>
      </c>
      <c r="AC524" s="261">
        <v>782</v>
      </c>
      <c r="AD524" s="261">
        <v>801</v>
      </c>
      <c r="AE524" s="261">
        <v>805</v>
      </c>
      <c r="AF524" s="261">
        <v>781</v>
      </c>
      <c r="AG524" s="261">
        <v>805</v>
      </c>
      <c r="AH524" s="261">
        <v>809</v>
      </c>
      <c r="AI524" s="261">
        <v>867</v>
      </c>
      <c r="AJ524" s="261">
        <v>966</v>
      </c>
      <c r="AK524" s="261">
        <v>977</v>
      </c>
      <c r="AL524" s="261">
        <v>878</v>
      </c>
      <c r="AM524" s="261">
        <v>986</v>
      </c>
      <c r="AN524" s="261">
        <v>873</v>
      </c>
      <c r="AO524" s="261">
        <v>962</v>
      </c>
      <c r="AP524" s="261">
        <v>998</v>
      </c>
      <c r="AQ524" s="261">
        <v>866</v>
      </c>
      <c r="AR524" s="261">
        <v>978</v>
      </c>
      <c r="AS524" s="261">
        <v>1002</v>
      </c>
      <c r="AT524" s="261">
        <v>936</v>
      </c>
      <c r="AU524" s="261">
        <v>930</v>
      </c>
      <c r="AV524" s="261">
        <v>989</v>
      </c>
      <c r="AW524" s="261">
        <v>938</v>
      </c>
      <c r="AX524" s="261">
        <v>922</v>
      </c>
      <c r="AY524" s="261">
        <v>925</v>
      </c>
      <c r="AZ524" s="261">
        <v>964</v>
      </c>
      <c r="BA524" s="261">
        <v>1069</v>
      </c>
      <c r="BB524" s="261">
        <v>970</v>
      </c>
      <c r="BC524" s="261">
        <v>789</v>
      </c>
      <c r="BD524" s="261">
        <v>801</v>
      </c>
      <c r="BE524" s="261">
        <v>838</v>
      </c>
      <c r="BF524" s="261">
        <v>848</v>
      </c>
      <c r="BG524" s="261">
        <v>925</v>
      </c>
      <c r="BH524" s="261">
        <v>944</v>
      </c>
      <c r="BI524" s="261">
        <v>1055</v>
      </c>
      <c r="BJ524" s="261">
        <v>1063</v>
      </c>
      <c r="BK524" s="261">
        <v>994</v>
      </c>
      <c r="BL524" s="261">
        <v>971</v>
      </c>
      <c r="BM524" s="261">
        <v>1079</v>
      </c>
      <c r="BN524" s="261">
        <v>1039</v>
      </c>
      <c r="BO524" s="261">
        <v>1083</v>
      </c>
      <c r="BP524" s="261">
        <v>1054</v>
      </c>
      <c r="BQ524" s="261">
        <v>1072</v>
      </c>
      <c r="BR524" s="261">
        <v>966</v>
      </c>
      <c r="BS524" s="261">
        <v>1009</v>
      </c>
      <c r="BT524" s="261">
        <v>1016</v>
      </c>
      <c r="BU524" s="261">
        <v>943</v>
      </c>
      <c r="BV524" s="261">
        <v>908</v>
      </c>
      <c r="BW524" s="261">
        <v>903</v>
      </c>
      <c r="BX524" s="261">
        <v>843</v>
      </c>
      <c r="BY524" s="261">
        <v>825</v>
      </c>
      <c r="BZ524" s="261">
        <v>782</v>
      </c>
      <c r="CA524" s="261">
        <v>799</v>
      </c>
      <c r="CB524" s="261">
        <v>804</v>
      </c>
      <c r="CC524" s="261">
        <v>749</v>
      </c>
      <c r="CD524" s="261">
        <v>804</v>
      </c>
      <c r="CE524" s="261">
        <v>735</v>
      </c>
      <c r="CF524" s="261">
        <v>803</v>
      </c>
      <c r="CG524" s="261">
        <v>816</v>
      </c>
      <c r="CH524" s="261">
        <v>836</v>
      </c>
      <c r="CI524" s="261">
        <v>680</v>
      </c>
      <c r="CJ524" s="261">
        <v>631</v>
      </c>
      <c r="CK524" s="261">
        <v>620</v>
      </c>
      <c r="CL524" s="261">
        <v>565</v>
      </c>
      <c r="CM524" s="261">
        <v>510</v>
      </c>
      <c r="CN524" s="261">
        <v>499</v>
      </c>
      <c r="CO524" s="261">
        <v>429</v>
      </c>
      <c r="CP524" s="261">
        <v>409</v>
      </c>
      <c r="CQ524" s="261">
        <v>359</v>
      </c>
      <c r="CR524" s="261">
        <v>302</v>
      </c>
      <c r="CS524" s="261">
        <v>272</v>
      </c>
      <c r="CT524" s="261">
        <v>267</v>
      </c>
      <c r="CU524" s="261">
        <v>206</v>
      </c>
      <c r="CV524" s="261">
        <v>180</v>
      </c>
      <c r="CW524" s="261">
        <v>185</v>
      </c>
      <c r="CX524" s="261">
        <v>139</v>
      </c>
      <c r="CY524" s="261">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 x14ac:dyDescent="0.2">
      <c r="A525" s="50" t="s">
        <v>49</v>
      </c>
      <c r="B525" s="2" t="s">
        <v>552</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61">
        <v>880</v>
      </c>
      <c r="N525" s="261">
        <v>929</v>
      </c>
      <c r="O525" s="261">
        <v>993</v>
      </c>
      <c r="P525" s="261">
        <v>1002</v>
      </c>
      <c r="Q525" s="261">
        <v>1045</v>
      </c>
      <c r="R525" s="261">
        <v>1086</v>
      </c>
      <c r="S525" s="261">
        <v>1066</v>
      </c>
      <c r="T525" s="261">
        <v>1029</v>
      </c>
      <c r="U525" s="261">
        <v>1080</v>
      </c>
      <c r="V525" s="261">
        <v>1100</v>
      </c>
      <c r="W525" s="261">
        <v>1237</v>
      </c>
      <c r="X525" s="261">
        <v>1118</v>
      </c>
      <c r="Y525" s="261">
        <v>1227</v>
      </c>
      <c r="Z525" s="261">
        <v>1090</v>
      </c>
      <c r="AA525" s="261">
        <v>1088</v>
      </c>
      <c r="AB525" s="261">
        <v>1050</v>
      </c>
      <c r="AC525" s="261">
        <v>1108</v>
      </c>
      <c r="AD525" s="261">
        <v>1098</v>
      </c>
      <c r="AE525" s="261">
        <v>1043</v>
      </c>
      <c r="AF525" s="261">
        <v>1003</v>
      </c>
      <c r="AG525" s="261">
        <v>991</v>
      </c>
      <c r="AH525" s="261">
        <v>1005</v>
      </c>
      <c r="AI525" s="261">
        <v>1034</v>
      </c>
      <c r="AJ525" s="261">
        <v>1220</v>
      </c>
      <c r="AK525" s="261">
        <v>1073</v>
      </c>
      <c r="AL525" s="261">
        <v>1131</v>
      </c>
      <c r="AM525" s="261">
        <v>1115</v>
      </c>
      <c r="AN525" s="261">
        <v>1170</v>
      </c>
      <c r="AO525" s="261">
        <v>1121</v>
      </c>
      <c r="AP525" s="261">
        <v>1245</v>
      </c>
      <c r="AQ525" s="261">
        <v>1150</v>
      </c>
      <c r="AR525" s="261">
        <v>1137</v>
      </c>
      <c r="AS525" s="261">
        <v>1164</v>
      </c>
      <c r="AT525" s="261">
        <v>1091</v>
      </c>
      <c r="AU525" s="261">
        <v>1179</v>
      </c>
      <c r="AV525" s="261">
        <v>1125</v>
      </c>
      <c r="AW525" s="261">
        <v>1088</v>
      </c>
      <c r="AX525" s="261">
        <v>1118</v>
      </c>
      <c r="AY525" s="261">
        <v>1086</v>
      </c>
      <c r="AZ525" s="261">
        <v>1169</v>
      </c>
      <c r="BA525" s="261">
        <v>1082</v>
      </c>
      <c r="BB525" s="261">
        <v>1087</v>
      </c>
      <c r="BC525" s="261">
        <v>1040</v>
      </c>
      <c r="BD525" s="261">
        <v>1019</v>
      </c>
      <c r="BE525" s="261">
        <v>1025</v>
      </c>
      <c r="BF525" s="261">
        <v>1021</v>
      </c>
      <c r="BG525" s="261">
        <v>1030</v>
      </c>
      <c r="BH525" s="261">
        <v>1160</v>
      </c>
      <c r="BI525" s="261">
        <v>1149</v>
      </c>
      <c r="BJ525" s="261">
        <v>1223</v>
      </c>
      <c r="BK525" s="261">
        <v>1204</v>
      </c>
      <c r="BL525" s="261">
        <v>1340</v>
      </c>
      <c r="BM525" s="261">
        <v>1332</v>
      </c>
      <c r="BN525" s="261">
        <v>1281</v>
      </c>
      <c r="BO525" s="261">
        <v>1313</v>
      </c>
      <c r="BP525" s="261">
        <v>1288</v>
      </c>
      <c r="BQ525" s="261">
        <v>1307</v>
      </c>
      <c r="BR525" s="261">
        <v>1278</v>
      </c>
      <c r="BS525" s="261">
        <v>1191</v>
      </c>
      <c r="BT525" s="261">
        <v>1183</v>
      </c>
      <c r="BU525" s="261">
        <v>1154</v>
      </c>
      <c r="BV525" s="261">
        <v>1082</v>
      </c>
      <c r="BW525" s="261">
        <v>1118</v>
      </c>
      <c r="BX525" s="261">
        <v>1061</v>
      </c>
      <c r="BY525" s="261">
        <v>994</v>
      </c>
      <c r="BZ525" s="261">
        <v>894</v>
      </c>
      <c r="CA525" s="261">
        <v>1011</v>
      </c>
      <c r="CB525" s="261">
        <v>975</v>
      </c>
      <c r="CC525" s="261">
        <v>947</v>
      </c>
      <c r="CD525" s="261">
        <v>947</v>
      </c>
      <c r="CE525" s="261">
        <v>1022</v>
      </c>
      <c r="CF525" s="261">
        <v>933</v>
      </c>
      <c r="CG525" s="261">
        <v>1066</v>
      </c>
      <c r="CH525" s="261">
        <v>1025</v>
      </c>
      <c r="CI525" s="261">
        <v>806</v>
      </c>
      <c r="CJ525" s="261">
        <v>743</v>
      </c>
      <c r="CK525" s="261">
        <v>712</v>
      </c>
      <c r="CL525" s="261">
        <v>644</v>
      </c>
      <c r="CM525" s="261">
        <v>653</v>
      </c>
      <c r="CN525" s="261">
        <v>496</v>
      </c>
      <c r="CO525" s="261">
        <v>504</v>
      </c>
      <c r="CP525" s="261">
        <v>505</v>
      </c>
      <c r="CQ525" s="261">
        <v>428</v>
      </c>
      <c r="CR525" s="261">
        <v>363</v>
      </c>
      <c r="CS525" s="261">
        <v>332</v>
      </c>
      <c r="CT525" s="261">
        <v>269</v>
      </c>
      <c r="CU525" s="261">
        <v>253</v>
      </c>
      <c r="CV525" s="261">
        <v>186</v>
      </c>
      <c r="CW525" s="261">
        <v>158</v>
      </c>
      <c r="CX525" s="261">
        <v>161</v>
      </c>
      <c r="CY525" s="261">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 x14ac:dyDescent="0.2">
      <c r="A526" s="50" t="s">
        <v>49</v>
      </c>
      <c r="B526" s="2" t="s">
        <v>553</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61">
        <v>1892</v>
      </c>
      <c r="N526" s="261">
        <v>2008</v>
      </c>
      <c r="O526" s="261">
        <v>2091</v>
      </c>
      <c r="P526" s="261">
        <v>2099</v>
      </c>
      <c r="Q526" s="261">
        <v>2302</v>
      </c>
      <c r="R526" s="261">
        <v>2206</v>
      </c>
      <c r="S526" s="261">
        <v>2313</v>
      </c>
      <c r="T526" s="261">
        <v>2298</v>
      </c>
      <c r="U526" s="261">
        <v>2412</v>
      </c>
      <c r="V526" s="261">
        <v>2462</v>
      </c>
      <c r="W526" s="261">
        <v>2211</v>
      </c>
      <c r="X526" s="261">
        <v>2158</v>
      </c>
      <c r="Y526" s="261">
        <v>2204</v>
      </c>
      <c r="Z526" s="261">
        <v>2151</v>
      </c>
      <c r="AA526" s="261">
        <v>2075</v>
      </c>
      <c r="AB526" s="261">
        <v>1858</v>
      </c>
      <c r="AC526" s="261">
        <v>1865</v>
      </c>
      <c r="AD526" s="261">
        <v>1958</v>
      </c>
      <c r="AE526" s="261">
        <v>2257</v>
      </c>
      <c r="AF526" s="261">
        <v>3711</v>
      </c>
      <c r="AG526" s="261">
        <v>4341</v>
      </c>
      <c r="AH526" s="261">
        <v>4235</v>
      </c>
      <c r="AI526" s="261">
        <v>4171</v>
      </c>
      <c r="AJ526" s="261">
        <v>4112</v>
      </c>
      <c r="AK526" s="261">
        <v>3894</v>
      </c>
      <c r="AL526" s="261">
        <v>3806</v>
      </c>
      <c r="AM526" s="261">
        <v>4048</v>
      </c>
      <c r="AN526" s="261">
        <v>3736</v>
      </c>
      <c r="AO526" s="261">
        <v>3538</v>
      </c>
      <c r="AP526" s="261">
        <v>3485</v>
      </c>
      <c r="AQ526" s="261">
        <v>3145</v>
      </c>
      <c r="AR526" s="261">
        <v>3216</v>
      </c>
      <c r="AS526" s="261">
        <v>2929</v>
      </c>
      <c r="AT526" s="261">
        <v>2553</v>
      </c>
      <c r="AU526" s="261">
        <v>2717</v>
      </c>
      <c r="AV526" s="261">
        <v>2587</v>
      </c>
      <c r="AW526" s="261">
        <v>2511</v>
      </c>
      <c r="AX526" s="261">
        <v>2644</v>
      </c>
      <c r="AY526" s="261">
        <v>2335</v>
      </c>
      <c r="AZ526" s="261">
        <v>2321</v>
      </c>
      <c r="BA526" s="261">
        <v>2345</v>
      </c>
      <c r="BB526" s="261">
        <v>2251</v>
      </c>
      <c r="BC526" s="261">
        <v>1881</v>
      </c>
      <c r="BD526" s="261">
        <v>2008</v>
      </c>
      <c r="BE526" s="261">
        <v>1971</v>
      </c>
      <c r="BF526" s="261">
        <v>2038</v>
      </c>
      <c r="BG526" s="261">
        <v>2090</v>
      </c>
      <c r="BH526" s="261">
        <v>1986</v>
      </c>
      <c r="BI526" s="261">
        <v>2031</v>
      </c>
      <c r="BJ526" s="261">
        <v>2099</v>
      </c>
      <c r="BK526" s="261">
        <v>2072</v>
      </c>
      <c r="BL526" s="261">
        <v>2107</v>
      </c>
      <c r="BM526" s="261">
        <v>1896</v>
      </c>
      <c r="BN526" s="261">
        <v>2077</v>
      </c>
      <c r="BO526" s="261">
        <v>1989</v>
      </c>
      <c r="BP526" s="261">
        <v>2031</v>
      </c>
      <c r="BQ526" s="261">
        <v>2013</v>
      </c>
      <c r="BR526" s="261">
        <v>1942</v>
      </c>
      <c r="BS526" s="261">
        <v>2000</v>
      </c>
      <c r="BT526" s="261">
        <v>1906</v>
      </c>
      <c r="BU526" s="261">
        <v>1757</v>
      </c>
      <c r="BV526" s="261">
        <v>1830</v>
      </c>
      <c r="BW526" s="261">
        <v>1717</v>
      </c>
      <c r="BX526" s="261">
        <v>1725</v>
      </c>
      <c r="BY526" s="261">
        <v>1541</v>
      </c>
      <c r="BZ526" s="261">
        <v>1572</v>
      </c>
      <c r="CA526" s="261">
        <v>1515</v>
      </c>
      <c r="CB526" s="261">
        <v>1429</v>
      </c>
      <c r="CC526" s="261">
        <v>1391</v>
      </c>
      <c r="CD526" s="261">
        <v>1345</v>
      </c>
      <c r="CE526" s="261">
        <v>1439</v>
      </c>
      <c r="CF526" s="261">
        <v>1346</v>
      </c>
      <c r="CG526" s="261">
        <v>1313</v>
      </c>
      <c r="CH526" s="261">
        <v>1438</v>
      </c>
      <c r="CI526" s="261">
        <v>1037</v>
      </c>
      <c r="CJ526" s="261">
        <v>1012</v>
      </c>
      <c r="CK526" s="261">
        <v>950</v>
      </c>
      <c r="CL526" s="261">
        <v>839</v>
      </c>
      <c r="CM526" s="261">
        <v>755</v>
      </c>
      <c r="CN526" s="261">
        <v>679</v>
      </c>
      <c r="CO526" s="261">
        <v>672</v>
      </c>
      <c r="CP526" s="261">
        <v>631</v>
      </c>
      <c r="CQ526" s="261">
        <v>630</v>
      </c>
      <c r="CR526" s="261">
        <v>503</v>
      </c>
      <c r="CS526" s="261">
        <v>511</v>
      </c>
      <c r="CT526" s="261">
        <v>461</v>
      </c>
      <c r="CU526" s="261">
        <v>357</v>
      </c>
      <c r="CV526" s="261">
        <v>331</v>
      </c>
      <c r="CW526" s="261">
        <v>255</v>
      </c>
      <c r="CX526" s="261">
        <v>248</v>
      </c>
      <c r="CY526" s="261">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 x14ac:dyDescent="0.2">
      <c r="A527" s="50" t="s">
        <v>49</v>
      </c>
      <c r="B527" s="2" t="s">
        <v>554</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61">
        <v>810</v>
      </c>
      <c r="N527" s="261">
        <v>900</v>
      </c>
      <c r="O527" s="261">
        <v>937</v>
      </c>
      <c r="P527" s="261">
        <v>981</v>
      </c>
      <c r="Q527" s="261">
        <v>1044</v>
      </c>
      <c r="R527" s="261">
        <v>1064</v>
      </c>
      <c r="S527" s="261">
        <v>1058</v>
      </c>
      <c r="T527" s="261">
        <v>1034</v>
      </c>
      <c r="U527" s="261">
        <v>1137</v>
      </c>
      <c r="V527" s="261">
        <v>1188</v>
      </c>
      <c r="W527" s="261">
        <v>1139</v>
      </c>
      <c r="X527" s="261">
        <v>1070</v>
      </c>
      <c r="Y527" s="261">
        <v>1176</v>
      </c>
      <c r="Z527" s="261">
        <v>1176</v>
      </c>
      <c r="AA527" s="261">
        <v>1145</v>
      </c>
      <c r="AB527" s="261">
        <v>1061</v>
      </c>
      <c r="AC527" s="261">
        <v>1059</v>
      </c>
      <c r="AD527" s="261">
        <v>1063</v>
      </c>
      <c r="AE527" s="261">
        <v>1064</v>
      </c>
      <c r="AF527" s="261">
        <v>975</v>
      </c>
      <c r="AG527" s="261">
        <v>960</v>
      </c>
      <c r="AH527" s="261">
        <v>978</v>
      </c>
      <c r="AI527" s="261">
        <v>994</v>
      </c>
      <c r="AJ527" s="261">
        <v>1045</v>
      </c>
      <c r="AK527" s="261">
        <v>1098</v>
      </c>
      <c r="AL527" s="261">
        <v>990</v>
      </c>
      <c r="AM527" s="261">
        <v>1053</v>
      </c>
      <c r="AN527" s="261">
        <v>974</v>
      </c>
      <c r="AO527" s="261">
        <v>1043</v>
      </c>
      <c r="AP527" s="261">
        <v>1013</v>
      </c>
      <c r="AQ527" s="261">
        <v>998</v>
      </c>
      <c r="AR527" s="261">
        <v>1087</v>
      </c>
      <c r="AS527" s="261">
        <v>1043</v>
      </c>
      <c r="AT527" s="261">
        <v>1063</v>
      </c>
      <c r="AU527" s="261">
        <v>1019</v>
      </c>
      <c r="AV527" s="261">
        <v>1015</v>
      </c>
      <c r="AW527" s="261">
        <v>937</v>
      </c>
      <c r="AX527" s="261">
        <v>943</v>
      </c>
      <c r="AY527" s="261">
        <v>1002</v>
      </c>
      <c r="AZ527" s="261">
        <v>962</v>
      </c>
      <c r="BA527" s="261">
        <v>946</v>
      </c>
      <c r="BB527" s="261">
        <v>944</v>
      </c>
      <c r="BC527" s="261">
        <v>887</v>
      </c>
      <c r="BD527" s="261">
        <v>885</v>
      </c>
      <c r="BE527" s="261">
        <v>1027</v>
      </c>
      <c r="BF527" s="261">
        <v>990</v>
      </c>
      <c r="BG527" s="261">
        <v>1005</v>
      </c>
      <c r="BH527" s="261">
        <v>1111</v>
      </c>
      <c r="BI527" s="261">
        <v>1169</v>
      </c>
      <c r="BJ527" s="261">
        <v>1303</v>
      </c>
      <c r="BK527" s="261">
        <v>1194</v>
      </c>
      <c r="BL527" s="261">
        <v>1221</v>
      </c>
      <c r="BM527" s="261">
        <v>1233</v>
      </c>
      <c r="BN527" s="261">
        <v>1377</v>
      </c>
      <c r="BO527" s="261">
        <v>1366</v>
      </c>
      <c r="BP527" s="261">
        <v>1427</v>
      </c>
      <c r="BQ527" s="261">
        <v>1498</v>
      </c>
      <c r="BR527" s="261">
        <v>1383</v>
      </c>
      <c r="BS527" s="261">
        <v>1435</v>
      </c>
      <c r="BT527" s="261">
        <v>1330</v>
      </c>
      <c r="BU527" s="261">
        <v>1297</v>
      </c>
      <c r="BV527" s="261">
        <v>1239</v>
      </c>
      <c r="BW527" s="261">
        <v>1307</v>
      </c>
      <c r="BX527" s="261">
        <v>1246</v>
      </c>
      <c r="BY527" s="261">
        <v>1166</v>
      </c>
      <c r="BZ527" s="261">
        <v>1299</v>
      </c>
      <c r="CA527" s="261">
        <v>1250</v>
      </c>
      <c r="CB527" s="261">
        <v>1230</v>
      </c>
      <c r="CC527" s="261">
        <v>1222</v>
      </c>
      <c r="CD527" s="261">
        <v>1130</v>
      </c>
      <c r="CE527" s="261">
        <v>1210</v>
      </c>
      <c r="CF527" s="261">
        <v>1224</v>
      </c>
      <c r="CG527" s="261">
        <v>1274</v>
      </c>
      <c r="CH527" s="261">
        <v>1298</v>
      </c>
      <c r="CI527" s="261">
        <v>1070</v>
      </c>
      <c r="CJ527" s="261">
        <v>994</v>
      </c>
      <c r="CK527" s="261">
        <v>938</v>
      </c>
      <c r="CL527" s="261">
        <v>885</v>
      </c>
      <c r="CM527" s="261">
        <v>858</v>
      </c>
      <c r="CN527" s="261">
        <v>694</v>
      </c>
      <c r="CO527" s="261">
        <v>652</v>
      </c>
      <c r="CP527" s="261">
        <v>630</v>
      </c>
      <c r="CQ527" s="261">
        <v>528</v>
      </c>
      <c r="CR527" s="261">
        <v>539</v>
      </c>
      <c r="CS527" s="261">
        <v>456</v>
      </c>
      <c r="CT527" s="261">
        <v>425</v>
      </c>
      <c r="CU527" s="261">
        <v>353</v>
      </c>
      <c r="CV527" s="261">
        <v>308</v>
      </c>
      <c r="CW527" s="261">
        <v>255</v>
      </c>
      <c r="CX527" s="261">
        <v>192</v>
      </c>
      <c r="CY527" s="261">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 x14ac:dyDescent="0.2">
      <c r="A528" s="50" t="s">
        <v>49</v>
      </c>
      <c r="B528" s="2" t="s">
        <v>555</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61">
        <v>260</v>
      </c>
      <c r="N528" s="261">
        <v>280</v>
      </c>
      <c r="O528" s="261">
        <v>295</v>
      </c>
      <c r="P528" s="261">
        <v>340</v>
      </c>
      <c r="Q528" s="261">
        <v>329</v>
      </c>
      <c r="R528" s="261">
        <v>361</v>
      </c>
      <c r="S528" s="261">
        <v>307</v>
      </c>
      <c r="T528" s="261">
        <v>350</v>
      </c>
      <c r="U528" s="261">
        <v>369</v>
      </c>
      <c r="V528" s="261">
        <v>417</v>
      </c>
      <c r="W528" s="261">
        <v>365</v>
      </c>
      <c r="X528" s="261">
        <v>358</v>
      </c>
      <c r="Y528" s="261">
        <v>337</v>
      </c>
      <c r="Z528" s="261">
        <v>373</v>
      </c>
      <c r="AA528" s="261">
        <v>383</v>
      </c>
      <c r="AB528" s="261">
        <v>375</v>
      </c>
      <c r="AC528" s="261">
        <v>389</v>
      </c>
      <c r="AD528" s="261">
        <v>384</v>
      </c>
      <c r="AE528" s="261">
        <v>387</v>
      </c>
      <c r="AF528" s="261">
        <v>771</v>
      </c>
      <c r="AG528" s="261">
        <v>874</v>
      </c>
      <c r="AH528" s="261">
        <v>907</v>
      </c>
      <c r="AI528" s="261">
        <v>761</v>
      </c>
      <c r="AJ528" s="261">
        <v>624</v>
      </c>
      <c r="AK528" s="261">
        <v>594</v>
      </c>
      <c r="AL528" s="261">
        <v>543</v>
      </c>
      <c r="AM528" s="261">
        <v>636</v>
      </c>
      <c r="AN528" s="261">
        <v>682</v>
      </c>
      <c r="AO528" s="261">
        <v>587</v>
      </c>
      <c r="AP528" s="261">
        <v>469</v>
      </c>
      <c r="AQ528" s="261">
        <v>395</v>
      </c>
      <c r="AR528" s="261">
        <v>247</v>
      </c>
      <c r="AS528" s="261">
        <v>190</v>
      </c>
      <c r="AT528" s="261">
        <v>244</v>
      </c>
      <c r="AU528" s="261">
        <v>174</v>
      </c>
      <c r="AV528" s="261">
        <v>277</v>
      </c>
      <c r="AW528" s="261">
        <v>205</v>
      </c>
      <c r="AX528" s="261">
        <v>309</v>
      </c>
      <c r="AY528" s="261">
        <v>296</v>
      </c>
      <c r="AZ528" s="261">
        <v>292</v>
      </c>
      <c r="BA528" s="261">
        <v>292</v>
      </c>
      <c r="BB528" s="261">
        <v>315</v>
      </c>
      <c r="BC528" s="261">
        <v>272</v>
      </c>
      <c r="BD528" s="261">
        <v>343</v>
      </c>
      <c r="BE528" s="261">
        <v>326</v>
      </c>
      <c r="BF528" s="261">
        <v>323</v>
      </c>
      <c r="BG528" s="261">
        <v>319</v>
      </c>
      <c r="BH528" s="261">
        <v>321</v>
      </c>
      <c r="BI528" s="261">
        <v>396</v>
      </c>
      <c r="BJ528" s="261">
        <v>399</v>
      </c>
      <c r="BK528" s="261">
        <v>436</v>
      </c>
      <c r="BL528" s="261">
        <v>462</v>
      </c>
      <c r="BM528" s="261">
        <v>475</v>
      </c>
      <c r="BN528" s="261">
        <v>502</v>
      </c>
      <c r="BO528" s="261">
        <v>476</v>
      </c>
      <c r="BP528" s="261">
        <v>485</v>
      </c>
      <c r="BQ528" s="261">
        <v>531</v>
      </c>
      <c r="BR528" s="261">
        <v>518</v>
      </c>
      <c r="BS528" s="261">
        <v>488</v>
      </c>
      <c r="BT528" s="261">
        <v>470</v>
      </c>
      <c r="BU528" s="261">
        <v>513</v>
      </c>
      <c r="BV528" s="261">
        <v>511</v>
      </c>
      <c r="BW528" s="261">
        <v>509</v>
      </c>
      <c r="BX528" s="261">
        <v>503</v>
      </c>
      <c r="BY528" s="261">
        <v>506</v>
      </c>
      <c r="BZ528" s="261">
        <v>507</v>
      </c>
      <c r="CA528" s="261">
        <v>471</v>
      </c>
      <c r="CB528" s="261">
        <v>469</v>
      </c>
      <c r="CC528" s="261">
        <v>470</v>
      </c>
      <c r="CD528" s="261">
        <v>492</v>
      </c>
      <c r="CE528" s="261">
        <v>494</v>
      </c>
      <c r="CF528" s="261">
        <v>562</v>
      </c>
      <c r="CG528" s="261">
        <v>570</v>
      </c>
      <c r="CH528" s="261">
        <v>524</v>
      </c>
      <c r="CI528" s="261">
        <v>398</v>
      </c>
      <c r="CJ528" s="261">
        <v>418</v>
      </c>
      <c r="CK528" s="261">
        <v>406</v>
      </c>
      <c r="CL528" s="261">
        <v>376</v>
      </c>
      <c r="CM528" s="261">
        <v>321</v>
      </c>
      <c r="CN528" s="261">
        <v>233</v>
      </c>
      <c r="CO528" s="261">
        <v>296</v>
      </c>
      <c r="CP528" s="261">
        <v>231</v>
      </c>
      <c r="CQ528" s="261">
        <v>216</v>
      </c>
      <c r="CR528" s="261">
        <v>203</v>
      </c>
      <c r="CS528" s="261">
        <v>166</v>
      </c>
      <c r="CT528" s="261">
        <v>158</v>
      </c>
      <c r="CU528" s="261">
        <v>161</v>
      </c>
      <c r="CV528" s="261">
        <v>137</v>
      </c>
      <c r="CW528" s="261">
        <v>123</v>
      </c>
      <c r="CX528" s="261">
        <v>69</v>
      </c>
      <c r="CY528" s="261">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 x14ac:dyDescent="0.2">
      <c r="A529" s="50" t="s">
        <v>49</v>
      </c>
      <c r="B529" s="2" t="s">
        <v>556</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61">
        <v>514</v>
      </c>
      <c r="N529" s="261">
        <v>530</v>
      </c>
      <c r="O529" s="261">
        <v>561</v>
      </c>
      <c r="P529" s="261">
        <v>549</v>
      </c>
      <c r="Q529" s="261">
        <v>577</v>
      </c>
      <c r="R529" s="261">
        <v>626</v>
      </c>
      <c r="S529" s="261">
        <v>584</v>
      </c>
      <c r="T529" s="261">
        <v>646</v>
      </c>
      <c r="U529" s="261">
        <v>655</v>
      </c>
      <c r="V529" s="261">
        <v>644</v>
      </c>
      <c r="W529" s="261">
        <v>663</v>
      </c>
      <c r="X529" s="261">
        <v>608</v>
      </c>
      <c r="Y529" s="261">
        <v>632</v>
      </c>
      <c r="Z529" s="261">
        <v>633</v>
      </c>
      <c r="AA529" s="261">
        <v>670</v>
      </c>
      <c r="AB529" s="261">
        <v>640</v>
      </c>
      <c r="AC529" s="261">
        <v>646</v>
      </c>
      <c r="AD529" s="261">
        <v>558</v>
      </c>
      <c r="AE529" s="261">
        <v>588</v>
      </c>
      <c r="AF529" s="261">
        <v>548</v>
      </c>
      <c r="AG529" s="261">
        <v>588</v>
      </c>
      <c r="AH529" s="261">
        <v>559</v>
      </c>
      <c r="AI529" s="261">
        <v>575</v>
      </c>
      <c r="AJ529" s="261">
        <v>656</v>
      </c>
      <c r="AK529" s="261">
        <v>605</v>
      </c>
      <c r="AL529" s="261">
        <v>604</v>
      </c>
      <c r="AM529" s="261">
        <v>593</v>
      </c>
      <c r="AN529" s="261">
        <v>583</v>
      </c>
      <c r="AO529" s="261">
        <v>587</v>
      </c>
      <c r="AP529" s="261">
        <v>609</v>
      </c>
      <c r="AQ529" s="261">
        <v>613</v>
      </c>
      <c r="AR529" s="261">
        <v>618</v>
      </c>
      <c r="AS529" s="261">
        <v>638</v>
      </c>
      <c r="AT529" s="261">
        <v>599</v>
      </c>
      <c r="AU529" s="261">
        <v>536</v>
      </c>
      <c r="AV529" s="261">
        <v>551</v>
      </c>
      <c r="AW529" s="261">
        <v>566</v>
      </c>
      <c r="AX529" s="261">
        <v>583</v>
      </c>
      <c r="AY529" s="261">
        <v>564</v>
      </c>
      <c r="AZ529" s="261">
        <v>578</v>
      </c>
      <c r="BA529" s="261">
        <v>630</v>
      </c>
      <c r="BB529" s="261">
        <v>584</v>
      </c>
      <c r="BC529" s="261">
        <v>504</v>
      </c>
      <c r="BD529" s="261">
        <v>542</v>
      </c>
      <c r="BE529" s="261">
        <v>576</v>
      </c>
      <c r="BF529" s="261">
        <v>566</v>
      </c>
      <c r="BG529" s="261">
        <v>545</v>
      </c>
      <c r="BH529" s="261">
        <v>646</v>
      </c>
      <c r="BI529" s="261">
        <v>792</v>
      </c>
      <c r="BJ529" s="261">
        <v>770</v>
      </c>
      <c r="BK529" s="261">
        <v>749</v>
      </c>
      <c r="BL529" s="261">
        <v>824</v>
      </c>
      <c r="BM529" s="261">
        <v>760</v>
      </c>
      <c r="BN529" s="261">
        <v>806</v>
      </c>
      <c r="BO529" s="261">
        <v>882</v>
      </c>
      <c r="BP529" s="261">
        <v>883</v>
      </c>
      <c r="BQ529" s="261">
        <v>893</v>
      </c>
      <c r="BR529" s="261">
        <v>847</v>
      </c>
      <c r="BS529" s="261">
        <v>874</v>
      </c>
      <c r="BT529" s="261">
        <v>855</v>
      </c>
      <c r="BU529" s="261">
        <v>874</v>
      </c>
      <c r="BV529" s="261">
        <v>835</v>
      </c>
      <c r="BW529" s="261">
        <v>780</v>
      </c>
      <c r="BX529" s="261">
        <v>824</v>
      </c>
      <c r="BY529" s="261">
        <v>789</v>
      </c>
      <c r="BZ529" s="261">
        <v>739</v>
      </c>
      <c r="CA529" s="261">
        <v>813</v>
      </c>
      <c r="CB529" s="261">
        <v>775</v>
      </c>
      <c r="CC529" s="261">
        <v>744</v>
      </c>
      <c r="CD529" s="261">
        <v>780</v>
      </c>
      <c r="CE529" s="261">
        <v>768</v>
      </c>
      <c r="CF529" s="261">
        <v>888</v>
      </c>
      <c r="CG529" s="261">
        <v>950</v>
      </c>
      <c r="CH529" s="261">
        <v>922</v>
      </c>
      <c r="CI529" s="261">
        <v>726</v>
      </c>
      <c r="CJ529" s="261">
        <v>692</v>
      </c>
      <c r="CK529" s="261">
        <v>669</v>
      </c>
      <c r="CL529" s="261">
        <v>636</v>
      </c>
      <c r="CM529" s="261">
        <v>582</v>
      </c>
      <c r="CN529" s="261">
        <v>493</v>
      </c>
      <c r="CO529" s="261">
        <v>454</v>
      </c>
      <c r="CP529" s="261">
        <v>444</v>
      </c>
      <c r="CQ529" s="261">
        <v>390</v>
      </c>
      <c r="CR529" s="261">
        <v>364</v>
      </c>
      <c r="CS529" s="261">
        <v>354</v>
      </c>
      <c r="CT529" s="261">
        <v>301</v>
      </c>
      <c r="CU529" s="261">
        <v>299</v>
      </c>
      <c r="CV529" s="261">
        <v>272</v>
      </c>
      <c r="CW529" s="261">
        <v>190</v>
      </c>
      <c r="CX529" s="261">
        <v>172</v>
      </c>
      <c r="CY529" s="261">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 x14ac:dyDescent="0.2">
      <c r="A530" s="50" t="s">
        <v>49</v>
      </c>
      <c r="B530" s="2" t="s">
        <v>557</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61">
        <v>515</v>
      </c>
      <c r="N530" s="261">
        <v>482</v>
      </c>
      <c r="O530" s="261">
        <v>468</v>
      </c>
      <c r="P530" s="261">
        <v>544</v>
      </c>
      <c r="Q530" s="261">
        <v>517</v>
      </c>
      <c r="R530" s="261">
        <v>524</v>
      </c>
      <c r="S530" s="261">
        <v>552</v>
      </c>
      <c r="T530" s="261">
        <v>567</v>
      </c>
      <c r="U530" s="261">
        <v>557</v>
      </c>
      <c r="V530" s="261">
        <v>602</v>
      </c>
      <c r="W530" s="261">
        <v>629</v>
      </c>
      <c r="X530" s="261">
        <v>558</v>
      </c>
      <c r="Y530" s="261">
        <v>617</v>
      </c>
      <c r="Z530" s="261">
        <v>581</v>
      </c>
      <c r="AA530" s="261">
        <v>542</v>
      </c>
      <c r="AB530" s="261">
        <v>581</v>
      </c>
      <c r="AC530" s="261">
        <v>571</v>
      </c>
      <c r="AD530" s="261">
        <v>586</v>
      </c>
      <c r="AE530" s="261">
        <v>584</v>
      </c>
      <c r="AF530" s="261">
        <v>509</v>
      </c>
      <c r="AG530" s="261">
        <v>485</v>
      </c>
      <c r="AH530" s="261">
        <v>512</v>
      </c>
      <c r="AI530" s="261">
        <v>570</v>
      </c>
      <c r="AJ530" s="261">
        <v>548</v>
      </c>
      <c r="AK530" s="261">
        <v>585</v>
      </c>
      <c r="AL530" s="261">
        <v>506</v>
      </c>
      <c r="AM530" s="261">
        <v>600</v>
      </c>
      <c r="AN530" s="261">
        <v>555</v>
      </c>
      <c r="AO530" s="261">
        <v>584</v>
      </c>
      <c r="AP530" s="261">
        <v>553</v>
      </c>
      <c r="AQ530" s="261">
        <v>555</v>
      </c>
      <c r="AR530" s="261">
        <v>529</v>
      </c>
      <c r="AS530" s="261">
        <v>512</v>
      </c>
      <c r="AT530" s="261">
        <v>536</v>
      </c>
      <c r="AU530" s="261">
        <v>482</v>
      </c>
      <c r="AV530" s="261">
        <v>424</v>
      </c>
      <c r="AW530" s="261">
        <v>488</v>
      </c>
      <c r="AX530" s="261">
        <v>430</v>
      </c>
      <c r="AY530" s="261">
        <v>450</v>
      </c>
      <c r="AZ530" s="261">
        <v>442</v>
      </c>
      <c r="BA530" s="261">
        <v>484</v>
      </c>
      <c r="BB530" s="261">
        <v>471</v>
      </c>
      <c r="BC530" s="261">
        <v>382</v>
      </c>
      <c r="BD530" s="261">
        <v>424</v>
      </c>
      <c r="BE530" s="261">
        <v>497</v>
      </c>
      <c r="BF530" s="261">
        <v>498</v>
      </c>
      <c r="BG530" s="261">
        <v>537</v>
      </c>
      <c r="BH530" s="261">
        <v>512</v>
      </c>
      <c r="BI530" s="261">
        <v>633</v>
      </c>
      <c r="BJ530" s="261">
        <v>614</v>
      </c>
      <c r="BK530" s="261">
        <v>618</v>
      </c>
      <c r="BL530" s="261">
        <v>665</v>
      </c>
      <c r="BM530" s="261">
        <v>643</v>
      </c>
      <c r="BN530" s="261">
        <v>712</v>
      </c>
      <c r="BO530" s="261">
        <v>658</v>
      </c>
      <c r="BP530" s="261">
        <v>751</v>
      </c>
      <c r="BQ530" s="261">
        <v>729</v>
      </c>
      <c r="BR530" s="261">
        <v>702</v>
      </c>
      <c r="BS530" s="261">
        <v>698</v>
      </c>
      <c r="BT530" s="261">
        <v>659</v>
      </c>
      <c r="BU530" s="261">
        <v>748</v>
      </c>
      <c r="BV530" s="261">
        <v>657</v>
      </c>
      <c r="BW530" s="261">
        <v>610</v>
      </c>
      <c r="BX530" s="261">
        <v>617</v>
      </c>
      <c r="BY530" s="261">
        <v>596</v>
      </c>
      <c r="BZ530" s="261">
        <v>645</v>
      </c>
      <c r="CA530" s="261">
        <v>590</v>
      </c>
      <c r="CB530" s="261">
        <v>615</v>
      </c>
      <c r="CC530" s="261">
        <v>587</v>
      </c>
      <c r="CD530" s="261">
        <v>585</v>
      </c>
      <c r="CE530" s="261">
        <v>654</v>
      </c>
      <c r="CF530" s="261">
        <v>723</v>
      </c>
      <c r="CG530" s="261">
        <v>698</v>
      </c>
      <c r="CH530" s="261">
        <v>744</v>
      </c>
      <c r="CI530" s="261">
        <v>486</v>
      </c>
      <c r="CJ530" s="261">
        <v>483</v>
      </c>
      <c r="CK530" s="261">
        <v>505</v>
      </c>
      <c r="CL530" s="261">
        <v>471</v>
      </c>
      <c r="CM530" s="261">
        <v>397</v>
      </c>
      <c r="CN530" s="261">
        <v>386</v>
      </c>
      <c r="CO530" s="261">
        <v>331</v>
      </c>
      <c r="CP530" s="261">
        <v>307</v>
      </c>
      <c r="CQ530" s="261">
        <v>298</v>
      </c>
      <c r="CR530" s="261">
        <v>276</v>
      </c>
      <c r="CS530" s="261">
        <v>223</v>
      </c>
      <c r="CT530" s="261">
        <v>200</v>
      </c>
      <c r="CU530" s="261">
        <v>175</v>
      </c>
      <c r="CV530" s="261">
        <v>155</v>
      </c>
      <c r="CW530" s="261">
        <v>126</v>
      </c>
      <c r="CX530" s="261">
        <v>114</v>
      </c>
      <c r="CY530" s="261">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 x14ac:dyDescent="0.2">
      <c r="A531" s="50" t="s">
        <v>49</v>
      </c>
      <c r="B531" s="2" t="s">
        <v>558</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61">
        <v>704</v>
      </c>
      <c r="N531" s="261">
        <v>775</v>
      </c>
      <c r="O531" s="261">
        <v>820</v>
      </c>
      <c r="P531" s="261">
        <v>871</v>
      </c>
      <c r="Q531" s="261">
        <v>889</v>
      </c>
      <c r="R531" s="261">
        <v>886</v>
      </c>
      <c r="S531" s="261">
        <v>928</v>
      </c>
      <c r="T531" s="261">
        <v>917</v>
      </c>
      <c r="U531" s="261">
        <v>997</v>
      </c>
      <c r="V531" s="261">
        <v>969</v>
      </c>
      <c r="W531" s="261">
        <v>1046</v>
      </c>
      <c r="X531" s="261">
        <v>977</v>
      </c>
      <c r="Y531" s="261">
        <v>1054</v>
      </c>
      <c r="Z531" s="261">
        <v>991</v>
      </c>
      <c r="AA531" s="261">
        <v>903</v>
      </c>
      <c r="AB531" s="261">
        <v>947</v>
      </c>
      <c r="AC531" s="261">
        <v>901</v>
      </c>
      <c r="AD531" s="261">
        <v>827</v>
      </c>
      <c r="AE531" s="261">
        <v>816</v>
      </c>
      <c r="AF531" s="261">
        <v>844</v>
      </c>
      <c r="AG531" s="261">
        <v>772</v>
      </c>
      <c r="AH531" s="261">
        <v>876</v>
      </c>
      <c r="AI531" s="261">
        <v>839</v>
      </c>
      <c r="AJ531" s="261">
        <v>892</v>
      </c>
      <c r="AK531" s="261">
        <v>893</v>
      </c>
      <c r="AL531" s="261">
        <v>873</v>
      </c>
      <c r="AM531" s="261">
        <v>976</v>
      </c>
      <c r="AN531" s="261">
        <v>885</v>
      </c>
      <c r="AO531" s="261">
        <v>1032</v>
      </c>
      <c r="AP531" s="261">
        <v>978</v>
      </c>
      <c r="AQ531" s="261">
        <v>976</v>
      </c>
      <c r="AR531" s="261">
        <v>992</v>
      </c>
      <c r="AS531" s="261">
        <v>1066</v>
      </c>
      <c r="AT531" s="261">
        <v>984</v>
      </c>
      <c r="AU531" s="261">
        <v>935</v>
      </c>
      <c r="AV531" s="261">
        <v>942</v>
      </c>
      <c r="AW531" s="261">
        <v>893</v>
      </c>
      <c r="AX531" s="261">
        <v>908</v>
      </c>
      <c r="AY531" s="261">
        <v>896</v>
      </c>
      <c r="AZ531" s="261">
        <v>936</v>
      </c>
      <c r="BA531" s="261">
        <v>856</v>
      </c>
      <c r="BB531" s="261">
        <v>832</v>
      </c>
      <c r="BC531" s="261">
        <v>868</v>
      </c>
      <c r="BD531" s="261">
        <v>773</v>
      </c>
      <c r="BE531" s="261">
        <v>829</v>
      </c>
      <c r="BF531" s="261">
        <v>862</v>
      </c>
      <c r="BG531" s="261">
        <v>907</v>
      </c>
      <c r="BH531" s="261">
        <v>959</v>
      </c>
      <c r="BI531" s="261">
        <v>1155</v>
      </c>
      <c r="BJ531" s="261">
        <v>1148</v>
      </c>
      <c r="BK531" s="261">
        <v>1095</v>
      </c>
      <c r="BL531" s="261">
        <v>1158</v>
      </c>
      <c r="BM531" s="261">
        <v>1150</v>
      </c>
      <c r="BN531" s="261">
        <v>1089</v>
      </c>
      <c r="BO531" s="261">
        <v>1116</v>
      </c>
      <c r="BP531" s="261">
        <v>1146</v>
      </c>
      <c r="BQ531" s="261">
        <v>1181</v>
      </c>
      <c r="BR531" s="261">
        <v>1045</v>
      </c>
      <c r="BS531" s="261">
        <v>1097</v>
      </c>
      <c r="BT531" s="261">
        <v>1068</v>
      </c>
      <c r="BU531" s="261">
        <v>996</v>
      </c>
      <c r="BV531" s="261">
        <v>1037</v>
      </c>
      <c r="BW531" s="261">
        <v>939</v>
      </c>
      <c r="BX531" s="261">
        <v>891</v>
      </c>
      <c r="BY531" s="261">
        <v>898</v>
      </c>
      <c r="BZ531" s="261">
        <v>835</v>
      </c>
      <c r="CA531" s="261">
        <v>829</v>
      </c>
      <c r="CB531" s="261">
        <v>859</v>
      </c>
      <c r="CC531" s="261">
        <v>857</v>
      </c>
      <c r="CD531" s="261">
        <v>897</v>
      </c>
      <c r="CE531" s="261">
        <v>869</v>
      </c>
      <c r="CF531" s="261">
        <v>949</v>
      </c>
      <c r="CG531" s="261">
        <v>972</v>
      </c>
      <c r="CH531" s="261">
        <v>1054</v>
      </c>
      <c r="CI531" s="261">
        <v>707</v>
      </c>
      <c r="CJ531" s="261">
        <v>694</v>
      </c>
      <c r="CK531" s="261">
        <v>749</v>
      </c>
      <c r="CL531" s="261">
        <v>658</v>
      </c>
      <c r="CM531" s="261">
        <v>548</v>
      </c>
      <c r="CN531" s="261">
        <v>485</v>
      </c>
      <c r="CO531" s="261">
        <v>493</v>
      </c>
      <c r="CP531" s="261">
        <v>447</v>
      </c>
      <c r="CQ531" s="261">
        <v>413</v>
      </c>
      <c r="CR531" s="261">
        <v>350</v>
      </c>
      <c r="CS531" s="261">
        <v>302</v>
      </c>
      <c r="CT531" s="261">
        <v>273</v>
      </c>
      <c r="CU531" s="261">
        <v>229</v>
      </c>
      <c r="CV531" s="261">
        <v>200</v>
      </c>
      <c r="CW531" s="261">
        <v>196</v>
      </c>
      <c r="CX531" s="261">
        <v>160</v>
      </c>
      <c r="CY531" s="261">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 x14ac:dyDescent="0.2">
      <c r="A532" s="50" t="s">
        <v>49</v>
      </c>
      <c r="B532" s="2" t="s">
        <v>559</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61">
        <v>547</v>
      </c>
      <c r="N532" s="261">
        <v>548</v>
      </c>
      <c r="O532" s="261">
        <v>606</v>
      </c>
      <c r="P532" s="261">
        <v>567</v>
      </c>
      <c r="Q532" s="261">
        <v>639</v>
      </c>
      <c r="R532" s="261">
        <v>628</v>
      </c>
      <c r="S532" s="261">
        <v>714</v>
      </c>
      <c r="T532" s="261">
        <v>650</v>
      </c>
      <c r="U532" s="261">
        <v>677</v>
      </c>
      <c r="V532" s="261">
        <v>696</v>
      </c>
      <c r="W532" s="261">
        <v>750</v>
      </c>
      <c r="X532" s="261">
        <v>724</v>
      </c>
      <c r="Y532" s="261">
        <v>688</v>
      </c>
      <c r="Z532" s="261">
        <v>725</v>
      </c>
      <c r="AA532" s="261">
        <v>737</v>
      </c>
      <c r="AB532" s="261">
        <v>653</v>
      </c>
      <c r="AC532" s="261">
        <v>663</v>
      </c>
      <c r="AD532" s="261">
        <v>672</v>
      </c>
      <c r="AE532" s="261">
        <v>716</v>
      </c>
      <c r="AF532" s="261">
        <v>930</v>
      </c>
      <c r="AG532" s="261">
        <v>1050</v>
      </c>
      <c r="AH532" s="261">
        <v>1094</v>
      </c>
      <c r="AI532" s="261">
        <v>1094</v>
      </c>
      <c r="AJ532" s="261">
        <v>990</v>
      </c>
      <c r="AK532" s="261">
        <v>992</v>
      </c>
      <c r="AL532" s="261">
        <v>952</v>
      </c>
      <c r="AM532" s="261">
        <v>1065</v>
      </c>
      <c r="AN532" s="261">
        <v>951</v>
      </c>
      <c r="AO532" s="261">
        <v>789</v>
      </c>
      <c r="AP532" s="261">
        <v>863</v>
      </c>
      <c r="AQ532" s="261">
        <v>834</v>
      </c>
      <c r="AR532" s="261">
        <v>780</v>
      </c>
      <c r="AS532" s="261">
        <v>726</v>
      </c>
      <c r="AT532" s="261">
        <v>685</v>
      </c>
      <c r="AU532" s="261">
        <v>640</v>
      </c>
      <c r="AV532" s="261">
        <v>676</v>
      </c>
      <c r="AW532" s="261">
        <v>608</v>
      </c>
      <c r="AX532" s="261">
        <v>610</v>
      </c>
      <c r="AY532" s="261">
        <v>650</v>
      </c>
      <c r="AZ532" s="261">
        <v>664</v>
      </c>
      <c r="BA532" s="261">
        <v>649</v>
      </c>
      <c r="BB532" s="261">
        <v>607</v>
      </c>
      <c r="BC532" s="261">
        <v>573</v>
      </c>
      <c r="BD532" s="261">
        <v>559</v>
      </c>
      <c r="BE532" s="261">
        <v>552</v>
      </c>
      <c r="BF532" s="261">
        <v>609</v>
      </c>
      <c r="BG532" s="261">
        <v>637</v>
      </c>
      <c r="BH532" s="261">
        <v>720</v>
      </c>
      <c r="BI532" s="261">
        <v>728</v>
      </c>
      <c r="BJ532" s="261">
        <v>800</v>
      </c>
      <c r="BK532" s="261">
        <v>747</v>
      </c>
      <c r="BL532" s="261">
        <v>718</v>
      </c>
      <c r="BM532" s="261">
        <v>798</v>
      </c>
      <c r="BN532" s="261">
        <v>772</v>
      </c>
      <c r="BO532" s="261">
        <v>815</v>
      </c>
      <c r="BP532" s="261">
        <v>843</v>
      </c>
      <c r="BQ532" s="261">
        <v>845</v>
      </c>
      <c r="BR532" s="261">
        <v>891</v>
      </c>
      <c r="BS532" s="261">
        <v>848</v>
      </c>
      <c r="BT532" s="261">
        <v>849</v>
      </c>
      <c r="BU532" s="261">
        <v>756</v>
      </c>
      <c r="BV532" s="261">
        <v>771</v>
      </c>
      <c r="BW532" s="261">
        <v>853</v>
      </c>
      <c r="BX532" s="261">
        <v>795</v>
      </c>
      <c r="BY532" s="261">
        <v>727</v>
      </c>
      <c r="BZ532" s="261">
        <v>732</v>
      </c>
      <c r="CA532" s="261">
        <v>728</v>
      </c>
      <c r="CB532" s="261">
        <v>736</v>
      </c>
      <c r="CC532" s="261">
        <v>694</v>
      </c>
      <c r="CD532" s="261">
        <v>717</v>
      </c>
      <c r="CE532" s="261">
        <v>732</v>
      </c>
      <c r="CF532" s="261">
        <v>816</v>
      </c>
      <c r="CG532" s="261">
        <v>823</v>
      </c>
      <c r="CH532" s="261">
        <v>836</v>
      </c>
      <c r="CI532" s="261">
        <v>682</v>
      </c>
      <c r="CJ532" s="261">
        <v>609</v>
      </c>
      <c r="CK532" s="261">
        <v>586</v>
      </c>
      <c r="CL532" s="261">
        <v>600</v>
      </c>
      <c r="CM532" s="261">
        <v>498</v>
      </c>
      <c r="CN532" s="261">
        <v>380</v>
      </c>
      <c r="CO532" s="261">
        <v>400</v>
      </c>
      <c r="CP532" s="261">
        <v>397</v>
      </c>
      <c r="CQ532" s="261">
        <v>367</v>
      </c>
      <c r="CR532" s="261">
        <v>332</v>
      </c>
      <c r="CS532" s="261">
        <v>272</v>
      </c>
      <c r="CT532" s="261">
        <v>258</v>
      </c>
      <c r="CU532" s="261">
        <v>237</v>
      </c>
      <c r="CV532" s="261">
        <v>197</v>
      </c>
      <c r="CW532" s="261">
        <v>155</v>
      </c>
      <c r="CX532" s="261">
        <v>167</v>
      </c>
      <c r="CY532" s="261">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 x14ac:dyDescent="0.2">
      <c r="A533" s="50" t="s">
        <v>49</v>
      </c>
      <c r="B533" s="2" t="s">
        <v>560</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61">
        <v>308</v>
      </c>
      <c r="N533" s="261">
        <v>307</v>
      </c>
      <c r="O533" s="261">
        <v>343</v>
      </c>
      <c r="P533" s="261">
        <v>381</v>
      </c>
      <c r="Q533" s="261">
        <v>362</v>
      </c>
      <c r="R533" s="261">
        <v>339</v>
      </c>
      <c r="S533" s="261">
        <v>415</v>
      </c>
      <c r="T533" s="261">
        <v>431</v>
      </c>
      <c r="U533" s="261">
        <v>408</v>
      </c>
      <c r="V533" s="261">
        <v>435</v>
      </c>
      <c r="W533" s="261">
        <v>411</v>
      </c>
      <c r="X533" s="261">
        <v>438</v>
      </c>
      <c r="Y533" s="261">
        <v>414</v>
      </c>
      <c r="Z533" s="261">
        <v>387</v>
      </c>
      <c r="AA533" s="261">
        <v>402</v>
      </c>
      <c r="AB533" s="261">
        <v>344</v>
      </c>
      <c r="AC533" s="261">
        <v>344</v>
      </c>
      <c r="AD533" s="261">
        <v>358</v>
      </c>
      <c r="AE533" s="261">
        <v>322</v>
      </c>
      <c r="AF533" s="261">
        <v>321</v>
      </c>
      <c r="AG533" s="261">
        <v>307</v>
      </c>
      <c r="AH533" s="261">
        <v>339</v>
      </c>
      <c r="AI533" s="261">
        <v>325</v>
      </c>
      <c r="AJ533" s="261">
        <v>372</v>
      </c>
      <c r="AK533" s="261">
        <v>404</v>
      </c>
      <c r="AL533" s="261">
        <v>345</v>
      </c>
      <c r="AM533" s="261">
        <v>412</v>
      </c>
      <c r="AN533" s="261">
        <v>361</v>
      </c>
      <c r="AO533" s="261">
        <v>365</v>
      </c>
      <c r="AP533" s="261">
        <v>437</v>
      </c>
      <c r="AQ533" s="261">
        <v>417</v>
      </c>
      <c r="AR533" s="261">
        <v>361</v>
      </c>
      <c r="AS533" s="261">
        <v>361</v>
      </c>
      <c r="AT533" s="261">
        <v>429</v>
      </c>
      <c r="AU533" s="261">
        <v>316</v>
      </c>
      <c r="AV533" s="261">
        <v>298</v>
      </c>
      <c r="AW533" s="261">
        <v>362</v>
      </c>
      <c r="AX533" s="261">
        <v>333</v>
      </c>
      <c r="AY533" s="261">
        <v>355</v>
      </c>
      <c r="AZ533" s="261">
        <v>392</v>
      </c>
      <c r="BA533" s="261">
        <v>364</v>
      </c>
      <c r="BB533" s="261">
        <v>380</v>
      </c>
      <c r="BC533" s="261">
        <v>356</v>
      </c>
      <c r="BD533" s="261">
        <v>324</v>
      </c>
      <c r="BE533" s="261">
        <v>318</v>
      </c>
      <c r="BF533" s="261">
        <v>379</v>
      </c>
      <c r="BG533" s="261">
        <v>379</v>
      </c>
      <c r="BH533" s="261">
        <v>445</v>
      </c>
      <c r="BI533" s="261">
        <v>416</v>
      </c>
      <c r="BJ533" s="261">
        <v>502</v>
      </c>
      <c r="BK533" s="261">
        <v>435</v>
      </c>
      <c r="BL533" s="261">
        <v>451</v>
      </c>
      <c r="BM533" s="261">
        <v>449</v>
      </c>
      <c r="BN533" s="261">
        <v>512</v>
      </c>
      <c r="BO533" s="261">
        <v>492</v>
      </c>
      <c r="BP533" s="261">
        <v>505</v>
      </c>
      <c r="BQ533" s="261">
        <v>473</v>
      </c>
      <c r="BR533" s="261">
        <v>533</v>
      </c>
      <c r="BS533" s="261">
        <v>482</v>
      </c>
      <c r="BT533" s="261">
        <v>516</v>
      </c>
      <c r="BU533" s="261">
        <v>513</v>
      </c>
      <c r="BV533" s="261">
        <v>540</v>
      </c>
      <c r="BW533" s="261">
        <v>517</v>
      </c>
      <c r="BX533" s="261">
        <v>482</v>
      </c>
      <c r="BY533" s="261">
        <v>508</v>
      </c>
      <c r="BZ533" s="261">
        <v>480</v>
      </c>
      <c r="CA533" s="261">
        <v>503</v>
      </c>
      <c r="CB533" s="261">
        <v>480</v>
      </c>
      <c r="CC533" s="261">
        <v>469</v>
      </c>
      <c r="CD533" s="261">
        <v>455</v>
      </c>
      <c r="CE533" s="261">
        <v>509</v>
      </c>
      <c r="CF533" s="261">
        <v>537</v>
      </c>
      <c r="CG533" s="261">
        <v>541</v>
      </c>
      <c r="CH533" s="261">
        <v>510</v>
      </c>
      <c r="CI533" s="261">
        <v>395</v>
      </c>
      <c r="CJ533" s="261">
        <v>426</v>
      </c>
      <c r="CK533" s="261">
        <v>420</v>
      </c>
      <c r="CL533" s="261">
        <v>377</v>
      </c>
      <c r="CM533" s="261">
        <v>300</v>
      </c>
      <c r="CN533" s="261">
        <v>275</v>
      </c>
      <c r="CO533" s="261">
        <v>273</v>
      </c>
      <c r="CP533" s="261">
        <v>283</v>
      </c>
      <c r="CQ533" s="261">
        <v>250</v>
      </c>
      <c r="CR533" s="261">
        <v>219</v>
      </c>
      <c r="CS533" s="261">
        <v>195</v>
      </c>
      <c r="CT533" s="261">
        <v>150</v>
      </c>
      <c r="CU533" s="261">
        <v>97</v>
      </c>
      <c r="CV533" s="261">
        <v>112</v>
      </c>
      <c r="CW533" s="261">
        <v>109</v>
      </c>
      <c r="CX533" s="261">
        <v>86</v>
      </c>
      <c r="CY533" s="261">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 x14ac:dyDescent="0.2">
      <c r="A534" s="50" t="s">
        <v>49</v>
      </c>
      <c r="B534" s="2" t="s">
        <v>561</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61">
        <v>333</v>
      </c>
      <c r="N534" s="261">
        <v>328</v>
      </c>
      <c r="O534" s="261">
        <v>376</v>
      </c>
      <c r="P534" s="261">
        <v>367</v>
      </c>
      <c r="Q534" s="261">
        <v>371</v>
      </c>
      <c r="R534" s="261">
        <v>415</v>
      </c>
      <c r="S534" s="261">
        <v>370</v>
      </c>
      <c r="T534" s="261">
        <v>378</v>
      </c>
      <c r="U534" s="261">
        <v>384</v>
      </c>
      <c r="V534" s="261">
        <v>421</v>
      </c>
      <c r="W534" s="261">
        <v>368</v>
      </c>
      <c r="X534" s="261">
        <v>367</v>
      </c>
      <c r="Y534" s="261">
        <v>403</v>
      </c>
      <c r="Z534" s="261">
        <v>392</v>
      </c>
      <c r="AA534" s="261">
        <v>362</v>
      </c>
      <c r="AB534" s="261">
        <v>317</v>
      </c>
      <c r="AC534" s="261">
        <v>322</v>
      </c>
      <c r="AD534" s="261">
        <v>340</v>
      </c>
      <c r="AE534" s="261">
        <v>353</v>
      </c>
      <c r="AF534" s="261">
        <v>323</v>
      </c>
      <c r="AG534" s="261">
        <v>338</v>
      </c>
      <c r="AH534" s="261">
        <v>356</v>
      </c>
      <c r="AI534" s="261">
        <v>285</v>
      </c>
      <c r="AJ534" s="261">
        <v>369</v>
      </c>
      <c r="AK534" s="261">
        <v>369</v>
      </c>
      <c r="AL534" s="261">
        <v>387</v>
      </c>
      <c r="AM534" s="261">
        <v>424</v>
      </c>
      <c r="AN534" s="261">
        <v>414</v>
      </c>
      <c r="AO534" s="261">
        <v>395</v>
      </c>
      <c r="AP534" s="261">
        <v>396</v>
      </c>
      <c r="AQ534" s="261">
        <v>470</v>
      </c>
      <c r="AR534" s="261">
        <v>409</v>
      </c>
      <c r="AS534" s="261">
        <v>413</v>
      </c>
      <c r="AT534" s="261">
        <v>397</v>
      </c>
      <c r="AU534" s="261">
        <v>387</v>
      </c>
      <c r="AV534" s="261">
        <v>397</v>
      </c>
      <c r="AW534" s="261">
        <v>429</v>
      </c>
      <c r="AX534" s="261">
        <v>338</v>
      </c>
      <c r="AY534" s="261">
        <v>381</v>
      </c>
      <c r="AZ534" s="261">
        <v>394</v>
      </c>
      <c r="BA534" s="261">
        <v>375</v>
      </c>
      <c r="BB534" s="261">
        <v>336</v>
      </c>
      <c r="BC534" s="261">
        <v>317</v>
      </c>
      <c r="BD534" s="261">
        <v>316</v>
      </c>
      <c r="BE534" s="261">
        <v>300</v>
      </c>
      <c r="BF534" s="261">
        <v>313</v>
      </c>
      <c r="BG534" s="261">
        <v>298</v>
      </c>
      <c r="BH534" s="261">
        <v>325</v>
      </c>
      <c r="BI534" s="261">
        <v>384</v>
      </c>
      <c r="BJ534" s="261">
        <v>402</v>
      </c>
      <c r="BK534" s="261">
        <v>358</v>
      </c>
      <c r="BL534" s="261">
        <v>397</v>
      </c>
      <c r="BM534" s="261">
        <v>428</v>
      </c>
      <c r="BN534" s="261">
        <v>418</v>
      </c>
      <c r="BO534" s="261">
        <v>447</v>
      </c>
      <c r="BP534" s="261">
        <v>389</v>
      </c>
      <c r="BQ534" s="261">
        <v>410</v>
      </c>
      <c r="BR534" s="261">
        <v>387</v>
      </c>
      <c r="BS534" s="261">
        <v>418</v>
      </c>
      <c r="BT534" s="261">
        <v>396</v>
      </c>
      <c r="BU534" s="261">
        <v>423</v>
      </c>
      <c r="BV534" s="261">
        <v>397</v>
      </c>
      <c r="BW534" s="261">
        <v>400</v>
      </c>
      <c r="BX534" s="261">
        <v>342</v>
      </c>
      <c r="BY534" s="261">
        <v>310</v>
      </c>
      <c r="BZ534" s="261">
        <v>315</v>
      </c>
      <c r="CA534" s="261">
        <v>350</v>
      </c>
      <c r="CB534" s="261">
        <v>317</v>
      </c>
      <c r="CC534" s="261">
        <v>314</v>
      </c>
      <c r="CD534" s="261">
        <v>301</v>
      </c>
      <c r="CE534" s="261">
        <v>292</v>
      </c>
      <c r="CF534" s="261">
        <v>327</v>
      </c>
      <c r="CG534" s="261">
        <v>315</v>
      </c>
      <c r="CH534" s="261">
        <v>304</v>
      </c>
      <c r="CI534" s="261">
        <v>234</v>
      </c>
      <c r="CJ534" s="261">
        <v>253</v>
      </c>
      <c r="CK534" s="261">
        <v>246</v>
      </c>
      <c r="CL534" s="261">
        <v>204</v>
      </c>
      <c r="CM534" s="261">
        <v>187</v>
      </c>
      <c r="CN534" s="261">
        <v>165</v>
      </c>
      <c r="CO534" s="261">
        <v>162</v>
      </c>
      <c r="CP534" s="261">
        <v>167</v>
      </c>
      <c r="CQ534" s="261">
        <v>137</v>
      </c>
      <c r="CR534" s="261">
        <v>121</v>
      </c>
      <c r="CS534" s="261">
        <v>137</v>
      </c>
      <c r="CT534" s="261">
        <v>97</v>
      </c>
      <c r="CU534" s="261">
        <v>63</v>
      </c>
      <c r="CV534" s="261">
        <v>55</v>
      </c>
      <c r="CW534" s="261">
        <v>60</v>
      </c>
      <c r="CX534" s="261">
        <v>44</v>
      </c>
      <c r="CY534" s="261">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 x14ac:dyDescent="0.2">
      <c r="A535" s="50" t="s">
        <v>49</v>
      </c>
      <c r="B535" s="2" t="s">
        <v>562</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61">
        <v>380</v>
      </c>
      <c r="N535" s="261">
        <v>361</v>
      </c>
      <c r="O535" s="261">
        <v>426</v>
      </c>
      <c r="P535" s="261">
        <v>482</v>
      </c>
      <c r="Q535" s="261">
        <v>480</v>
      </c>
      <c r="R535" s="261">
        <v>502</v>
      </c>
      <c r="S535" s="261">
        <v>473</v>
      </c>
      <c r="T535" s="261">
        <v>519</v>
      </c>
      <c r="U535" s="261">
        <v>515</v>
      </c>
      <c r="V535" s="261">
        <v>522</v>
      </c>
      <c r="W535" s="261">
        <v>503</v>
      </c>
      <c r="X535" s="261">
        <v>558</v>
      </c>
      <c r="Y535" s="261">
        <v>533</v>
      </c>
      <c r="Z535" s="261">
        <v>587</v>
      </c>
      <c r="AA535" s="261">
        <v>515</v>
      </c>
      <c r="AB535" s="261">
        <v>555</v>
      </c>
      <c r="AC535" s="261">
        <v>561</v>
      </c>
      <c r="AD535" s="261">
        <v>538</v>
      </c>
      <c r="AE535" s="261">
        <v>494</v>
      </c>
      <c r="AF535" s="261">
        <v>439</v>
      </c>
      <c r="AG535" s="261">
        <v>355</v>
      </c>
      <c r="AH535" s="261">
        <v>404</v>
      </c>
      <c r="AI535" s="261">
        <v>462</v>
      </c>
      <c r="AJ535" s="261">
        <v>516</v>
      </c>
      <c r="AK535" s="261">
        <v>526</v>
      </c>
      <c r="AL535" s="261">
        <v>574</v>
      </c>
      <c r="AM535" s="261">
        <v>586</v>
      </c>
      <c r="AN535" s="261">
        <v>465</v>
      </c>
      <c r="AO535" s="261">
        <v>471</v>
      </c>
      <c r="AP535" s="261">
        <v>600</v>
      </c>
      <c r="AQ535" s="261">
        <v>475</v>
      </c>
      <c r="AR535" s="261">
        <v>486</v>
      </c>
      <c r="AS535" s="261">
        <v>473</v>
      </c>
      <c r="AT535" s="261">
        <v>468</v>
      </c>
      <c r="AU535" s="261">
        <v>441</v>
      </c>
      <c r="AV535" s="261">
        <v>435</v>
      </c>
      <c r="AW535" s="261">
        <v>463</v>
      </c>
      <c r="AX535" s="261">
        <v>458</v>
      </c>
      <c r="AY535" s="261">
        <v>440</v>
      </c>
      <c r="AZ535" s="261">
        <v>454</v>
      </c>
      <c r="BA535" s="261">
        <v>458</v>
      </c>
      <c r="BB535" s="261">
        <v>500</v>
      </c>
      <c r="BC535" s="261">
        <v>415</v>
      </c>
      <c r="BD535" s="261">
        <v>482</v>
      </c>
      <c r="BE535" s="261">
        <v>430</v>
      </c>
      <c r="BF535" s="261">
        <v>493</v>
      </c>
      <c r="BG535" s="261">
        <v>520</v>
      </c>
      <c r="BH535" s="261">
        <v>583</v>
      </c>
      <c r="BI535" s="261">
        <v>617</v>
      </c>
      <c r="BJ535" s="261">
        <v>686</v>
      </c>
      <c r="BK535" s="261">
        <v>660</v>
      </c>
      <c r="BL535" s="261">
        <v>709</v>
      </c>
      <c r="BM535" s="261">
        <v>751</v>
      </c>
      <c r="BN535" s="261">
        <v>769</v>
      </c>
      <c r="BO535" s="261">
        <v>807</v>
      </c>
      <c r="BP535" s="261">
        <v>819</v>
      </c>
      <c r="BQ535" s="261">
        <v>782</v>
      </c>
      <c r="BR535" s="261">
        <v>760</v>
      </c>
      <c r="BS535" s="261">
        <v>803</v>
      </c>
      <c r="BT535" s="261">
        <v>695</v>
      </c>
      <c r="BU535" s="261">
        <v>695</v>
      </c>
      <c r="BV535" s="261">
        <v>657</v>
      </c>
      <c r="BW535" s="261">
        <v>681</v>
      </c>
      <c r="BX535" s="261">
        <v>634</v>
      </c>
      <c r="BY535" s="261">
        <v>579</v>
      </c>
      <c r="BZ535" s="261">
        <v>618</v>
      </c>
      <c r="CA535" s="261">
        <v>596</v>
      </c>
      <c r="CB535" s="261">
        <v>574</v>
      </c>
      <c r="CC535" s="261">
        <v>620</v>
      </c>
      <c r="CD535" s="261">
        <v>656</v>
      </c>
      <c r="CE535" s="261">
        <v>644</v>
      </c>
      <c r="CF535" s="261">
        <v>643</v>
      </c>
      <c r="CG535" s="261">
        <v>664</v>
      </c>
      <c r="CH535" s="261">
        <v>713</v>
      </c>
      <c r="CI535" s="261">
        <v>545</v>
      </c>
      <c r="CJ535" s="261">
        <v>538</v>
      </c>
      <c r="CK535" s="261">
        <v>539</v>
      </c>
      <c r="CL535" s="261">
        <v>496</v>
      </c>
      <c r="CM535" s="261">
        <v>403</v>
      </c>
      <c r="CN535" s="261">
        <v>361</v>
      </c>
      <c r="CO535" s="261">
        <v>373</v>
      </c>
      <c r="CP535" s="261">
        <v>311</v>
      </c>
      <c r="CQ535" s="261">
        <v>299</v>
      </c>
      <c r="CR535" s="261">
        <v>285</v>
      </c>
      <c r="CS535" s="261">
        <v>244</v>
      </c>
      <c r="CT535" s="261">
        <v>209</v>
      </c>
      <c r="CU535" s="261">
        <v>219</v>
      </c>
      <c r="CV535" s="261">
        <v>200</v>
      </c>
      <c r="CW535" s="261">
        <v>159</v>
      </c>
      <c r="CX535" s="261">
        <v>123</v>
      </c>
      <c r="CY535" s="261">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 x14ac:dyDescent="0.2">
      <c r="A536" s="50" t="s">
        <v>49</v>
      </c>
      <c r="B536" s="2" t="s">
        <v>563</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61">
        <v>642</v>
      </c>
      <c r="N536" s="261">
        <v>705</v>
      </c>
      <c r="O536" s="261">
        <v>764</v>
      </c>
      <c r="P536" s="261">
        <v>748</v>
      </c>
      <c r="Q536" s="261">
        <v>797</v>
      </c>
      <c r="R536" s="261">
        <v>792</v>
      </c>
      <c r="S536" s="261">
        <v>812</v>
      </c>
      <c r="T536" s="261">
        <v>803</v>
      </c>
      <c r="U536" s="261">
        <v>892</v>
      </c>
      <c r="V536" s="261">
        <v>870</v>
      </c>
      <c r="W536" s="261">
        <v>811</v>
      </c>
      <c r="X536" s="261">
        <v>873</v>
      </c>
      <c r="Y536" s="261">
        <v>842</v>
      </c>
      <c r="Z536" s="261">
        <v>793</v>
      </c>
      <c r="AA536" s="261">
        <v>843</v>
      </c>
      <c r="AB536" s="261">
        <v>813</v>
      </c>
      <c r="AC536" s="261">
        <v>761</v>
      </c>
      <c r="AD536" s="261">
        <v>737</v>
      </c>
      <c r="AE536" s="261">
        <v>864</v>
      </c>
      <c r="AF536" s="261">
        <v>1357</v>
      </c>
      <c r="AG536" s="261">
        <v>1095</v>
      </c>
      <c r="AH536" s="261">
        <v>983</v>
      </c>
      <c r="AI536" s="261">
        <v>914</v>
      </c>
      <c r="AJ536" s="261">
        <v>548</v>
      </c>
      <c r="AK536" s="261">
        <v>725</v>
      </c>
      <c r="AL536" s="261">
        <v>839</v>
      </c>
      <c r="AM536" s="261">
        <v>900</v>
      </c>
      <c r="AN536" s="261">
        <v>887</v>
      </c>
      <c r="AO536" s="261">
        <v>809</v>
      </c>
      <c r="AP536" s="261">
        <v>882</v>
      </c>
      <c r="AQ536" s="261">
        <v>937</v>
      </c>
      <c r="AR536" s="261">
        <v>781</v>
      </c>
      <c r="AS536" s="261">
        <v>839</v>
      </c>
      <c r="AT536" s="261">
        <v>873</v>
      </c>
      <c r="AU536" s="261">
        <v>974</v>
      </c>
      <c r="AV536" s="261">
        <v>955</v>
      </c>
      <c r="AW536" s="261">
        <v>887</v>
      </c>
      <c r="AX536" s="261">
        <v>929</v>
      </c>
      <c r="AY536" s="261">
        <v>882</v>
      </c>
      <c r="AZ536" s="261">
        <v>926</v>
      </c>
      <c r="BA536" s="261">
        <v>949</v>
      </c>
      <c r="BB536" s="261">
        <v>904</v>
      </c>
      <c r="BC536" s="261">
        <v>890</v>
      </c>
      <c r="BD536" s="261">
        <v>807</v>
      </c>
      <c r="BE536" s="261">
        <v>779</v>
      </c>
      <c r="BF536" s="261">
        <v>816</v>
      </c>
      <c r="BG536" s="261">
        <v>812</v>
      </c>
      <c r="BH536" s="261">
        <v>869</v>
      </c>
      <c r="BI536" s="261">
        <v>891</v>
      </c>
      <c r="BJ536" s="261">
        <v>1006</v>
      </c>
      <c r="BK536" s="261">
        <v>948</v>
      </c>
      <c r="BL536" s="261">
        <v>963</v>
      </c>
      <c r="BM536" s="261">
        <v>1024</v>
      </c>
      <c r="BN536" s="261">
        <v>964</v>
      </c>
      <c r="BO536" s="261">
        <v>989</v>
      </c>
      <c r="BP536" s="261">
        <v>1011</v>
      </c>
      <c r="BQ536" s="261">
        <v>1033</v>
      </c>
      <c r="BR536" s="261">
        <v>1013</v>
      </c>
      <c r="BS536" s="261">
        <v>997</v>
      </c>
      <c r="BT536" s="261">
        <v>939</v>
      </c>
      <c r="BU536" s="261">
        <v>926</v>
      </c>
      <c r="BV536" s="261">
        <v>929</v>
      </c>
      <c r="BW536" s="261">
        <v>1023</v>
      </c>
      <c r="BX536" s="261">
        <v>917</v>
      </c>
      <c r="BY536" s="261">
        <v>881</v>
      </c>
      <c r="BZ536" s="261">
        <v>831</v>
      </c>
      <c r="CA536" s="261">
        <v>850</v>
      </c>
      <c r="CB536" s="261">
        <v>888</v>
      </c>
      <c r="CC536" s="261">
        <v>824</v>
      </c>
      <c r="CD536" s="261">
        <v>793</v>
      </c>
      <c r="CE536" s="261">
        <v>807</v>
      </c>
      <c r="CF536" s="261">
        <v>773</v>
      </c>
      <c r="CG536" s="261">
        <v>861</v>
      </c>
      <c r="CH536" s="261">
        <v>844</v>
      </c>
      <c r="CI536" s="261">
        <v>607</v>
      </c>
      <c r="CJ536" s="261">
        <v>615</v>
      </c>
      <c r="CK536" s="261">
        <v>605</v>
      </c>
      <c r="CL536" s="261">
        <v>583</v>
      </c>
      <c r="CM536" s="261">
        <v>523</v>
      </c>
      <c r="CN536" s="261">
        <v>418</v>
      </c>
      <c r="CO536" s="261">
        <v>427</v>
      </c>
      <c r="CP536" s="261">
        <v>386</v>
      </c>
      <c r="CQ536" s="261">
        <v>361</v>
      </c>
      <c r="CR536" s="261">
        <v>318</v>
      </c>
      <c r="CS536" s="261">
        <v>280</v>
      </c>
      <c r="CT536" s="261">
        <v>244</v>
      </c>
      <c r="CU536" s="261">
        <v>227</v>
      </c>
      <c r="CV536" s="261">
        <v>181</v>
      </c>
      <c r="CW536" s="261">
        <v>122</v>
      </c>
      <c r="CX536" s="261">
        <v>112</v>
      </c>
      <c r="CY536" s="261">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 x14ac:dyDescent="0.2">
      <c r="A537" s="50" t="s">
        <v>49</v>
      </c>
      <c r="B537" s="2" t="s">
        <v>564</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61">
        <v>957</v>
      </c>
      <c r="N537" s="261">
        <v>1012</v>
      </c>
      <c r="O537" s="261">
        <v>1027</v>
      </c>
      <c r="P537" s="261">
        <v>1017</v>
      </c>
      <c r="Q537" s="261">
        <v>1095</v>
      </c>
      <c r="R537" s="261">
        <v>1105</v>
      </c>
      <c r="S537" s="261">
        <v>1048</v>
      </c>
      <c r="T537" s="261">
        <v>1103</v>
      </c>
      <c r="U537" s="261">
        <v>1080</v>
      </c>
      <c r="V537" s="261">
        <v>1070</v>
      </c>
      <c r="W537" s="261">
        <v>1027</v>
      </c>
      <c r="X537" s="261">
        <v>1087</v>
      </c>
      <c r="Y537" s="261">
        <v>1078</v>
      </c>
      <c r="Z537" s="261">
        <v>980</v>
      </c>
      <c r="AA537" s="261">
        <v>929</v>
      </c>
      <c r="AB537" s="261">
        <v>896</v>
      </c>
      <c r="AC537" s="261">
        <v>948</v>
      </c>
      <c r="AD537" s="261">
        <v>905</v>
      </c>
      <c r="AE537" s="261">
        <v>886</v>
      </c>
      <c r="AF537" s="261">
        <v>852</v>
      </c>
      <c r="AG537" s="261">
        <v>879</v>
      </c>
      <c r="AH537" s="261">
        <v>888</v>
      </c>
      <c r="AI537" s="261">
        <v>994</v>
      </c>
      <c r="AJ537" s="261">
        <v>1009</v>
      </c>
      <c r="AK537" s="261">
        <v>1037</v>
      </c>
      <c r="AL537" s="261">
        <v>971</v>
      </c>
      <c r="AM537" s="261">
        <v>1034</v>
      </c>
      <c r="AN537" s="261">
        <v>1108</v>
      </c>
      <c r="AO537" s="261">
        <v>1164</v>
      </c>
      <c r="AP537" s="261">
        <v>1187</v>
      </c>
      <c r="AQ537" s="261">
        <v>1135</v>
      </c>
      <c r="AR537" s="261">
        <v>1096</v>
      </c>
      <c r="AS537" s="261">
        <v>1172</v>
      </c>
      <c r="AT537" s="261">
        <v>1036</v>
      </c>
      <c r="AU537" s="261">
        <v>1082</v>
      </c>
      <c r="AV537" s="261">
        <v>1041</v>
      </c>
      <c r="AW537" s="261">
        <v>1038</v>
      </c>
      <c r="AX537" s="261">
        <v>1008</v>
      </c>
      <c r="AY537" s="261">
        <v>961</v>
      </c>
      <c r="AZ537" s="261">
        <v>1091</v>
      </c>
      <c r="BA537" s="261">
        <v>1028</v>
      </c>
      <c r="BB537" s="261">
        <v>1062</v>
      </c>
      <c r="BC537" s="261">
        <v>928</v>
      </c>
      <c r="BD537" s="261">
        <v>927</v>
      </c>
      <c r="BE537" s="261">
        <v>855</v>
      </c>
      <c r="BF537" s="261">
        <v>877</v>
      </c>
      <c r="BG537" s="261">
        <v>912</v>
      </c>
      <c r="BH537" s="261">
        <v>908</v>
      </c>
      <c r="BI537" s="261">
        <v>991</v>
      </c>
      <c r="BJ537" s="261">
        <v>1059</v>
      </c>
      <c r="BK537" s="261">
        <v>1021</v>
      </c>
      <c r="BL537" s="261">
        <v>1076</v>
      </c>
      <c r="BM537" s="261">
        <v>1031</v>
      </c>
      <c r="BN537" s="261">
        <v>1067</v>
      </c>
      <c r="BO537" s="261">
        <v>1045</v>
      </c>
      <c r="BP537" s="261">
        <v>1010</v>
      </c>
      <c r="BQ537" s="261">
        <v>1054</v>
      </c>
      <c r="BR537" s="261">
        <v>1068</v>
      </c>
      <c r="BS537" s="261">
        <v>920</v>
      </c>
      <c r="BT537" s="261">
        <v>954</v>
      </c>
      <c r="BU537" s="261">
        <v>905</v>
      </c>
      <c r="BV537" s="261">
        <v>950</v>
      </c>
      <c r="BW537" s="261">
        <v>870</v>
      </c>
      <c r="BX537" s="261">
        <v>841</v>
      </c>
      <c r="BY537" s="261">
        <v>697</v>
      </c>
      <c r="BZ537" s="261">
        <v>710</v>
      </c>
      <c r="CA537" s="261">
        <v>683</v>
      </c>
      <c r="CB537" s="261">
        <v>733</v>
      </c>
      <c r="CC537" s="261">
        <v>659</v>
      </c>
      <c r="CD537" s="261">
        <v>624</v>
      </c>
      <c r="CE537" s="261">
        <v>709</v>
      </c>
      <c r="CF537" s="261">
        <v>672</v>
      </c>
      <c r="CG537" s="261">
        <v>736</v>
      </c>
      <c r="CH537" s="261">
        <v>796</v>
      </c>
      <c r="CI537" s="261">
        <v>551</v>
      </c>
      <c r="CJ537" s="261">
        <v>521</v>
      </c>
      <c r="CK537" s="261">
        <v>525</v>
      </c>
      <c r="CL537" s="261">
        <v>514</v>
      </c>
      <c r="CM537" s="261">
        <v>413</v>
      </c>
      <c r="CN537" s="261">
        <v>367</v>
      </c>
      <c r="CO537" s="261">
        <v>388</v>
      </c>
      <c r="CP537" s="261">
        <v>389</v>
      </c>
      <c r="CQ537" s="261">
        <v>331</v>
      </c>
      <c r="CR537" s="261">
        <v>310</v>
      </c>
      <c r="CS537" s="261">
        <v>308</v>
      </c>
      <c r="CT537" s="261">
        <v>231</v>
      </c>
      <c r="CU537" s="261">
        <v>214</v>
      </c>
      <c r="CV537" s="261">
        <v>160</v>
      </c>
      <c r="CW537" s="261">
        <v>110</v>
      </c>
      <c r="CX537" s="261">
        <v>138</v>
      </c>
      <c r="CY537" s="261">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 x14ac:dyDescent="0.2">
      <c r="A538" s="50" t="s">
        <v>49</v>
      </c>
      <c r="B538" s="2" t="s">
        <v>565</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61">
        <v>535</v>
      </c>
      <c r="N538" s="261">
        <v>556</v>
      </c>
      <c r="O538" s="261">
        <v>614</v>
      </c>
      <c r="P538" s="261">
        <v>604</v>
      </c>
      <c r="Q538" s="261">
        <v>635</v>
      </c>
      <c r="R538" s="261">
        <v>668</v>
      </c>
      <c r="S538" s="261">
        <v>659</v>
      </c>
      <c r="T538" s="261">
        <v>709</v>
      </c>
      <c r="U538" s="261">
        <v>719</v>
      </c>
      <c r="V538" s="261">
        <v>746</v>
      </c>
      <c r="W538" s="261">
        <v>767</v>
      </c>
      <c r="X538" s="261">
        <v>726</v>
      </c>
      <c r="Y538" s="261">
        <v>812</v>
      </c>
      <c r="Z538" s="261">
        <v>726</v>
      </c>
      <c r="AA538" s="261">
        <v>793</v>
      </c>
      <c r="AB538" s="261">
        <v>715</v>
      </c>
      <c r="AC538" s="261">
        <v>649</v>
      </c>
      <c r="AD538" s="261">
        <v>630</v>
      </c>
      <c r="AE538" s="261">
        <v>672</v>
      </c>
      <c r="AF538" s="261">
        <v>683</v>
      </c>
      <c r="AG538" s="261">
        <v>615</v>
      </c>
      <c r="AH538" s="261">
        <v>647</v>
      </c>
      <c r="AI538" s="261">
        <v>726</v>
      </c>
      <c r="AJ538" s="261">
        <v>708</v>
      </c>
      <c r="AK538" s="261">
        <v>697</v>
      </c>
      <c r="AL538" s="261">
        <v>637</v>
      </c>
      <c r="AM538" s="261">
        <v>679</v>
      </c>
      <c r="AN538" s="261">
        <v>604</v>
      </c>
      <c r="AO538" s="261">
        <v>741</v>
      </c>
      <c r="AP538" s="261">
        <v>737</v>
      </c>
      <c r="AQ538" s="261">
        <v>710</v>
      </c>
      <c r="AR538" s="261">
        <v>649</v>
      </c>
      <c r="AS538" s="261">
        <v>733</v>
      </c>
      <c r="AT538" s="261">
        <v>718</v>
      </c>
      <c r="AU538" s="261">
        <v>647</v>
      </c>
      <c r="AV538" s="261">
        <v>595</v>
      </c>
      <c r="AW538" s="261">
        <v>597</v>
      </c>
      <c r="AX538" s="261">
        <v>605</v>
      </c>
      <c r="AY538" s="261">
        <v>582</v>
      </c>
      <c r="AZ538" s="261">
        <v>648</v>
      </c>
      <c r="BA538" s="261">
        <v>655</v>
      </c>
      <c r="BB538" s="261">
        <v>611</v>
      </c>
      <c r="BC538" s="261">
        <v>588</v>
      </c>
      <c r="BD538" s="261">
        <v>531</v>
      </c>
      <c r="BE538" s="261">
        <v>518</v>
      </c>
      <c r="BF538" s="261">
        <v>604</v>
      </c>
      <c r="BG538" s="261">
        <v>608</v>
      </c>
      <c r="BH538" s="261">
        <v>646</v>
      </c>
      <c r="BI538" s="261">
        <v>728</v>
      </c>
      <c r="BJ538" s="261">
        <v>772</v>
      </c>
      <c r="BK538" s="261">
        <v>793</v>
      </c>
      <c r="BL538" s="261">
        <v>866</v>
      </c>
      <c r="BM538" s="261">
        <v>882</v>
      </c>
      <c r="BN538" s="261">
        <v>886</v>
      </c>
      <c r="BO538" s="261">
        <v>902</v>
      </c>
      <c r="BP538" s="261">
        <v>954</v>
      </c>
      <c r="BQ538" s="261">
        <v>890</v>
      </c>
      <c r="BR538" s="261">
        <v>1022</v>
      </c>
      <c r="BS538" s="261">
        <v>988</v>
      </c>
      <c r="BT538" s="261">
        <v>891</v>
      </c>
      <c r="BU538" s="261">
        <v>885</v>
      </c>
      <c r="BV538" s="261">
        <v>926</v>
      </c>
      <c r="BW538" s="261">
        <v>880</v>
      </c>
      <c r="BX538" s="261">
        <v>848</v>
      </c>
      <c r="BY538" s="261">
        <v>849</v>
      </c>
      <c r="BZ538" s="261">
        <v>864</v>
      </c>
      <c r="CA538" s="261">
        <v>928</v>
      </c>
      <c r="CB538" s="261">
        <v>901</v>
      </c>
      <c r="CC538" s="261">
        <v>819</v>
      </c>
      <c r="CD538" s="261">
        <v>857</v>
      </c>
      <c r="CE538" s="261">
        <v>874</v>
      </c>
      <c r="CF538" s="261">
        <v>846</v>
      </c>
      <c r="CG538" s="261">
        <v>917</v>
      </c>
      <c r="CH538" s="261">
        <v>954</v>
      </c>
      <c r="CI538" s="261">
        <v>725</v>
      </c>
      <c r="CJ538" s="261">
        <v>743</v>
      </c>
      <c r="CK538" s="261">
        <v>703</v>
      </c>
      <c r="CL538" s="261">
        <v>610</v>
      </c>
      <c r="CM538" s="261">
        <v>544</v>
      </c>
      <c r="CN538" s="261">
        <v>516</v>
      </c>
      <c r="CO538" s="261">
        <v>493</v>
      </c>
      <c r="CP538" s="261">
        <v>461</v>
      </c>
      <c r="CQ538" s="261">
        <v>426</v>
      </c>
      <c r="CR538" s="261">
        <v>353</v>
      </c>
      <c r="CS538" s="261">
        <v>345</v>
      </c>
      <c r="CT538" s="261">
        <v>333</v>
      </c>
      <c r="CU538" s="261">
        <v>207</v>
      </c>
      <c r="CV538" s="261">
        <v>256</v>
      </c>
      <c r="CW538" s="261">
        <v>192</v>
      </c>
      <c r="CX538" s="261">
        <v>154</v>
      </c>
      <c r="CY538" s="261">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 x14ac:dyDescent="0.2">
      <c r="A539" s="50" t="s">
        <v>49</v>
      </c>
      <c r="B539" s="2" t="s">
        <v>566</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61">
        <v>521</v>
      </c>
      <c r="N539" s="261">
        <v>582</v>
      </c>
      <c r="O539" s="261">
        <v>655</v>
      </c>
      <c r="P539" s="261">
        <v>629</v>
      </c>
      <c r="Q539" s="261">
        <v>609</v>
      </c>
      <c r="R539" s="261">
        <v>680</v>
      </c>
      <c r="S539" s="261">
        <v>690</v>
      </c>
      <c r="T539" s="261">
        <v>706</v>
      </c>
      <c r="U539" s="261">
        <v>681</v>
      </c>
      <c r="V539" s="261">
        <v>701</v>
      </c>
      <c r="W539" s="261">
        <v>668</v>
      </c>
      <c r="X539" s="261">
        <v>736</v>
      </c>
      <c r="Y539" s="261">
        <v>797</v>
      </c>
      <c r="Z539" s="261">
        <v>705</v>
      </c>
      <c r="AA539" s="261">
        <v>728</v>
      </c>
      <c r="AB539" s="261">
        <v>743</v>
      </c>
      <c r="AC539" s="261">
        <v>712</v>
      </c>
      <c r="AD539" s="261">
        <v>685</v>
      </c>
      <c r="AE539" s="261">
        <v>703</v>
      </c>
      <c r="AF539" s="261">
        <v>631</v>
      </c>
      <c r="AG539" s="261">
        <v>607</v>
      </c>
      <c r="AH539" s="261">
        <v>663</v>
      </c>
      <c r="AI539" s="261">
        <v>707</v>
      </c>
      <c r="AJ539" s="261">
        <v>617</v>
      </c>
      <c r="AK539" s="261">
        <v>742</v>
      </c>
      <c r="AL539" s="261">
        <v>738</v>
      </c>
      <c r="AM539" s="261">
        <v>703</v>
      </c>
      <c r="AN539" s="261">
        <v>627</v>
      </c>
      <c r="AO539" s="261">
        <v>709</v>
      </c>
      <c r="AP539" s="261">
        <v>709</v>
      </c>
      <c r="AQ539" s="261">
        <v>708</v>
      </c>
      <c r="AR539" s="261">
        <v>684</v>
      </c>
      <c r="AS539" s="261">
        <v>668</v>
      </c>
      <c r="AT539" s="261">
        <v>702</v>
      </c>
      <c r="AU539" s="261">
        <v>662</v>
      </c>
      <c r="AV539" s="261">
        <v>570</v>
      </c>
      <c r="AW539" s="261">
        <v>567</v>
      </c>
      <c r="AX539" s="261">
        <v>554</v>
      </c>
      <c r="AY539" s="261">
        <v>571</v>
      </c>
      <c r="AZ539" s="261">
        <v>628</v>
      </c>
      <c r="BA539" s="261">
        <v>593</v>
      </c>
      <c r="BB539" s="261">
        <v>574</v>
      </c>
      <c r="BC539" s="261">
        <v>612</v>
      </c>
      <c r="BD539" s="261">
        <v>543</v>
      </c>
      <c r="BE539" s="261">
        <v>553</v>
      </c>
      <c r="BF539" s="261">
        <v>677</v>
      </c>
      <c r="BG539" s="261">
        <v>705</v>
      </c>
      <c r="BH539" s="261">
        <v>717</v>
      </c>
      <c r="BI539" s="261">
        <v>844</v>
      </c>
      <c r="BJ539" s="261">
        <v>869</v>
      </c>
      <c r="BK539" s="261">
        <v>859</v>
      </c>
      <c r="BL539" s="261">
        <v>988</v>
      </c>
      <c r="BM539" s="261">
        <v>867</v>
      </c>
      <c r="BN539" s="261">
        <v>1029</v>
      </c>
      <c r="BO539" s="261">
        <v>978</v>
      </c>
      <c r="BP539" s="261">
        <v>1087</v>
      </c>
      <c r="BQ539" s="261">
        <v>1057</v>
      </c>
      <c r="BR539" s="261">
        <v>1075</v>
      </c>
      <c r="BS539" s="261">
        <v>1088</v>
      </c>
      <c r="BT539" s="261">
        <v>1029</v>
      </c>
      <c r="BU539" s="261">
        <v>1010</v>
      </c>
      <c r="BV539" s="261">
        <v>1018</v>
      </c>
      <c r="BW539" s="261">
        <v>932</v>
      </c>
      <c r="BX539" s="261">
        <v>982</v>
      </c>
      <c r="BY539" s="261">
        <v>1048</v>
      </c>
      <c r="BZ539" s="261">
        <v>922</v>
      </c>
      <c r="CA539" s="261">
        <v>972</v>
      </c>
      <c r="CB539" s="261">
        <v>1010</v>
      </c>
      <c r="CC539" s="261">
        <v>969</v>
      </c>
      <c r="CD539" s="261">
        <v>930</v>
      </c>
      <c r="CE539" s="261">
        <v>1011</v>
      </c>
      <c r="CF539" s="261">
        <v>973</v>
      </c>
      <c r="CG539" s="261">
        <v>1071</v>
      </c>
      <c r="CH539" s="261">
        <v>1086</v>
      </c>
      <c r="CI539" s="261">
        <v>805</v>
      </c>
      <c r="CJ539" s="261">
        <v>772</v>
      </c>
      <c r="CK539" s="261">
        <v>887</v>
      </c>
      <c r="CL539" s="261">
        <v>757</v>
      </c>
      <c r="CM539" s="261">
        <v>615</v>
      </c>
      <c r="CN539" s="261">
        <v>529</v>
      </c>
      <c r="CO539" s="261">
        <v>559</v>
      </c>
      <c r="CP539" s="261">
        <v>525</v>
      </c>
      <c r="CQ539" s="261">
        <v>461</v>
      </c>
      <c r="CR539" s="261">
        <v>428</v>
      </c>
      <c r="CS539" s="261">
        <v>370</v>
      </c>
      <c r="CT539" s="261">
        <v>339</v>
      </c>
      <c r="CU539" s="261">
        <v>289</v>
      </c>
      <c r="CV539" s="261">
        <v>211</v>
      </c>
      <c r="CW539" s="261">
        <v>190</v>
      </c>
      <c r="CX539" s="261">
        <v>190</v>
      </c>
      <c r="CY539" s="261">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 x14ac:dyDescent="0.2">
      <c r="A540" s="50" t="s">
        <v>49</v>
      </c>
      <c r="B540" s="2" t="s">
        <v>567</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61">
        <v>1222</v>
      </c>
      <c r="N540" s="261">
        <v>1332</v>
      </c>
      <c r="O540" s="261">
        <v>1324</v>
      </c>
      <c r="P540" s="261">
        <v>1395</v>
      </c>
      <c r="Q540" s="261">
        <v>1416</v>
      </c>
      <c r="R540" s="261">
        <v>1433</v>
      </c>
      <c r="S540" s="261">
        <v>1422</v>
      </c>
      <c r="T540" s="261">
        <v>1437</v>
      </c>
      <c r="U540" s="261">
        <v>1487</v>
      </c>
      <c r="V540" s="261">
        <v>1539</v>
      </c>
      <c r="W540" s="261">
        <v>1476</v>
      </c>
      <c r="X540" s="261">
        <v>1589</v>
      </c>
      <c r="Y540" s="261">
        <v>1458</v>
      </c>
      <c r="Z540" s="261">
        <v>1482</v>
      </c>
      <c r="AA540" s="261">
        <v>1491</v>
      </c>
      <c r="AB540" s="261">
        <v>1361</v>
      </c>
      <c r="AC540" s="261">
        <v>1343</v>
      </c>
      <c r="AD540" s="261">
        <v>1313</v>
      </c>
      <c r="AE540" s="261">
        <v>1304</v>
      </c>
      <c r="AF540" s="261">
        <v>1380</v>
      </c>
      <c r="AG540" s="261">
        <v>1401</v>
      </c>
      <c r="AH540" s="261">
        <v>1525</v>
      </c>
      <c r="AI540" s="261">
        <v>1664</v>
      </c>
      <c r="AJ540" s="261">
        <v>1745</v>
      </c>
      <c r="AK540" s="261">
        <v>1582</v>
      </c>
      <c r="AL540" s="261">
        <v>1605</v>
      </c>
      <c r="AM540" s="261">
        <v>1564</v>
      </c>
      <c r="AN540" s="261">
        <v>1645</v>
      </c>
      <c r="AO540" s="261">
        <v>1657</v>
      </c>
      <c r="AP540" s="261">
        <v>1662</v>
      </c>
      <c r="AQ540" s="261">
        <v>1826</v>
      </c>
      <c r="AR540" s="261">
        <v>1654</v>
      </c>
      <c r="AS540" s="261">
        <v>1547</v>
      </c>
      <c r="AT540" s="261">
        <v>1568</v>
      </c>
      <c r="AU540" s="261">
        <v>1536</v>
      </c>
      <c r="AV540" s="261">
        <v>1514</v>
      </c>
      <c r="AW540" s="261">
        <v>1441</v>
      </c>
      <c r="AX540" s="261">
        <v>1469</v>
      </c>
      <c r="AY540" s="261">
        <v>1406</v>
      </c>
      <c r="AZ540" s="261">
        <v>1497</v>
      </c>
      <c r="BA540" s="261">
        <v>1537</v>
      </c>
      <c r="BB540" s="261">
        <v>1377</v>
      </c>
      <c r="BC540" s="261">
        <v>1245</v>
      </c>
      <c r="BD540" s="261">
        <v>1321</v>
      </c>
      <c r="BE540" s="261">
        <v>1193</v>
      </c>
      <c r="BF540" s="261">
        <v>1294</v>
      </c>
      <c r="BG540" s="261">
        <v>1309</v>
      </c>
      <c r="BH540" s="261">
        <v>1485</v>
      </c>
      <c r="BI540" s="261">
        <v>1556</v>
      </c>
      <c r="BJ540" s="261">
        <v>1674</v>
      </c>
      <c r="BK540" s="261">
        <v>1600</v>
      </c>
      <c r="BL540" s="261">
        <v>1660</v>
      </c>
      <c r="BM540" s="261">
        <v>1591</v>
      </c>
      <c r="BN540" s="261">
        <v>1678</v>
      </c>
      <c r="BO540" s="261">
        <v>1629</v>
      </c>
      <c r="BP540" s="261">
        <v>1683</v>
      </c>
      <c r="BQ540" s="261">
        <v>1651</v>
      </c>
      <c r="BR540" s="261">
        <v>1518</v>
      </c>
      <c r="BS540" s="261">
        <v>1648</v>
      </c>
      <c r="BT540" s="261">
        <v>1541</v>
      </c>
      <c r="BU540" s="261">
        <v>1398</v>
      </c>
      <c r="BV540" s="261">
        <v>1407</v>
      </c>
      <c r="BW540" s="261">
        <v>1430</v>
      </c>
      <c r="BX540" s="261">
        <v>1415</v>
      </c>
      <c r="BY540" s="261">
        <v>1243</v>
      </c>
      <c r="BZ540" s="261">
        <v>1212</v>
      </c>
      <c r="CA540" s="261">
        <v>1257</v>
      </c>
      <c r="CB540" s="261">
        <v>1235</v>
      </c>
      <c r="CC540" s="261">
        <v>1267</v>
      </c>
      <c r="CD540" s="261">
        <v>1242</v>
      </c>
      <c r="CE540" s="261">
        <v>1291</v>
      </c>
      <c r="CF540" s="261">
        <v>1296</v>
      </c>
      <c r="CG540" s="261">
        <v>1353</v>
      </c>
      <c r="CH540" s="261">
        <v>1414</v>
      </c>
      <c r="CI540" s="261">
        <v>1090</v>
      </c>
      <c r="CJ540" s="261">
        <v>1034</v>
      </c>
      <c r="CK540" s="261">
        <v>941</v>
      </c>
      <c r="CL540" s="261">
        <v>829</v>
      </c>
      <c r="CM540" s="261">
        <v>809</v>
      </c>
      <c r="CN540" s="261">
        <v>727</v>
      </c>
      <c r="CO540" s="261">
        <v>643</v>
      </c>
      <c r="CP540" s="261">
        <v>590</v>
      </c>
      <c r="CQ540" s="261">
        <v>557</v>
      </c>
      <c r="CR540" s="261">
        <v>451</v>
      </c>
      <c r="CS540" s="261">
        <v>410</v>
      </c>
      <c r="CT540" s="261">
        <v>387</v>
      </c>
      <c r="CU540" s="261">
        <v>367</v>
      </c>
      <c r="CV540" s="261">
        <v>285</v>
      </c>
      <c r="CW540" s="261">
        <v>222</v>
      </c>
      <c r="CX540" s="261">
        <v>174</v>
      </c>
      <c r="CY540" s="261">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 x14ac:dyDescent="0.2">
      <c r="A541" s="50" t="s">
        <v>49</v>
      </c>
      <c r="B541" s="2" t="s">
        <v>568</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61">
        <v>1062</v>
      </c>
      <c r="N541" s="261">
        <v>1200</v>
      </c>
      <c r="O541" s="261">
        <v>1245</v>
      </c>
      <c r="P541" s="261">
        <v>1233</v>
      </c>
      <c r="Q541" s="261">
        <v>1367</v>
      </c>
      <c r="R541" s="261">
        <v>1306</v>
      </c>
      <c r="S541" s="261">
        <v>1391</v>
      </c>
      <c r="T541" s="261">
        <v>1415</v>
      </c>
      <c r="U541" s="261">
        <v>1484</v>
      </c>
      <c r="V541" s="261">
        <v>1458</v>
      </c>
      <c r="W541" s="261">
        <v>1391</v>
      </c>
      <c r="X541" s="261">
        <v>1410</v>
      </c>
      <c r="Y541" s="261">
        <v>1428</v>
      </c>
      <c r="Z541" s="261">
        <v>1389</v>
      </c>
      <c r="AA541" s="261">
        <v>1380</v>
      </c>
      <c r="AB541" s="261">
        <v>1364</v>
      </c>
      <c r="AC541" s="261">
        <v>1376</v>
      </c>
      <c r="AD541" s="261">
        <v>1377</v>
      </c>
      <c r="AE541" s="261">
        <v>1386</v>
      </c>
      <c r="AF541" s="261">
        <v>1794</v>
      </c>
      <c r="AG541" s="261">
        <v>2463</v>
      </c>
      <c r="AH541" s="261">
        <v>2789</v>
      </c>
      <c r="AI541" s="261">
        <v>2556</v>
      </c>
      <c r="AJ541" s="261">
        <v>2324</v>
      </c>
      <c r="AK541" s="261">
        <v>2089</v>
      </c>
      <c r="AL541" s="261">
        <v>1797</v>
      </c>
      <c r="AM541" s="261">
        <v>1990</v>
      </c>
      <c r="AN541" s="261">
        <v>1956</v>
      </c>
      <c r="AO541" s="261">
        <v>1988</v>
      </c>
      <c r="AP541" s="261">
        <v>1865</v>
      </c>
      <c r="AQ541" s="261">
        <v>1910</v>
      </c>
      <c r="AR541" s="261">
        <v>1621</v>
      </c>
      <c r="AS541" s="261">
        <v>1509</v>
      </c>
      <c r="AT541" s="261">
        <v>1393</v>
      </c>
      <c r="AU541" s="261">
        <v>1547</v>
      </c>
      <c r="AV541" s="261">
        <v>1599</v>
      </c>
      <c r="AW541" s="261">
        <v>1491</v>
      </c>
      <c r="AX541" s="261">
        <v>1429</v>
      </c>
      <c r="AY541" s="261">
        <v>1524</v>
      </c>
      <c r="AZ541" s="261">
        <v>1500</v>
      </c>
      <c r="BA541" s="261">
        <v>1583</v>
      </c>
      <c r="BB541" s="261">
        <v>1335</v>
      </c>
      <c r="BC541" s="261">
        <v>1239</v>
      </c>
      <c r="BD541" s="261">
        <v>1464</v>
      </c>
      <c r="BE541" s="261">
        <v>1325</v>
      </c>
      <c r="BF541" s="261">
        <v>1324</v>
      </c>
      <c r="BG541" s="261">
        <v>1404</v>
      </c>
      <c r="BH541" s="261">
        <v>1449</v>
      </c>
      <c r="BI541" s="261">
        <v>1458</v>
      </c>
      <c r="BJ541" s="261">
        <v>1458</v>
      </c>
      <c r="BK541" s="261">
        <v>1423</v>
      </c>
      <c r="BL541" s="261">
        <v>1635</v>
      </c>
      <c r="BM541" s="261">
        <v>1553</v>
      </c>
      <c r="BN541" s="261">
        <v>1578</v>
      </c>
      <c r="BO541" s="261">
        <v>1551</v>
      </c>
      <c r="BP541" s="261">
        <v>1668</v>
      </c>
      <c r="BQ541" s="261">
        <v>1577</v>
      </c>
      <c r="BR541" s="261">
        <v>1494</v>
      </c>
      <c r="BS541" s="261">
        <v>1577</v>
      </c>
      <c r="BT541" s="261">
        <v>1447</v>
      </c>
      <c r="BU541" s="261">
        <v>1403</v>
      </c>
      <c r="BV541" s="261">
        <v>1347</v>
      </c>
      <c r="BW541" s="261">
        <v>1388</v>
      </c>
      <c r="BX541" s="261">
        <v>1310</v>
      </c>
      <c r="BY541" s="261">
        <v>1211</v>
      </c>
      <c r="BZ541" s="261">
        <v>1235</v>
      </c>
      <c r="CA541" s="261">
        <v>1225</v>
      </c>
      <c r="CB541" s="261">
        <v>1260</v>
      </c>
      <c r="CC541" s="261">
        <v>1233</v>
      </c>
      <c r="CD541" s="261">
        <v>1108</v>
      </c>
      <c r="CE541" s="261">
        <v>1217</v>
      </c>
      <c r="CF541" s="261">
        <v>1247</v>
      </c>
      <c r="CG541" s="261">
        <v>1268</v>
      </c>
      <c r="CH541" s="261">
        <v>1403</v>
      </c>
      <c r="CI541" s="261">
        <v>932</v>
      </c>
      <c r="CJ541" s="261">
        <v>978</v>
      </c>
      <c r="CK541" s="261">
        <v>948</v>
      </c>
      <c r="CL541" s="261">
        <v>921</v>
      </c>
      <c r="CM541" s="261">
        <v>767</v>
      </c>
      <c r="CN541" s="261">
        <v>684</v>
      </c>
      <c r="CO541" s="261">
        <v>670</v>
      </c>
      <c r="CP541" s="261">
        <v>608</v>
      </c>
      <c r="CQ541" s="261">
        <v>595</v>
      </c>
      <c r="CR541" s="261">
        <v>512</v>
      </c>
      <c r="CS541" s="261">
        <v>502</v>
      </c>
      <c r="CT541" s="261">
        <v>443</v>
      </c>
      <c r="CU541" s="261">
        <v>356</v>
      </c>
      <c r="CV541" s="261">
        <v>309</v>
      </c>
      <c r="CW541" s="261">
        <v>308</v>
      </c>
      <c r="CX541" s="261">
        <v>231</v>
      </c>
      <c r="CY541" s="261">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 x14ac:dyDescent="0.2">
      <c r="A542" s="50" t="s">
        <v>49</v>
      </c>
      <c r="B542" s="2" t="s">
        <v>569</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61">
        <v>485</v>
      </c>
      <c r="N542" s="261">
        <v>550</v>
      </c>
      <c r="O542" s="261">
        <v>490</v>
      </c>
      <c r="P542" s="261">
        <v>562</v>
      </c>
      <c r="Q542" s="261">
        <v>548</v>
      </c>
      <c r="R542" s="261">
        <v>531</v>
      </c>
      <c r="S542" s="261">
        <v>567</v>
      </c>
      <c r="T542" s="261">
        <v>567</v>
      </c>
      <c r="U542" s="261">
        <v>610</v>
      </c>
      <c r="V542" s="261">
        <v>603</v>
      </c>
      <c r="W542" s="261">
        <v>625</v>
      </c>
      <c r="X542" s="261">
        <v>576</v>
      </c>
      <c r="Y542" s="261">
        <v>580</v>
      </c>
      <c r="Z542" s="261">
        <v>554</v>
      </c>
      <c r="AA542" s="261">
        <v>566</v>
      </c>
      <c r="AB542" s="261">
        <v>572</v>
      </c>
      <c r="AC542" s="261">
        <v>489</v>
      </c>
      <c r="AD542" s="261">
        <v>508</v>
      </c>
      <c r="AE542" s="261">
        <v>499</v>
      </c>
      <c r="AF542" s="261">
        <v>490</v>
      </c>
      <c r="AG542" s="261">
        <v>495</v>
      </c>
      <c r="AH542" s="261">
        <v>508</v>
      </c>
      <c r="AI542" s="261">
        <v>513</v>
      </c>
      <c r="AJ542" s="261">
        <v>626</v>
      </c>
      <c r="AK542" s="261">
        <v>617</v>
      </c>
      <c r="AL542" s="261">
        <v>610</v>
      </c>
      <c r="AM542" s="261">
        <v>609</v>
      </c>
      <c r="AN542" s="261">
        <v>568</v>
      </c>
      <c r="AO542" s="261">
        <v>620</v>
      </c>
      <c r="AP542" s="261">
        <v>694</v>
      </c>
      <c r="AQ542" s="261">
        <v>633</v>
      </c>
      <c r="AR542" s="261">
        <v>654</v>
      </c>
      <c r="AS542" s="261">
        <v>553</v>
      </c>
      <c r="AT542" s="261">
        <v>547</v>
      </c>
      <c r="AU542" s="261">
        <v>608</v>
      </c>
      <c r="AV542" s="261">
        <v>595</v>
      </c>
      <c r="AW542" s="261">
        <v>582</v>
      </c>
      <c r="AX542" s="261">
        <v>573</v>
      </c>
      <c r="AY542" s="261">
        <v>539</v>
      </c>
      <c r="AZ542" s="261">
        <v>537</v>
      </c>
      <c r="BA542" s="261">
        <v>539</v>
      </c>
      <c r="BB542" s="261">
        <v>542</v>
      </c>
      <c r="BC542" s="261">
        <v>455</v>
      </c>
      <c r="BD542" s="261">
        <v>496</v>
      </c>
      <c r="BE542" s="261">
        <v>437</v>
      </c>
      <c r="BF542" s="261">
        <v>472</v>
      </c>
      <c r="BG542" s="261">
        <v>514</v>
      </c>
      <c r="BH542" s="261">
        <v>552</v>
      </c>
      <c r="BI542" s="261">
        <v>566</v>
      </c>
      <c r="BJ542" s="261">
        <v>627</v>
      </c>
      <c r="BK542" s="261">
        <v>649</v>
      </c>
      <c r="BL542" s="261">
        <v>654</v>
      </c>
      <c r="BM542" s="261">
        <v>620</v>
      </c>
      <c r="BN542" s="261">
        <v>627</v>
      </c>
      <c r="BO542" s="261">
        <v>636</v>
      </c>
      <c r="BP542" s="261">
        <v>723</v>
      </c>
      <c r="BQ542" s="261">
        <v>646</v>
      </c>
      <c r="BR542" s="261">
        <v>687</v>
      </c>
      <c r="BS542" s="261">
        <v>673</v>
      </c>
      <c r="BT542" s="261">
        <v>633</v>
      </c>
      <c r="BU542" s="261">
        <v>601</v>
      </c>
      <c r="BV542" s="261">
        <v>618</v>
      </c>
      <c r="BW542" s="261">
        <v>595</v>
      </c>
      <c r="BX542" s="261">
        <v>531</v>
      </c>
      <c r="BY542" s="261">
        <v>499</v>
      </c>
      <c r="BZ542" s="261">
        <v>483</v>
      </c>
      <c r="CA542" s="261">
        <v>550</v>
      </c>
      <c r="CB542" s="261">
        <v>494</v>
      </c>
      <c r="CC542" s="261">
        <v>502</v>
      </c>
      <c r="CD542" s="261">
        <v>529</v>
      </c>
      <c r="CE542" s="261">
        <v>499</v>
      </c>
      <c r="CF542" s="261">
        <v>498</v>
      </c>
      <c r="CG542" s="261">
        <v>520</v>
      </c>
      <c r="CH542" s="261">
        <v>577</v>
      </c>
      <c r="CI542" s="261">
        <v>416</v>
      </c>
      <c r="CJ542" s="261">
        <v>430</v>
      </c>
      <c r="CK542" s="261">
        <v>383</v>
      </c>
      <c r="CL542" s="261">
        <v>339</v>
      </c>
      <c r="CM542" s="261">
        <v>302</v>
      </c>
      <c r="CN542" s="261">
        <v>288</v>
      </c>
      <c r="CO542" s="261">
        <v>272</v>
      </c>
      <c r="CP542" s="261">
        <v>261</v>
      </c>
      <c r="CQ542" s="261">
        <v>252</v>
      </c>
      <c r="CR542" s="261">
        <v>199</v>
      </c>
      <c r="CS542" s="261">
        <v>182</v>
      </c>
      <c r="CT542" s="261">
        <v>161</v>
      </c>
      <c r="CU542" s="261">
        <v>162</v>
      </c>
      <c r="CV542" s="261">
        <v>148</v>
      </c>
      <c r="CW542" s="261">
        <v>104</v>
      </c>
      <c r="CX542" s="261">
        <v>81</v>
      </c>
      <c r="CY542" s="261">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 x14ac:dyDescent="0.2">
      <c r="A543" s="50" t="s">
        <v>49</v>
      </c>
      <c r="B543" s="2" t="s">
        <v>570</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61">
        <v>619</v>
      </c>
      <c r="N543" s="261">
        <v>646</v>
      </c>
      <c r="O543" s="261">
        <v>687</v>
      </c>
      <c r="P543" s="261">
        <v>784</v>
      </c>
      <c r="Q543" s="261">
        <v>753</v>
      </c>
      <c r="R543" s="261">
        <v>777</v>
      </c>
      <c r="S543" s="261">
        <v>790</v>
      </c>
      <c r="T543" s="261">
        <v>826</v>
      </c>
      <c r="U543" s="261">
        <v>843</v>
      </c>
      <c r="V543" s="261">
        <v>797</v>
      </c>
      <c r="W543" s="261">
        <v>875</v>
      </c>
      <c r="X543" s="261">
        <v>871</v>
      </c>
      <c r="Y543" s="261">
        <v>888</v>
      </c>
      <c r="Z543" s="261">
        <v>838</v>
      </c>
      <c r="AA543" s="261">
        <v>799</v>
      </c>
      <c r="AB543" s="261">
        <v>768</v>
      </c>
      <c r="AC543" s="261">
        <v>711</v>
      </c>
      <c r="AD543" s="261">
        <v>803</v>
      </c>
      <c r="AE543" s="261">
        <v>754</v>
      </c>
      <c r="AF543" s="261">
        <v>643</v>
      </c>
      <c r="AG543" s="261">
        <v>672</v>
      </c>
      <c r="AH543" s="261">
        <v>677</v>
      </c>
      <c r="AI543" s="261">
        <v>793</v>
      </c>
      <c r="AJ543" s="261">
        <v>749</v>
      </c>
      <c r="AK543" s="261">
        <v>782</v>
      </c>
      <c r="AL543" s="261">
        <v>802</v>
      </c>
      <c r="AM543" s="261">
        <v>820</v>
      </c>
      <c r="AN543" s="261">
        <v>738</v>
      </c>
      <c r="AO543" s="261">
        <v>744</v>
      </c>
      <c r="AP543" s="261">
        <v>854</v>
      </c>
      <c r="AQ543" s="261">
        <v>793</v>
      </c>
      <c r="AR543" s="261">
        <v>791</v>
      </c>
      <c r="AS543" s="261">
        <v>777</v>
      </c>
      <c r="AT543" s="261">
        <v>774</v>
      </c>
      <c r="AU543" s="261">
        <v>835</v>
      </c>
      <c r="AV543" s="261">
        <v>787</v>
      </c>
      <c r="AW543" s="261">
        <v>797</v>
      </c>
      <c r="AX543" s="261">
        <v>803</v>
      </c>
      <c r="AY543" s="261">
        <v>773</v>
      </c>
      <c r="AZ543" s="261">
        <v>901</v>
      </c>
      <c r="BA543" s="261">
        <v>873</v>
      </c>
      <c r="BB543" s="261">
        <v>855</v>
      </c>
      <c r="BC543" s="261">
        <v>780</v>
      </c>
      <c r="BD543" s="261">
        <v>803</v>
      </c>
      <c r="BE543" s="261">
        <v>810</v>
      </c>
      <c r="BF543" s="261">
        <v>822</v>
      </c>
      <c r="BG543" s="261">
        <v>819</v>
      </c>
      <c r="BH543" s="261">
        <v>873</v>
      </c>
      <c r="BI543" s="261">
        <v>945</v>
      </c>
      <c r="BJ543" s="261">
        <v>869</v>
      </c>
      <c r="BK543" s="261">
        <v>846</v>
      </c>
      <c r="BL543" s="261">
        <v>885</v>
      </c>
      <c r="BM543" s="261">
        <v>912</v>
      </c>
      <c r="BN543" s="261">
        <v>982</v>
      </c>
      <c r="BO543" s="261">
        <v>841</v>
      </c>
      <c r="BP543" s="261">
        <v>918</v>
      </c>
      <c r="BQ543" s="261">
        <v>944</v>
      </c>
      <c r="BR543" s="261">
        <v>918</v>
      </c>
      <c r="BS543" s="261">
        <v>933</v>
      </c>
      <c r="BT543" s="261">
        <v>920</v>
      </c>
      <c r="BU543" s="261">
        <v>871</v>
      </c>
      <c r="BV543" s="261">
        <v>850</v>
      </c>
      <c r="BW543" s="261">
        <v>813</v>
      </c>
      <c r="BX543" s="261">
        <v>816</v>
      </c>
      <c r="BY543" s="261">
        <v>776</v>
      </c>
      <c r="BZ543" s="261">
        <v>768</v>
      </c>
      <c r="CA543" s="261">
        <v>786</v>
      </c>
      <c r="CB543" s="261">
        <v>821</v>
      </c>
      <c r="CC543" s="261">
        <v>719</v>
      </c>
      <c r="CD543" s="261">
        <v>703</v>
      </c>
      <c r="CE543" s="261">
        <v>694</v>
      </c>
      <c r="CF543" s="261">
        <v>713</v>
      </c>
      <c r="CG543" s="261">
        <v>749</v>
      </c>
      <c r="CH543" s="261">
        <v>840</v>
      </c>
      <c r="CI543" s="261">
        <v>579</v>
      </c>
      <c r="CJ543" s="261">
        <v>592</v>
      </c>
      <c r="CK543" s="261">
        <v>627</v>
      </c>
      <c r="CL543" s="261">
        <v>526</v>
      </c>
      <c r="CM543" s="261">
        <v>456</v>
      </c>
      <c r="CN543" s="261">
        <v>420</v>
      </c>
      <c r="CO543" s="261">
        <v>391</v>
      </c>
      <c r="CP543" s="261">
        <v>370</v>
      </c>
      <c r="CQ543" s="261">
        <v>345</v>
      </c>
      <c r="CR543" s="261">
        <v>304</v>
      </c>
      <c r="CS543" s="261">
        <v>255</v>
      </c>
      <c r="CT543" s="261">
        <v>218</v>
      </c>
      <c r="CU543" s="261">
        <v>213</v>
      </c>
      <c r="CV543" s="261">
        <v>187</v>
      </c>
      <c r="CW543" s="261">
        <v>156</v>
      </c>
      <c r="CX543" s="261">
        <v>122</v>
      </c>
      <c r="CY543" s="261">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 x14ac:dyDescent="0.2">
      <c r="A544" s="50" t="s">
        <v>49</v>
      </c>
      <c r="B544" s="2" t="s">
        <v>571</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61">
        <v>718</v>
      </c>
      <c r="N544" s="261">
        <v>713</v>
      </c>
      <c r="O544" s="261">
        <v>739</v>
      </c>
      <c r="P544" s="261">
        <v>822</v>
      </c>
      <c r="Q544" s="261">
        <v>808</v>
      </c>
      <c r="R544" s="261">
        <v>793</v>
      </c>
      <c r="S544" s="261">
        <v>764</v>
      </c>
      <c r="T544" s="261">
        <v>871</v>
      </c>
      <c r="U544" s="261">
        <v>863</v>
      </c>
      <c r="V544" s="261">
        <v>917</v>
      </c>
      <c r="W544" s="261">
        <v>932</v>
      </c>
      <c r="X544" s="261">
        <v>916</v>
      </c>
      <c r="Y544" s="261">
        <v>858</v>
      </c>
      <c r="Z544" s="261">
        <v>884</v>
      </c>
      <c r="AA544" s="261">
        <v>866</v>
      </c>
      <c r="AB544" s="261">
        <v>851</v>
      </c>
      <c r="AC544" s="261">
        <v>792</v>
      </c>
      <c r="AD544" s="261">
        <v>756</v>
      </c>
      <c r="AE544" s="261">
        <v>750</v>
      </c>
      <c r="AF544" s="261">
        <v>717</v>
      </c>
      <c r="AG544" s="261">
        <v>692</v>
      </c>
      <c r="AH544" s="261">
        <v>716</v>
      </c>
      <c r="AI544" s="261">
        <v>771</v>
      </c>
      <c r="AJ544" s="261">
        <v>810</v>
      </c>
      <c r="AK544" s="261">
        <v>837</v>
      </c>
      <c r="AL544" s="261">
        <v>806</v>
      </c>
      <c r="AM544" s="261">
        <v>820</v>
      </c>
      <c r="AN544" s="261">
        <v>881</v>
      </c>
      <c r="AO544" s="261">
        <v>810</v>
      </c>
      <c r="AP544" s="261">
        <v>915</v>
      </c>
      <c r="AQ544" s="261">
        <v>845</v>
      </c>
      <c r="AR544" s="261">
        <v>911</v>
      </c>
      <c r="AS544" s="261">
        <v>916</v>
      </c>
      <c r="AT544" s="261">
        <v>852</v>
      </c>
      <c r="AU544" s="261">
        <v>836</v>
      </c>
      <c r="AV544" s="261">
        <v>951</v>
      </c>
      <c r="AW544" s="261">
        <v>838</v>
      </c>
      <c r="AX544" s="261">
        <v>896</v>
      </c>
      <c r="AY544" s="261">
        <v>850</v>
      </c>
      <c r="AZ544" s="261">
        <v>977</v>
      </c>
      <c r="BA544" s="261">
        <v>894</v>
      </c>
      <c r="BB544" s="261">
        <v>855</v>
      </c>
      <c r="BC544" s="261">
        <v>693</v>
      </c>
      <c r="BD544" s="261">
        <v>768</v>
      </c>
      <c r="BE544" s="261">
        <v>782</v>
      </c>
      <c r="BF544" s="261">
        <v>851</v>
      </c>
      <c r="BG544" s="261">
        <v>813</v>
      </c>
      <c r="BH544" s="261">
        <v>920</v>
      </c>
      <c r="BI544" s="261">
        <v>1020</v>
      </c>
      <c r="BJ544" s="261">
        <v>999</v>
      </c>
      <c r="BK544" s="261">
        <v>971</v>
      </c>
      <c r="BL544" s="261">
        <v>956</v>
      </c>
      <c r="BM544" s="261">
        <v>929</v>
      </c>
      <c r="BN544" s="261">
        <v>891</v>
      </c>
      <c r="BO544" s="261">
        <v>976</v>
      </c>
      <c r="BP544" s="261">
        <v>1000</v>
      </c>
      <c r="BQ544" s="261">
        <v>990</v>
      </c>
      <c r="BR544" s="261">
        <v>958</v>
      </c>
      <c r="BS544" s="261">
        <v>932</v>
      </c>
      <c r="BT544" s="261">
        <v>894</v>
      </c>
      <c r="BU544" s="261">
        <v>853</v>
      </c>
      <c r="BV544" s="261">
        <v>757</v>
      </c>
      <c r="BW544" s="261">
        <v>815</v>
      </c>
      <c r="BX544" s="261">
        <v>813</v>
      </c>
      <c r="BY544" s="261">
        <v>803</v>
      </c>
      <c r="BZ544" s="261">
        <v>734</v>
      </c>
      <c r="CA544" s="261">
        <v>762</v>
      </c>
      <c r="CB544" s="261">
        <v>767</v>
      </c>
      <c r="CC544" s="261">
        <v>726</v>
      </c>
      <c r="CD544" s="261">
        <v>706</v>
      </c>
      <c r="CE544" s="261">
        <v>708</v>
      </c>
      <c r="CF544" s="261">
        <v>765</v>
      </c>
      <c r="CG544" s="261">
        <v>780</v>
      </c>
      <c r="CH544" s="261">
        <v>836</v>
      </c>
      <c r="CI544" s="261">
        <v>631</v>
      </c>
      <c r="CJ544" s="261">
        <v>585</v>
      </c>
      <c r="CK544" s="261">
        <v>573</v>
      </c>
      <c r="CL544" s="261">
        <v>585</v>
      </c>
      <c r="CM544" s="261">
        <v>476</v>
      </c>
      <c r="CN544" s="261">
        <v>420</v>
      </c>
      <c r="CO544" s="261">
        <v>392</v>
      </c>
      <c r="CP544" s="261">
        <v>365</v>
      </c>
      <c r="CQ544" s="261">
        <v>354</v>
      </c>
      <c r="CR544" s="261">
        <v>293</v>
      </c>
      <c r="CS544" s="261">
        <v>274</v>
      </c>
      <c r="CT544" s="261">
        <v>239</v>
      </c>
      <c r="CU544" s="261">
        <v>188</v>
      </c>
      <c r="CV544" s="261">
        <v>194</v>
      </c>
      <c r="CW544" s="261">
        <v>157</v>
      </c>
      <c r="CX544" s="261">
        <v>147</v>
      </c>
      <c r="CY544" s="261">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55" customFormat="1" ht="15" x14ac:dyDescent="0.25">
      <c r="A545" s="151"/>
      <c r="B545" s="161"/>
      <c r="C545" s="151"/>
      <c r="D545" s="153">
        <f>SUM(D523:D544)</f>
        <v>1240703</v>
      </c>
      <c r="E545" s="153">
        <f t="shared" ref="E545:L545" si="210">SUM(E523:E544)</f>
        <v>1299011</v>
      </c>
      <c r="F545" s="153">
        <f t="shared" si="210"/>
        <v>3169586</v>
      </c>
      <c r="G545" s="153">
        <f t="shared" si="210"/>
        <v>1563524</v>
      </c>
      <c r="H545" s="153">
        <f t="shared" si="210"/>
        <v>1606062</v>
      </c>
      <c r="I545" s="153">
        <f t="shared" si="210"/>
        <v>1240703</v>
      </c>
      <c r="J545" s="153">
        <f t="shared" si="210"/>
        <v>1299011</v>
      </c>
      <c r="K545" s="153">
        <f t="shared" si="210"/>
        <v>322821</v>
      </c>
      <c r="L545" s="153">
        <f t="shared" si="210"/>
        <v>307051</v>
      </c>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c r="FR545" s="154"/>
      <c r="FS545" s="154"/>
      <c r="FT545" s="154"/>
      <c r="FU545" s="154"/>
      <c r="FV545" s="154"/>
      <c r="FW545" s="154"/>
      <c r="FX545" s="154"/>
      <c r="FY545" s="154"/>
      <c r="FZ545" s="154"/>
      <c r="GA545" s="154"/>
      <c r="GB545" s="154"/>
      <c r="GC545" s="154"/>
      <c r="GD545" s="154"/>
      <c r="GE545" s="154"/>
      <c r="GF545" s="154"/>
      <c r="GG545" s="154"/>
      <c r="GH545" s="154"/>
      <c r="GI545" s="154"/>
      <c r="GJ545" s="154"/>
      <c r="GK545" s="154"/>
      <c r="GL545" s="153"/>
    </row>
    <row r="546" spans="1:194" s="2" customFormat="1" x14ac:dyDescent="0.2">
      <c r="A546" s="50" t="s">
        <v>51</v>
      </c>
      <c r="B546" s="2" t="s">
        <v>572</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2">
      <c r="A547" s="50" t="s">
        <v>51</v>
      </c>
      <c r="B547" s="2" t="s">
        <v>573</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2">
      <c r="A548" s="50" t="s">
        <v>51</v>
      </c>
      <c r="B548" s="2" t="s">
        <v>574</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2">
      <c r="A549" s="50" t="s">
        <v>51</v>
      </c>
      <c r="B549" s="2" t="s">
        <v>575</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2">
      <c r="A550" s="50" t="s">
        <v>51</v>
      </c>
      <c r="B550" s="2" t="s">
        <v>576</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2">
      <c r="A551" s="50" t="s">
        <v>51</v>
      </c>
      <c r="B551" s="2" t="s">
        <v>577</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2">
      <c r="A552" s="50" t="s">
        <v>51</v>
      </c>
      <c r="B552" s="2" t="s">
        <v>578</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2">
      <c r="A553" s="50" t="s">
        <v>51</v>
      </c>
      <c r="B553" s="2" t="s">
        <v>579</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2">
      <c r="A554" s="50" t="s">
        <v>51</v>
      </c>
      <c r="B554" s="2" t="s">
        <v>580</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2">
      <c r="A555" s="50" t="s">
        <v>51</v>
      </c>
      <c r="B555" s="2" t="s">
        <v>581</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2">
      <c r="A556" s="50" t="s">
        <v>51</v>
      </c>
      <c r="B556" s="2" t="s">
        <v>582</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55" customFormat="1" ht="15" x14ac:dyDescent="0.25">
      <c r="A557" s="151"/>
      <c r="B557" s="162"/>
      <c r="C557" s="151"/>
      <c r="D557" s="154">
        <f>SUM(D546:D556)</f>
        <v>707833</v>
      </c>
      <c r="E557" s="154">
        <f>SUM(E546:E556)</f>
        <v>746569</v>
      </c>
      <c r="F557" s="154">
        <f>SUM(F546:F556)</f>
        <v>1895510</v>
      </c>
      <c r="G557" s="154">
        <f>SUM(G546:G556)</f>
        <v>934155</v>
      </c>
      <c r="H557" s="154">
        <f>SUM(H546:H556)</f>
        <v>961355</v>
      </c>
      <c r="I557" s="153"/>
      <c r="J557" s="153"/>
      <c r="K557" s="154"/>
      <c r="L557" s="153"/>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3"/>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c r="FR557" s="154"/>
      <c r="FS557" s="154"/>
      <c r="FT557" s="154"/>
      <c r="FU557" s="154"/>
      <c r="FV557" s="154"/>
      <c r="FW557" s="154"/>
      <c r="FX557" s="154"/>
      <c r="FY557" s="154"/>
      <c r="FZ557" s="154"/>
      <c r="GA557" s="154"/>
      <c r="GB557" s="154"/>
      <c r="GC557" s="154"/>
      <c r="GD557" s="154"/>
      <c r="GE557" s="154"/>
      <c r="GF557" s="154"/>
      <c r="GG557" s="154"/>
      <c r="GH557" s="154"/>
      <c r="GI557" s="154"/>
      <c r="GJ557" s="154"/>
      <c r="GK557" s="154"/>
      <c r="GL557" s="153"/>
    </row>
    <row r="558" spans="1:194" x14ac:dyDescent="0.2">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2">
      <c r="C559" s="34" t="s">
        <v>583</v>
      </c>
      <c r="D559" s="288" t="s">
        <v>584</v>
      </c>
      <c r="E559" s="288" t="s">
        <v>585</v>
      </c>
      <c r="F559" s="288" t="s">
        <v>586</v>
      </c>
      <c r="G559" s="288" t="s">
        <v>587</v>
      </c>
      <c r="H559" s="288" t="s">
        <v>588</v>
      </c>
      <c r="I559" s="288" t="s">
        <v>589</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2">
      <c r="C560" s="34" t="s">
        <v>590</v>
      </c>
      <c r="D560" s="677" t="s">
        <v>591</v>
      </c>
      <c r="E560" s="678"/>
      <c r="F560" s="678"/>
      <c r="G560" s="678"/>
      <c r="H560" s="678"/>
      <c r="I560" s="679"/>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2">
      <c r="B561" s="20">
        <v>0</v>
      </c>
      <c r="C561" s="287" t="s">
        <v>592</v>
      </c>
      <c r="D561" s="340"/>
      <c r="E561" s="340"/>
      <c r="F561" s="340"/>
      <c r="G561" s="340"/>
      <c r="H561" s="340"/>
      <c r="I561" s="340"/>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2">
      <c r="B562" s="20">
        <v>1</v>
      </c>
      <c r="C562" s="287" t="s">
        <v>593</v>
      </c>
      <c r="D562" s="340">
        <v>1.0084713674792447</v>
      </c>
      <c r="E562" s="340">
        <v>1.012558766876926</v>
      </c>
      <c r="F562" s="340">
        <v>1.0164706229364109</v>
      </c>
      <c r="G562" s="340">
        <v>1.0201553531133736</v>
      </c>
      <c r="H562" s="340">
        <v>1.0235742483952912</v>
      </c>
      <c r="I562" s="340">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2">
      <c r="B563" s="20">
        <v>2</v>
      </c>
      <c r="C563" s="287" t="s">
        <v>594</v>
      </c>
      <c r="D563" s="340">
        <v>0.97911366120419119</v>
      </c>
      <c r="E563" s="340">
        <v>0.96505936183655627</v>
      </c>
      <c r="F563" s="340">
        <v>0.94901616112315001</v>
      </c>
      <c r="G563" s="340">
        <v>0.93508333165134838</v>
      </c>
      <c r="H563" s="340">
        <v>0.9222712546323395</v>
      </c>
      <c r="I563" s="340">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2">
      <c r="B564" s="20">
        <v>3</v>
      </c>
      <c r="C564" s="287" t="s">
        <v>595</v>
      </c>
      <c r="D564" s="340">
        <v>1.0501308817348203</v>
      </c>
      <c r="E564" s="340">
        <v>1.0744077400525671</v>
      </c>
      <c r="F564" s="340">
        <v>1.0955667624449938</v>
      </c>
      <c r="G564" s="340">
        <v>1.1079906380704687</v>
      </c>
      <c r="H564" s="340">
        <v>1.1107920201570887</v>
      </c>
      <c r="I564" s="340">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2">
      <c r="B565" s="20">
        <v>4</v>
      </c>
      <c r="C565" s="287" t="s">
        <v>596</v>
      </c>
      <c r="D565" s="340">
        <v>1.0021244015688702</v>
      </c>
      <c r="E565" s="340">
        <v>1.0004900238876309</v>
      </c>
      <c r="F565" s="340">
        <v>0.99650095160224417</v>
      </c>
      <c r="G565" s="340">
        <v>0.99110812543288473</v>
      </c>
      <c r="H565" s="340">
        <v>0.9833550643960518</v>
      </c>
      <c r="I565" s="340">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2">
      <c r="B566" s="20">
        <v>5</v>
      </c>
      <c r="C566" s="287" t="s">
        <v>597</v>
      </c>
      <c r="D566" s="340">
        <v>0.99814913154892626</v>
      </c>
      <c r="E566" s="340">
        <v>0.99606252583011812</v>
      </c>
      <c r="F566" s="340">
        <v>0.99474491881213067</v>
      </c>
      <c r="G566" s="340">
        <v>0.99345811966553155</v>
      </c>
      <c r="H566" s="340">
        <v>0.99277041951420775</v>
      </c>
      <c r="I566" s="340">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2">
      <c r="B567" s="20">
        <v>6</v>
      </c>
      <c r="C567" s="287" t="s">
        <v>598</v>
      </c>
      <c r="D567" s="340">
        <v>1.0101978885143685</v>
      </c>
      <c r="E567" s="340">
        <v>1.0158417431734368</v>
      </c>
      <c r="F567" s="340">
        <v>1.0219028338714957</v>
      </c>
      <c r="G567" s="340">
        <v>1.0280568686265446</v>
      </c>
      <c r="H567" s="340">
        <v>1.0345147935582482</v>
      </c>
      <c r="I567" s="340">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2">
      <c r="B568" s="20">
        <v>7</v>
      </c>
      <c r="C568" s="287" t="s">
        <v>599</v>
      </c>
      <c r="D568" s="340">
        <v>1.0179895480811041</v>
      </c>
      <c r="E568" s="340">
        <v>1.0270245103407745</v>
      </c>
      <c r="F568" s="340">
        <v>1.035680022619258</v>
      </c>
      <c r="G568" s="340">
        <v>1.044587575347828</v>
      </c>
      <c r="H568" s="340">
        <v>1.0533108586534927</v>
      </c>
      <c r="I568" s="340">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2">
      <c r="B569" s="20">
        <v>8</v>
      </c>
      <c r="C569" s="287" t="s">
        <v>600</v>
      </c>
      <c r="D569" s="340">
        <v>1.025459585029741</v>
      </c>
      <c r="E569" s="340">
        <v>1.0362883746720766</v>
      </c>
      <c r="F569" s="340">
        <v>1.0456150301831861</v>
      </c>
      <c r="G569" s="340">
        <v>1.0541139681739078</v>
      </c>
      <c r="H569" s="340">
        <v>1.0617518973784201</v>
      </c>
      <c r="I569" s="340">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2">
      <c r="B570" s="20">
        <v>9</v>
      </c>
      <c r="C570" s="287" t="s">
        <v>601</v>
      </c>
      <c r="D570" s="340">
        <v>1.0176309601745992</v>
      </c>
      <c r="E570" s="340">
        <v>1.026721384011922</v>
      </c>
      <c r="F570" s="340">
        <v>1.0353097334700412</v>
      </c>
      <c r="G570" s="340">
        <v>1.0443529299521672</v>
      </c>
      <c r="H570" s="340">
        <v>1.0531269671200225</v>
      </c>
      <c r="I570" s="340">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2">
      <c r="B571" s="20">
        <v>10</v>
      </c>
      <c r="C571" s="287" t="s">
        <v>602</v>
      </c>
      <c r="D571" s="340">
        <v>1.0262012632924804</v>
      </c>
      <c r="E571" s="340">
        <v>1.0377419172898725</v>
      </c>
      <c r="F571" s="340">
        <v>1.0474318943272938</v>
      </c>
      <c r="G571" s="340">
        <v>1.0562455260408008</v>
      </c>
      <c r="H571" s="340">
        <v>1.0640586503393024</v>
      </c>
      <c r="I571" s="340">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2">
      <c r="B572" s="20">
        <v>11</v>
      </c>
      <c r="C572" s="287" t="s">
        <v>603</v>
      </c>
      <c r="D572" s="340">
        <v>1.0178171842817774</v>
      </c>
      <c r="E572" s="340">
        <v>1.0268788054668254</v>
      </c>
      <c r="F572" s="340">
        <v>1.0355020343395345</v>
      </c>
      <c r="G572" s="340">
        <v>1.0444747874619096</v>
      </c>
      <c r="H572" s="340">
        <v>1.0532224668176333</v>
      </c>
      <c r="I572" s="340">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2">
      <c r="B573" s="20">
        <v>12</v>
      </c>
      <c r="C573" s="287" t="s">
        <v>604</v>
      </c>
      <c r="D573" s="340">
        <v>1.0258121374506908</v>
      </c>
      <c r="E573" s="340">
        <v>1.0369793076474678</v>
      </c>
      <c r="F573" s="340">
        <v>1.0464786659194905</v>
      </c>
      <c r="G573" s="340">
        <v>1.0551271917293508</v>
      </c>
      <c r="H573" s="340">
        <v>1.0628483988963264</v>
      </c>
      <c r="I573" s="340">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2">
      <c r="B574" s="20">
        <v>13</v>
      </c>
      <c r="C574" s="287" t="s">
        <v>605</v>
      </c>
      <c r="D574" s="340">
        <v>1.0365941840145607</v>
      </c>
      <c r="E574" s="340">
        <v>1.0572178180655467</v>
      </c>
      <c r="F574" s="340">
        <v>1.0785254514512732</v>
      </c>
      <c r="G574" s="340">
        <v>1.0997637625585324</v>
      </c>
      <c r="H574" s="340">
        <v>1.1201767945027068</v>
      </c>
      <c r="I574" s="340">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2">
      <c r="B575" s="20">
        <v>14</v>
      </c>
      <c r="C575" s="287" t="s">
        <v>606</v>
      </c>
      <c r="D575" s="340">
        <v>1.0078587000810717</v>
      </c>
      <c r="E575" s="340">
        <v>1.0115906567364388</v>
      </c>
      <c r="F575" s="340">
        <v>1.0151771324716494</v>
      </c>
      <c r="G575" s="340">
        <v>1.0185646395951737</v>
      </c>
      <c r="H575" s="340">
        <v>1.0217137974440724</v>
      </c>
      <c r="I575" s="340">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2">
      <c r="B576" s="20">
        <v>15</v>
      </c>
      <c r="C576" s="287"/>
      <c r="D576" s="340"/>
      <c r="E576" s="340"/>
      <c r="F576" s="340"/>
      <c r="G576" s="340"/>
      <c r="H576" s="340"/>
      <c r="I576" s="340"/>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2">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2">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2">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2">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2">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2">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2">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2">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2">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2">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2">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2">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2">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2">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2">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2">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2">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2">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2">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2">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2">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2">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2">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2">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2">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2">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2">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2">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2">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2">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2">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2">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2">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2">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2">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2">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2">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2">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2">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2">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2">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2">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2">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2">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2">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2">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2">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2">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2">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2">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2">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2">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2">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2">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2">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2">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2">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2">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2">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2">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2">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2">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2">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2">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2">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2">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2">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2">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2">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2">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2">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2">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2">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2">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2">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2">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2">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2">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2">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2">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2">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2">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2">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2">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2">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2">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2">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2">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2">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2">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2">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2">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2">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2">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2">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2">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2">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2">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2">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2">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2">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2">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2">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2">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2">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2">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2">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2">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2">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2">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2">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2">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2">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2">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2">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2">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2">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2">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2">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2">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2">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2">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2">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2">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2">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2">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2">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2">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2">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2">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2">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2">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2">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2">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2">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2">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2">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2">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2">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2">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2">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2">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2">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2">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2">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2">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2">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2">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2">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2">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2">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2">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2">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2">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2">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2">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2">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2">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2">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2">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2">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2">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2">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2">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2">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2">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2">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2">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2">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2">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2">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2">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2">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2">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2">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2">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2">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2">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2">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2">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2">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2">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2">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2">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2">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2">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2">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2">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2">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2">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2">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2">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2">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2">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2">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2">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2">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2">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2">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2">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2">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2">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2">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2">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2">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2">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2">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2">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2">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2">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2">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2">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2">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2">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2">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2">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2">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2">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2">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2">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2">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2">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2">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2">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2">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2">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2">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2">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2">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2">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2">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2">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2">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2">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2">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2">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2">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2">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2">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2">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2">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2">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2">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2">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2">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2">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2">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2">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2">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2">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2">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2">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2">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2">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2">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2">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2">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2">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2">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2">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2">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2">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2">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2">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2">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2">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2">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2">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2">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2">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2">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2">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2">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2">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2">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2">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2">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2">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2">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2">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2">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2">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2">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2">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2">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2">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2">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2">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2">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2">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2">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2">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2">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2">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2">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2">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2">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2">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2">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2">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2">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2">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2">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2">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2">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2">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2">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2">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2">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2">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2">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2">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2">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2">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2">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2">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2">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2">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2">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2">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2">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2">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2">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2">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2">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2">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2">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2">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2">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2">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2">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2">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2">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2">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2">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2">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2">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2">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2">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2">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2">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2">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2">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2">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2">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2">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2">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2">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2">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2">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2">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2">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2">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2">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2">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2">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2">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2">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2">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2">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5"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H72"/>
  <sheetViews>
    <sheetView showGridLines="0" zoomScale="80" zoomScaleNormal="80" workbookViewId="0"/>
  </sheetViews>
  <sheetFormatPr defaultColWidth="9.140625" defaultRowHeight="14.25" x14ac:dyDescent="0.2"/>
  <cols>
    <col min="1" max="1" width="76.28515625" style="2" customWidth="1"/>
    <col min="2" max="2" width="19.42578125" style="2" customWidth="1"/>
    <col min="3" max="5" width="15.85546875" style="2" customWidth="1"/>
    <col min="6" max="7" width="3.7109375" style="2" customWidth="1"/>
    <col min="8" max="8" width="83.85546875" style="2" customWidth="1"/>
    <col min="9" max="9" width="3.7109375" style="2" customWidth="1"/>
    <col min="10" max="16384" width="9.140625" style="2"/>
  </cols>
  <sheetData>
    <row r="1" spans="1:8" ht="30" customHeight="1" x14ac:dyDescent="0.2">
      <c r="A1" s="179" t="s">
        <v>607</v>
      </c>
      <c r="B1" s="596"/>
      <c r="C1" s="597"/>
      <c r="D1" s="597"/>
      <c r="E1" s="597"/>
      <c r="F1" s="214" t="s">
        <v>1</v>
      </c>
      <c r="G1" s="214" t="s">
        <v>1</v>
      </c>
      <c r="H1" s="214" t="s">
        <v>1</v>
      </c>
    </row>
    <row r="2" spans="1:8" ht="30" customHeight="1" x14ac:dyDescent="0.2">
      <c r="A2" s="205" t="s">
        <v>608</v>
      </c>
      <c r="B2" s="245" t="s">
        <v>1</v>
      </c>
      <c r="C2" s="246" t="s">
        <v>1</v>
      </c>
      <c r="D2" s="246" t="s">
        <v>1</v>
      </c>
      <c r="E2" s="214" t="s">
        <v>1</v>
      </c>
      <c r="F2" s="212" t="s">
        <v>1</v>
      </c>
      <c r="G2" s="212" t="s">
        <v>1</v>
      </c>
      <c r="H2" s="212" t="s">
        <v>1</v>
      </c>
    </row>
    <row r="3" spans="1:8" ht="18" customHeight="1" x14ac:dyDescent="0.25">
      <c r="A3" s="330"/>
      <c r="B3" s="219"/>
      <c r="C3" s="219"/>
      <c r="D3" s="219"/>
      <c r="E3" s="214"/>
      <c r="F3" s="212"/>
    </row>
    <row r="4" spans="1:8" ht="18" customHeight="1" thickBot="1" x14ac:dyDescent="0.3">
      <c r="A4" s="298"/>
      <c r="B4" s="219"/>
      <c r="C4" s="219"/>
      <c r="D4" s="219"/>
      <c r="E4" s="214"/>
      <c r="F4" s="212"/>
    </row>
    <row r="5" spans="1:8" ht="30" customHeight="1" x14ac:dyDescent="0.2">
      <c r="A5" s="206" t="s">
        <v>609</v>
      </c>
      <c r="B5" s="351">
        <v>1</v>
      </c>
      <c r="C5" s="204" t="s">
        <v>1</v>
      </c>
      <c r="D5" s="212" t="s">
        <v>1</v>
      </c>
      <c r="E5" s="212" t="s">
        <v>1</v>
      </c>
      <c r="F5" s="212" t="s">
        <v>1</v>
      </c>
      <c r="G5" s="212" t="s">
        <v>1</v>
      </c>
      <c r="H5" s="212" t="s">
        <v>1</v>
      </c>
    </row>
    <row r="6" spans="1:8" ht="30" customHeight="1" x14ac:dyDescent="0.2">
      <c r="A6" s="207" t="s">
        <v>610</v>
      </c>
      <c r="B6" s="352" t="s">
        <v>37</v>
      </c>
      <c r="C6" s="204" t="s">
        <v>1</v>
      </c>
      <c r="D6" s="212" t="s">
        <v>1</v>
      </c>
      <c r="E6" s="212" t="s">
        <v>1</v>
      </c>
      <c r="F6" s="212" t="s">
        <v>1</v>
      </c>
      <c r="G6" s="212" t="s">
        <v>1</v>
      </c>
      <c r="H6" s="212" t="s">
        <v>1</v>
      </c>
    </row>
    <row r="7" spans="1:8" ht="30" customHeight="1" x14ac:dyDescent="0.2">
      <c r="A7" s="207" t="s">
        <v>26</v>
      </c>
      <c r="B7" s="352" t="s">
        <v>65</v>
      </c>
      <c r="C7" s="204" t="s">
        <v>1</v>
      </c>
      <c r="D7" s="212" t="s">
        <v>1</v>
      </c>
      <c r="E7" s="212" t="s">
        <v>1</v>
      </c>
      <c r="F7" s="212" t="s">
        <v>1</v>
      </c>
      <c r="G7" s="212" t="s">
        <v>1</v>
      </c>
      <c r="H7" s="212" t="s">
        <v>1</v>
      </c>
    </row>
    <row r="8" spans="1:8" ht="30" customHeight="1" thickBot="1" x14ac:dyDescent="0.25">
      <c r="A8" s="339" t="s">
        <v>611</v>
      </c>
      <c r="B8" s="353"/>
      <c r="C8" s="204" t="s">
        <v>1</v>
      </c>
      <c r="D8" s="212" t="s">
        <v>1</v>
      </c>
      <c r="E8" s="212" t="s">
        <v>1</v>
      </c>
      <c r="F8" s="212" t="s">
        <v>1</v>
      </c>
      <c r="G8" s="212" t="s">
        <v>1</v>
      </c>
      <c r="H8" s="212" t="s">
        <v>1</v>
      </c>
    </row>
    <row r="9" spans="1:8" ht="30" customHeight="1" thickBot="1" x14ac:dyDescent="0.25">
      <c r="A9" s="339" t="s">
        <v>612</v>
      </c>
      <c r="B9" s="353"/>
      <c r="C9" s="204"/>
      <c r="D9" s="212"/>
      <c r="E9" s="212"/>
      <c r="F9" s="212"/>
    </row>
    <row r="10" spans="1:8" ht="14.1" customHeight="1" thickBot="1" x14ac:dyDescent="0.25">
      <c r="A10" s="215" t="s">
        <v>1</v>
      </c>
      <c r="B10" s="216" t="s">
        <v>1</v>
      </c>
      <c r="C10" s="204" t="s">
        <v>1</v>
      </c>
      <c r="D10" s="212" t="s">
        <v>1</v>
      </c>
      <c r="E10" s="212" t="s">
        <v>1</v>
      </c>
      <c r="F10" s="212" t="s">
        <v>1</v>
      </c>
      <c r="G10" s="212" t="s">
        <v>1</v>
      </c>
      <c r="H10" s="212" t="s">
        <v>1</v>
      </c>
    </row>
    <row r="11" spans="1:8" ht="75" customHeight="1" x14ac:dyDescent="0.25">
      <c r="A11" s="208"/>
      <c r="B11" s="264" t="s">
        <v>613</v>
      </c>
      <c r="C11" s="264" t="s">
        <v>613</v>
      </c>
      <c r="D11" s="265" t="s">
        <v>614</v>
      </c>
      <c r="E11" s="266" t="s">
        <v>614</v>
      </c>
      <c r="F11" s="22"/>
      <c r="G11" s="263" t="s">
        <v>1</v>
      </c>
      <c r="H11" s="267" t="s">
        <v>615</v>
      </c>
    </row>
    <row r="12" spans="1:8" s="178" customFormat="1" ht="30" customHeight="1" x14ac:dyDescent="0.2">
      <c r="A12" s="302" t="s">
        <v>616</v>
      </c>
      <c r="B12" s="184" t="s">
        <v>617</v>
      </c>
      <c r="C12" s="185" t="s">
        <v>618</v>
      </c>
      <c r="D12" s="184" t="s">
        <v>617</v>
      </c>
      <c r="E12" s="185" t="s">
        <v>618</v>
      </c>
      <c r="G12" s="212" t="s">
        <v>1</v>
      </c>
      <c r="H12" s="211" t="s">
        <v>1</v>
      </c>
    </row>
    <row r="13" spans="1:8" s="178" customFormat="1" ht="30" customHeight="1" x14ac:dyDescent="0.25">
      <c r="A13" s="331" t="s">
        <v>619</v>
      </c>
      <c r="B13" s="303"/>
      <c r="C13" s="304">
        <f>IF(OR(B9&gt;"",'Population selection'!J23="",),B9,'Population selection'!J14)</f>
        <v>44456850</v>
      </c>
      <c r="D13" s="305"/>
      <c r="E13" s="304">
        <f>C13</f>
        <v>44456850</v>
      </c>
      <c r="G13" s="211" t="s">
        <v>1</v>
      </c>
      <c r="H13" s="309" t="s">
        <v>620</v>
      </c>
    </row>
    <row r="14" spans="1:8" s="178" customFormat="1" ht="30" customHeight="1" x14ac:dyDescent="0.25">
      <c r="A14" s="177" t="s">
        <v>621</v>
      </c>
      <c r="B14" s="307"/>
      <c r="C14" s="304">
        <f>IF(OR(B9&gt;"",'Population selection'!J23="",),B9*'Resource impact over time'!G11,'Population selection'!J14*('Resource impact over time'!G11))</f>
        <v>46263200</v>
      </c>
      <c r="E14" s="304">
        <f>C14</f>
        <v>46263200</v>
      </c>
      <c r="G14" s="211" t="s">
        <v>1</v>
      </c>
      <c r="H14" s="613"/>
    </row>
    <row r="15" spans="1:8" s="178" customFormat="1" ht="30" customHeight="1" x14ac:dyDescent="0.25">
      <c r="A15" s="177" t="s">
        <v>622</v>
      </c>
      <c r="B15" s="599">
        <v>6.2982420032008606E-5</v>
      </c>
      <c r="C15" s="304">
        <f>B15*C14</f>
        <v>2913.7682944248204</v>
      </c>
      <c r="D15" s="598">
        <v>6.2982420032008606E-5</v>
      </c>
      <c r="E15" s="304">
        <f>D15*E14</f>
        <v>2913.7682944248204</v>
      </c>
      <c r="G15" s="211" t="s">
        <v>1</v>
      </c>
      <c r="H15" s="614" t="s">
        <v>811</v>
      </c>
    </row>
    <row r="16" spans="1:8" s="178" customFormat="1" ht="30" customHeight="1" x14ac:dyDescent="0.25">
      <c r="A16" s="177" t="s">
        <v>623</v>
      </c>
      <c r="B16" s="599">
        <v>0.66700000000000004</v>
      </c>
      <c r="C16" s="304">
        <f>C15*B16</f>
        <v>1943.4834523813554</v>
      </c>
      <c r="D16" s="598">
        <v>0.66700000000000004</v>
      </c>
      <c r="E16" s="304">
        <f>E15*D16</f>
        <v>1943.4834523813554</v>
      </c>
      <c r="G16" s="211" t="s">
        <v>1</v>
      </c>
      <c r="H16" s="334" t="s">
        <v>624</v>
      </c>
    </row>
    <row r="17" spans="1:8" s="178" customFormat="1" ht="30" customHeight="1" x14ac:dyDescent="0.25">
      <c r="A17" s="356" t="s">
        <v>625</v>
      </c>
      <c r="B17" s="523"/>
      <c r="C17" s="524"/>
      <c r="D17" s="524"/>
      <c r="E17" s="524"/>
      <c r="G17" s="211"/>
      <c r="H17" s="334"/>
    </row>
    <row r="18" spans="1:8" s="178" customFormat="1" ht="30" customHeight="1" x14ac:dyDescent="0.25">
      <c r="A18" s="177" t="s">
        <v>626</v>
      </c>
      <c r="B18" s="599">
        <v>0.9</v>
      </c>
      <c r="C18" s="304">
        <f>B18*C16</f>
        <v>1749.1351071432198</v>
      </c>
      <c r="D18" s="598">
        <v>0.9</v>
      </c>
      <c r="E18" s="304">
        <f>D18*E16</f>
        <v>1749.1351071432198</v>
      </c>
      <c r="G18" s="211"/>
      <c r="H18" s="334" t="s">
        <v>627</v>
      </c>
    </row>
    <row r="19" spans="1:8" s="178" customFormat="1" ht="30" customHeight="1" x14ac:dyDescent="0.25">
      <c r="A19" s="177" t="s">
        <v>807</v>
      </c>
      <c r="B19" s="599">
        <v>0.67</v>
      </c>
      <c r="C19" s="304">
        <f>C18*B19</f>
        <v>1171.9205217859574</v>
      </c>
      <c r="D19" s="598">
        <v>0.67</v>
      </c>
      <c r="E19" s="304">
        <f>E18*D19</f>
        <v>1171.9205217859574</v>
      </c>
      <c r="G19" s="211"/>
      <c r="H19" s="334" t="s">
        <v>805</v>
      </c>
    </row>
    <row r="20" spans="1:8" s="178" customFormat="1" ht="30" customHeight="1" x14ac:dyDescent="0.25">
      <c r="A20" s="356" t="s">
        <v>628</v>
      </c>
      <c r="B20" s="524"/>
      <c r="C20" s="524"/>
      <c r="D20" s="524"/>
      <c r="E20" s="524"/>
      <c r="G20" s="211"/>
      <c r="H20" s="334"/>
    </row>
    <row r="21" spans="1:8" s="178" customFormat="1" ht="30" customHeight="1" x14ac:dyDescent="0.25">
      <c r="A21" s="177" t="s">
        <v>629</v>
      </c>
      <c r="B21" s="599">
        <v>9.9999999999999978E-2</v>
      </c>
      <c r="C21" s="304">
        <f>C16*B21</f>
        <v>194.34834523813549</v>
      </c>
      <c r="D21" s="598">
        <v>9.9999999999999978E-2</v>
      </c>
      <c r="E21" s="304">
        <f>E16*D21</f>
        <v>194.34834523813549</v>
      </c>
      <c r="G21" s="211"/>
      <c r="H21" s="334" t="s">
        <v>627</v>
      </c>
    </row>
    <row r="22" spans="1:8" s="178" customFormat="1" ht="30" customHeight="1" x14ac:dyDescent="0.25">
      <c r="A22" s="177" t="s">
        <v>630</v>
      </c>
      <c r="B22" s="599">
        <v>1</v>
      </c>
      <c r="C22" s="304">
        <f>C21*B22</f>
        <v>194.34834523813549</v>
      </c>
      <c r="D22" s="598">
        <v>1</v>
      </c>
      <c r="E22" s="304">
        <f>E21*D22</f>
        <v>194.34834523813549</v>
      </c>
      <c r="G22" s="211"/>
      <c r="H22" s="334" t="s">
        <v>631</v>
      </c>
    </row>
    <row r="23" spans="1:8" s="178" customFormat="1" ht="30" customHeight="1" x14ac:dyDescent="0.25">
      <c r="A23" s="356" t="s">
        <v>632</v>
      </c>
      <c r="B23" s="523"/>
      <c r="C23" s="610"/>
      <c r="D23" s="524"/>
      <c r="E23" s="610"/>
      <c r="G23" s="211"/>
    </row>
    <row r="24" spans="1:8" s="178" customFormat="1" ht="30" customHeight="1" x14ac:dyDescent="0.25">
      <c r="A24" s="177" t="s">
        <v>633</v>
      </c>
      <c r="B24" s="599">
        <v>0.75</v>
      </c>
      <c r="C24" s="304">
        <f>C16*B24</f>
        <v>1457.6125892860166</v>
      </c>
      <c r="D24" s="598">
        <v>0.75</v>
      </c>
      <c r="E24" s="304">
        <f>E16*D24</f>
        <v>1457.6125892860166</v>
      </c>
      <c r="G24" s="211"/>
      <c r="H24" s="334" t="s">
        <v>634</v>
      </c>
    </row>
    <row r="25" spans="1:8" s="178" customFormat="1" ht="30" customHeight="1" x14ac:dyDescent="0.25">
      <c r="A25" s="177" t="s">
        <v>635</v>
      </c>
      <c r="B25" s="599">
        <v>0.34</v>
      </c>
      <c r="C25" s="304">
        <f>C24*B25</f>
        <v>495.58828035724571</v>
      </c>
      <c r="D25" s="598">
        <v>0.34</v>
      </c>
      <c r="E25" s="304">
        <f>E24*D25</f>
        <v>495.58828035724571</v>
      </c>
      <c r="G25" s="211" t="s">
        <v>1</v>
      </c>
      <c r="H25" s="334" t="s">
        <v>634</v>
      </c>
    </row>
    <row r="26" spans="1:8" s="178" customFormat="1" ht="30" customHeight="1" x14ac:dyDescent="0.25">
      <c r="A26" s="356" t="s">
        <v>812</v>
      </c>
      <c r="B26" s="525"/>
      <c r="C26" s="611"/>
      <c r="D26" s="526"/>
      <c r="E26" s="611"/>
      <c r="G26" s="211"/>
      <c r="H26" s="334"/>
    </row>
    <row r="27" spans="1:8" s="178" customFormat="1" ht="30" customHeight="1" x14ac:dyDescent="0.25">
      <c r="A27" s="416" t="s">
        <v>813</v>
      </c>
      <c r="B27" s="600">
        <f>100%-B19</f>
        <v>0.32999999999999996</v>
      </c>
      <c r="C27" s="417">
        <f>B27*C18</f>
        <v>577.21458535726242</v>
      </c>
      <c r="D27" s="601">
        <f>1-D19</f>
        <v>0.32999999999999996</v>
      </c>
      <c r="E27" s="417">
        <f>D27*E18</f>
        <v>577.21458535726242</v>
      </c>
      <c r="G27" s="211"/>
      <c r="H27" s="334" t="s">
        <v>838</v>
      </c>
    </row>
    <row r="28" spans="1:8" s="178" customFormat="1" ht="30" customHeight="1" thickBot="1" x14ac:dyDescent="0.3">
      <c r="A28" s="199" t="s">
        <v>616</v>
      </c>
      <c r="B28" s="608"/>
      <c r="C28" s="612">
        <f>C25+C22+C19+C27</f>
        <v>2439.071732738601</v>
      </c>
      <c r="D28" s="609"/>
      <c r="E28" s="612">
        <f>E25+E22+E19+E27</f>
        <v>2439.071732738601</v>
      </c>
      <c r="F28" s="308"/>
      <c r="G28" s="211" t="s">
        <v>1</v>
      </c>
    </row>
    <row r="29" spans="1:8" ht="15" thickBot="1" x14ac:dyDescent="0.25">
      <c r="A29" s="212" t="s">
        <v>1</v>
      </c>
      <c r="B29" s="212" t="s">
        <v>1</v>
      </c>
      <c r="C29" s="212" t="s">
        <v>1</v>
      </c>
      <c r="D29" s="212" t="s">
        <v>1</v>
      </c>
      <c r="E29" s="212" t="s">
        <v>1</v>
      </c>
      <c r="F29" s="212" t="s">
        <v>1</v>
      </c>
      <c r="G29" s="212" t="s">
        <v>1</v>
      </c>
      <c r="H29" s="178"/>
    </row>
    <row r="30" spans="1:8" ht="45" x14ac:dyDescent="0.2">
      <c r="A30" s="415" t="s">
        <v>806</v>
      </c>
      <c r="B30" s="299" t="s">
        <v>617</v>
      </c>
      <c r="C30" s="300" t="s">
        <v>618</v>
      </c>
      <c r="D30" s="299" t="s">
        <v>617</v>
      </c>
      <c r="E30" s="300" t="s">
        <v>618</v>
      </c>
      <c r="F30" s="178"/>
      <c r="G30" s="212" t="s">
        <v>1</v>
      </c>
      <c r="H30" s="211"/>
    </row>
    <row r="31" spans="1:8" s="178" customFormat="1" ht="26.45" customHeight="1" x14ac:dyDescent="0.25">
      <c r="A31" s="177" t="s">
        <v>636</v>
      </c>
      <c r="B31" s="599"/>
      <c r="C31" s="304">
        <f>B31*C19</f>
        <v>0</v>
      </c>
      <c r="D31" s="598"/>
      <c r="E31" s="304">
        <f>D31*E19</f>
        <v>0</v>
      </c>
      <c r="G31" s="211" t="s">
        <v>1</v>
      </c>
      <c r="H31" s="334" t="s">
        <v>637</v>
      </c>
    </row>
    <row r="32" spans="1:8" s="178" customFormat="1" ht="26.45" customHeight="1" x14ac:dyDescent="0.25">
      <c r="A32" s="177" t="s">
        <v>638</v>
      </c>
      <c r="B32" s="599"/>
      <c r="C32" s="304">
        <f t="shared" ref="C32" si="0">C19*B32</f>
        <v>0</v>
      </c>
      <c r="D32" s="598"/>
      <c r="E32" s="304">
        <f>E19*D32</f>
        <v>0</v>
      </c>
      <c r="G32" s="211" t="s">
        <v>1</v>
      </c>
      <c r="H32" s="334" t="s">
        <v>637</v>
      </c>
    </row>
    <row r="33" spans="1:8" s="178" customFormat="1" ht="26.45" customHeight="1" x14ac:dyDescent="0.25">
      <c r="A33" s="416" t="s">
        <v>639</v>
      </c>
      <c r="B33" s="600"/>
      <c r="C33" s="304">
        <f>C19*B33</f>
        <v>0</v>
      </c>
      <c r="D33" s="601"/>
      <c r="E33" s="304">
        <f>E19*D33</f>
        <v>0</v>
      </c>
      <c r="G33" s="211"/>
      <c r="H33" s="334" t="s">
        <v>637</v>
      </c>
    </row>
    <row r="34" spans="1:8" s="178" customFormat="1" ht="26.45" customHeight="1" thickBot="1" x14ac:dyDescent="0.3">
      <c r="A34" s="413" t="s">
        <v>808</v>
      </c>
      <c r="B34" s="602"/>
      <c r="C34" s="414">
        <f>C19*B34</f>
        <v>0</v>
      </c>
      <c r="D34" s="603"/>
      <c r="E34" s="414">
        <f>E19*D34</f>
        <v>0</v>
      </c>
      <c r="H34" s="334" t="s">
        <v>637</v>
      </c>
    </row>
    <row r="35" spans="1:8" ht="15" thickBot="1" x14ac:dyDescent="0.25">
      <c r="H35" s="178"/>
    </row>
    <row r="36" spans="1:8" ht="30" x14ac:dyDescent="0.2">
      <c r="A36" s="415" t="s">
        <v>640</v>
      </c>
      <c r="B36" s="299" t="s">
        <v>617</v>
      </c>
      <c r="C36" s="300" t="s">
        <v>618</v>
      </c>
      <c r="D36" s="299" t="s">
        <v>617</v>
      </c>
      <c r="E36" s="300" t="s">
        <v>618</v>
      </c>
      <c r="F36" s="178"/>
      <c r="H36" s="178"/>
    </row>
    <row r="37" spans="1:8" ht="26.1" customHeight="1" x14ac:dyDescent="0.2">
      <c r="A37" s="177" t="s">
        <v>636</v>
      </c>
      <c r="B37" s="599"/>
      <c r="C37" s="304">
        <f>B37*C$22</f>
        <v>0</v>
      </c>
      <c r="D37" s="598"/>
      <c r="E37" s="304">
        <f>D37*E$22</f>
        <v>0</v>
      </c>
      <c r="F37" s="178"/>
      <c r="H37" s="334" t="s">
        <v>637</v>
      </c>
    </row>
    <row r="38" spans="1:8" ht="26.1" customHeight="1" x14ac:dyDescent="0.2">
      <c r="A38" s="177" t="s">
        <v>638</v>
      </c>
      <c r="B38" s="599"/>
      <c r="C38" s="304">
        <f t="shared" ref="C38:E41" si="1">B38*C$22</f>
        <v>0</v>
      </c>
      <c r="D38" s="598"/>
      <c r="E38" s="304">
        <f t="shared" si="1"/>
        <v>0</v>
      </c>
      <c r="F38" s="178"/>
      <c r="H38" s="334" t="s">
        <v>637</v>
      </c>
    </row>
    <row r="39" spans="1:8" ht="26.1" customHeight="1" x14ac:dyDescent="0.2">
      <c r="A39" s="416" t="s">
        <v>641</v>
      </c>
      <c r="B39" s="600"/>
      <c r="C39" s="417">
        <f>B39*C$22</f>
        <v>0</v>
      </c>
      <c r="D39" s="601"/>
      <c r="E39" s="417">
        <f t="shared" si="1"/>
        <v>0</v>
      </c>
      <c r="F39" s="178"/>
      <c r="H39" s="334" t="s">
        <v>637</v>
      </c>
    </row>
    <row r="40" spans="1:8" ht="26.1" customHeight="1" x14ac:dyDescent="0.2">
      <c r="A40" s="416" t="s">
        <v>639</v>
      </c>
      <c r="B40" s="600"/>
      <c r="C40" s="417">
        <f>B40*C$22</f>
        <v>0</v>
      </c>
      <c r="D40" s="601"/>
      <c r="E40" s="417">
        <f>D40*E$22</f>
        <v>0</v>
      </c>
      <c r="F40" s="178"/>
      <c r="H40" s="334" t="s">
        <v>637</v>
      </c>
    </row>
    <row r="41" spans="1:8" ht="26.1" customHeight="1" thickBot="1" x14ac:dyDescent="0.25">
      <c r="A41" s="413" t="s">
        <v>808</v>
      </c>
      <c r="B41" s="602"/>
      <c r="C41" s="414">
        <f t="shared" si="1"/>
        <v>0</v>
      </c>
      <c r="D41" s="603"/>
      <c r="E41" s="414">
        <f t="shared" si="1"/>
        <v>0</v>
      </c>
      <c r="F41" s="178"/>
      <c r="H41" s="334" t="s">
        <v>637</v>
      </c>
    </row>
    <row r="42" spans="1:8" ht="27" customHeight="1" thickBot="1" x14ac:dyDescent="0.25">
      <c r="A42" s="418"/>
      <c r="B42" s="307"/>
      <c r="C42" s="419"/>
      <c r="D42" s="307"/>
      <c r="E42" s="419"/>
      <c r="F42" s="178"/>
      <c r="H42" s="334"/>
    </row>
    <row r="43" spans="1:8" ht="27" customHeight="1" x14ac:dyDescent="0.2">
      <c r="A43" s="415" t="s">
        <v>642</v>
      </c>
      <c r="B43" s="299" t="s">
        <v>617</v>
      </c>
      <c r="C43" s="300" t="s">
        <v>618</v>
      </c>
      <c r="D43" s="299" t="s">
        <v>617</v>
      </c>
      <c r="E43" s="300" t="s">
        <v>618</v>
      </c>
      <c r="F43" s="178"/>
      <c r="H43" s="178"/>
    </row>
    <row r="44" spans="1:8" ht="26.1" customHeight="1" x14ac:dyDescent="0.2">
      <c r="A44" s="177" t="s">
        <v>636</v>
      </c>
      <c r="B44" s="599"/>
      <c r="C44" s="304">
        <f>B44*C$25</f>
        <v>0</v>
      </c>
      <c r="D44" s="598"/>
      <c r="E44" s="304">
        <f>D44*E$25</f>
        <v>0</v>
      </c>
      <c r="F44" s="178"/>
      <c r="H44" s="334" t="s">
        <v>637</v>
      </c>
    </row>
    <row r="45" spans="1:8" ht="26.1" customHeight="1" x14ac:dyDescent="0.2">
      <c r="A45" s="177" t="s">
        <v>638</v>
      </c>
      <c r="B45" s="599"/>
      <c r="C45" s="304">
        <f t="shared" ref="C45:E47" si="2">B45*C$25</f>
        <v>0</v>
      </c>
      <c r="D45" s="598"/>
      <c r="E45" s="304">
        <f t="shared" si="2"/>
        <v>0</v>
      </c>
      <c r="F45" s="178"/>
      <c r="H45" s="334" t="s">
        <v>637</v>
      </c>
    </row>
    <row r="46" spans="1:8" ht="26.1" customHeight="1" x14ac:dyDescent="0.2">
      <c r="A46" s="416" t="s">
        <v>641</v>
      </c>
      <c r="B46" s="600"/>
      <c r="C46" s="304">
        <f t="shared" si="2"/>
        <v>0</v>
      </c>
      <c r="D46" s="601"/>
      <c r="E46" s="304">
        <f t="shared" si="2"/>
        <v>0</v>
      </c>
      <c r="F46" s="178"/>
      <c r="H46" s="334" t="s">
        <v>637</v>
      </c>
    </row>
    <row r="47" spans="1:8" ht="26.1" customHeight="1" thickBot="1" x14ac:dyDescent="0.25">
      <c r="A47" s="413" t="s">
        <v>643</v>
      </c>
      <c r="B47" s="602"/>
      <c r="C47" s="414">
        <f>B47*C$25</f>
        <v>0</v>
      </c>
      <c r="D47" s="603"/>
      <c r="E47" s="414">
        <f t="shared" si="2"/>
        <v>0</v>
      </c>
      <c r="F47" s="178"/>
      <c r="H47" s="334" t="s">
        <v>637</v>
      </c>
    </row>
    <row r="48" spans="1:8" ht="15" thickBot="1" x14ac:dyDescent="0.25">
      <c r="H48" s="178"/>
    </row>
    <row r="49" spans="1:8" ht="28.5" x14ac:dyDescent="0.2">
      <c r="A49" s="415" t="s">
        <v>814</v>
      </c>
      <c r="B49" s="528" t="s">
        <v>617</v>
      </c>
      <c r="C49" s="529" t="s">
        <v>618</v>
      </c>
      <c r="D49" s="301" t="s">
        <v>617</v>
      </c>
      <c r="E49" s="300" t="s">
        <v>618</v>
      </c>
      <c r="F49" s="178"/>
      <c r="H49" s="178"/>
    </row>
    <row r="50" spans="1:8" ht="26.1" customHeight="1" x14ac:dyDescent="0.2">
      <c r="A50" s="306" t="s">
        <v>833</v>
      </c>
      <c r="B50" s="604"/>
      <c r="C50" s="581">
        <f>B50*$C$27</f>
        <v>0</v>
      </c>
      <c r="D50" s="606"/>
      <c r="E50" s="583">
        <f>D50*E27</f>
        <v>0</v>
      </c>
      <c r="H50" s="334" t="s">
        <v>637</v>
      </c>
    </row>
    <row r="51" spans="1:8" ht="26.1" customHeight="1" x14ac:dyDescent="0.2">
      <c r="A51" s="306" t="s">
        <v>815</v>
      </c>
      <c r="B51" s="604"/>
      <c r="C51" s="581">
        <f t="shared" ref="C51:C52" si="3">B51*$C$27</f>
        <v>0</v>
      </c>
      <c r="D51" s="606"/>
      <c r="E51" s="583">
        <f>D51*E27</f>
        <v>0</v>
      </c>
      <c r="H51" s="334" t="s">
        <v>637</v>
      </c>
    </row>
    <row r="52" spans="1:8" ht="26.1" customHeight="1" thickBot="1" x14ac:dyDescent="0.25">
      <c r="A52" s="527" t="s">
        <v>816</v>
      </c>
      <c r="B52" s="605"/>
      <c r="C52" s="582">
        <f t="shared" si="3"/>
        <v>0</v>
      </c>
      <c r="D52" s="607"/>
      <c r="E52" s="584">
        <f>D52*E27</f>
        <v>0</v>
      </c>
      <c r="H52" s="334" t="s">
        <v>637</v>
      </c>
    </row>
    <row r="58" spans="1:8" ht="15" thickBot="1" x14ac:dyDescent="0.25"/>
    <row r="59" spans="1:8" x14ac:dyDescent="0.2">
      <c r="H59" s="310" t="s">
        <v>644</v>
      </c>
    </row>
    <row r="60" spans="1:8" ht="38.25" x14ac:dyDescent="0.2">
      <c r="H60" s="164" t="s">
        <v>645</v>
      </c>
    </row>
    <row r="61" spans="1:8" x14ac:dyDescent="0.2">
      <c r="H61" s="165" t="s">
        <v>646</v>
      </c>
    </row>
    <row r="62" spans="1:8" x14ac:dyDescent="0.2">
      <c r="H62" s="165"/>
    </row>
    <row r="63" spans="1:8" ht="25.5" x14ac:dyDescent="0.2">
      <c r="H63" s="181" t="s">
        <v>647</v>
      </c>
    </row>
    <row r="64" spans="1:8" ht="25.5" x14ac:dyDescent="0.2">
      <c r="H64" s="165" t="s">
        <v>648</v>
      </c>
    </row>
    <row r="65" spans="8:8" x14ac:dyDescent="0.2">
      <c r="H65" s="182"/>
    </row>
    <row r="66" spans="8:8" ht="25.5" x14ac:dyDescent="0.2">
      <c r="H66" s="166" t="s">
        <v>649</v>
      </c>
    </row>
    <row r="67" spans="8:8" x14ac:dyDescent="0.2">
      <c r="H67" s="200" t="s">
        <v>650</v>
      </c>
    </row>
    <row r="68" spans="8:8" x14ac:dyDescent="0.2">
      <c r="H68" s="311"/>
    </row>
    <row r="69" spans="8:8" ht="25.5" x14ac:dyDescent="0.2">
      <c r="H69" s="183" t="s">
        <v>651</v>
      </c>
    </row>
    <row r="70" spans="8:8" ht="25.5" x14ac:dyDescent="0.2">
      <c r="H70" s="165" t="s">
        <v>652</v>
      </c>
    </row>
    <row r="71" spans="8:8" x14ac:dyDescent="0.2">
      <c r="H71" s="163"/>
    </row>
    <row r="72" spans="8:8" ht="15" thickBot="1" x14ac:dyDescent="0.25">
      <c r="H72" s="312"/>
    </row>
  </sheetData>
  <sheetProtection algorithmName="SHA-512" hashValue="0A/D5fh6vnzytO+rI9CyWmiLUvXNRl/ZK0wmS+p2H29VoofUVFxMAhQXp3G5qY417YCyCy3K1gT5hAyJ+RpoEw==" saltValue="wwMN7U4XHWlFkBJ5G3xjmg==" spinCount="100000" sheet="1" objects="1" scenarios="1"/>
  <dataConsolidate/>
  <dataValidations disablePrompts="1" count="1">
    <dataValidation type="list" allowBlank="1" showInputMessage="1" showErrorMessage="1" sqref="B6" xr:uid="{00000000-0002-0000-0600-000000000000}">
      <formula1>ORGTYPE</formula1>
    </dataValidation>
  </dataValidations>
  <hyperlinks>
    <hyperlink ref="H61" r:id="rId1" xr:uid="{7A7B870A-FF22-43F3-B903-5C32B42B4F2E}"/>
    <hyperlink ref="H64" r:id="rId2" xr:uid="{78CA2500-D599-4851-8EF0-E0894E7EEF72}"/>
    <hyperlink ref="H70" r:id="rId3" xr:uid="{19E8760E-2B0C-4433-BA85-096E43EBB016}"/>
    <hyperlink ref="H67" r:id="rId4" xr:uid="{05FC76C9-BA11-4A53-A949-854ABFCF0296}"/>
    <hyperlink ref="H15" r:id="rId5" xr:uid="{0CB29637-4C4E-4072-947C-4247CFB61674}"/>
  </hyperlinks>
  <pageMargins left="0.31496062992125984" right="0.31496062992125984" top="0.74803149606299213" bottom="0.74803149606299213" header="0.31496062992125984" footer="0.31496062992125984"/>
  <pageSetup paperSize="9" scale="48" fitToHeight="2" orientation="landscape" r:id="rId6"/>
  <ignoredErrors>
    <ignoredError sqref="E16 C16" evalError="1"/>
  </ignoredErrors>
  <drawing r:id="rId7"/>
  <legacyDrawing r:id="rId8"/>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AJ200"/>
  <sheetViews>
    <sheetView showGridLines="0" zoomScale="80" zoomScaleNormal="80" workbookViewId="0"/>
  </sheetViews>
  <sheetFormatPr defaultColWidth="9.140625" defaultRowHeight="12.75" x14ac:dyDescent="0.2"/>
  <cols>
    <col min="1" max="1" width="39.5703125" style="4" customWidth="1"/>
    <col min="2" max="2" width="29.85546875" style="4" bestFit="1" customWidth="1"/>
    <col min="3" max="3" width="43.85546875" style="4" customWidth="1"/>
    <col min="4" max="4" width="11.42578125" style="4" customWidth="1"/>
    <col min="5" max="6" width="9.85546875" style="4" customWidth="1"/>
    <col min="7" max="7" width="10.28515625" style="4" customWidth="1"/>
    <col min="8" max="8" width="14.140625" style="4" customWidth="1"/>
    <col min="9" max="9" width="15.42578125" style="4" customWidth="1"/>
    <col min="10" max="10" width="13.28515625" style="4" customWidth="1"/>
    <col min="11" max="11" width="10.7109375" style="4" customWidth="1"/>
    <col min="12" max="12" width="12.7109375" style="4" customWidth="1"/>
    <col min="13" max="13" width="24.42578125" style="4" customWidth="1"/>
    <col min="14" max="14" width="11.85546875" style="4" customWidth="1"/>
    <col min="15" max="16384" width="9.140625" style="4"/>
  </cols>
  <sheetData>
    <row r="1" spans="1:36" ht="30" customHeight="1" thickBot="1" x14ac:dyDescent="0.25">
      <c r="A1" s="338" t="str">
        <f>'Assumptions input'!A1</f>
        <v xml:space="preserve">Zanubrutinib for treating chronic lymphocytic leukaemia </v>
      </c>
      <c r="B1" s="167"/>
      <c r="C1" s="218" t="s">
        <v>1</v>
      </c>
      <c r="D1" s="217" t="s">
        <v>1</v>
      </c>
      <c r="E1" s="217" t="s">
        <v>1</v>
      </c>
      <c r="F1" s="217" t="s">
        <v>1</v>
      </c>
      <c r="G1" s="217" t="s">
        <v>1</v>
      </c>
      <c r="H1" s="217" t="s">
        <v>1</v>
      </c>
      <c r="I1" s="217" t="s">
        <v>1</v>
      </c>
      <c r="J1" s="218" t="s">
        <v>1</v>
      </c>
      <c r="K1" s="218"/>
      <c r="L1" s="218"/>
      <c r="M1" s="218" t="s">
        <v>1</v>
      </c>
    </row>
    <row r="2" spans="1:36" ht="26.25" customHeight="1" thickBot="1" x14ac:dyDescent="0.4">
      <c r="A2" s="313" t="s">
        <v>653</v>
      </c>
      <c r="B2" s="314"/>
      <c r="C2" s="218" t="s">
        <v>1</v>
      </c>
      <c r="D2" s="217" t="s">
        <v>1</v>
      </c>
      <c r="E2" s="217" t="s">
        <v>1</v>
      </c>
      <c r="F2" s="217" t="s">
        <v>1</v>
      </c>
      <c r="G2" s="217" t="s">
        <v>1</v>
      </c>
      <c r="H2" s="217" t="s">
        <v>1</v>
      </c>
      <c r="I2" s="217" t="s">
        <v>1</v>
      </c>
      <c r="J2" s="218" t="s">
        <v>1</v>
      </c>
      <c r="K2" s="218"/>
      <c r="L2" s="218"/>
      <c r="M2" s="218" t="s">
        <v>1</v>
      </c>
      <c r="O2" s="589"/>
      <c r="P2" s="396"/>
      <c r="Q2" s="396"/>
      <c r="R2" s="396"/>
      <c r="S2" s="396"/>
      <c r="T2" s="396"/>
      <c r="U2" s="396"/>
      <c r="V2" s="396"/>
      <c r="W2" s="396"/>
      <c r="X2" s="396"/>
      <c r="Y2" s="396"/>
      <c r="Z2" s="396"/>
      <c r="AA2" s="396"/>
      <c r="AB2" s="396"/>
      <c r="AC2" s="396"/>
      <c r="AD2" s="396"/>
      <c r="AE2" s="396"/>
      <c r="AF2" s="396"/>
      <c r="AG2" s="396"/>
      <c r="AH2" s="396"/>
      <c r="AI2" s="396"/>
      <c r="AJ2" s="342"/>
    </row>
    <row r="3" spans="1:36" s="5" customFormat="1" ht="15" x14ac:dyDescent="0.25">
      <c r="A3" s="219" t="s">
        <v>1</v>
      </c>
      <c r="B3" s="220" t="s">
        <v>1</v>
      </c>
      <c r="C3" s="220" t="s">
        <v>1</v>
      </c>
      <c r="D3" s="220" t="s">
        <v>1</v>
      </c>
      <c r="E3" s="217" t="s">
        <v>1</v>
      </c>
      <c r="F3" s="217" t="s">
        <v>1</v>
      </c>
      <c r="G3" s="217" t="s">
        <v>1</v>
      </c>
      <c r="H3" s="217" t="s">
        <v>1</v>
      </c>
      <c r="I3" s="217" t="s">
        <v>1</v>
      </c>
      <c r="J3" s="218" t="s">
        <v>1</v>
      </c>
      <c r="K3" s="218"/>
      <c r="L3" s="218"/>
      <c r="M3" s="218" t="s">
        <v>1</v>
      </c>
    </row>
    <row r="4" spans="1:36" s="5" customFormat="1" ht="15" x14ac:dyDescent="0.25">
      <c r="A4" s="377" t="s">
        <v>654</v>
      </c>
      <c r="B4" s="220"/>
      <c r="C4" s="220"/>
      <c r="D4" s="220"/>
      <c r="E4" s="217"/>
      <c r="F4" s="217"/>
      <c r="G4" s="217"/>
      <c r="H4" s="217"/>
      <c r="I4" s="217"/>
      <c r="J4" s="218"/>
      <c r="K4" s="218"/>
      <c r="L4" s="218"/>
      <c r="M4" s="218"/>
    </row>
    <row r="5" spans="1:36" s="5" customFormat="1" ht="15" x14ac:dyDescent="0.25">
      <c r="A5" s="377"/>
      <c r="B5" s="220"/>
      <c r="C5" s="220"/>
      <c r="D5" s="220"/>
      <c r="E5" s="217"/>
      <c r="F5" s="217"/>
      <c r="G5" s="217"/>
      <c r="H5" s="217"/>
      <c r="I5" s="217"/>
      <c r="J5" s="218"/>
      <c r="K5" s="218"/>
      <c r="L5" s="218"/>
      <c r="M5" s="218"/>
    </row>
    <row r="6" spans="1:36" s="5" customFormat="1" ht="15" x14ac:dyDescent="0.25">
      <c r="A6" s="402" t="s">
        <v>655</v>
      </c>
      <c r="B6" s="401"/>
      <c r="C6" s="401"/>
      <c r="D6" s="401"/>
      <c r="E6" s="401"/>
      <c r="F6" s="401"/>
      <c r="G6" s="401"/>
      <c r="H6" s="401"/>
      <c r="I6" s="401"/>
      <c r="J6" s="357"/>
      <c r="K6" s="358"/>
      <c r="L6" s="359"/>
      <c r="M6" s="218" t="s">
        <v>1</v>
      </c>
      <c r="O6" s="397"/>
    </row>
    <row r="7" spans="1:36" s="5" customFormat="1" ht="75" x14ac:dyDescent="0.25">
      <c r="A7" s="378" t="s">
        <v>656</v>
      </c>
      <c r="B7" s="378" t="s">
        <v>657</v>
      </c>
      <c r="C7" s="378" t="s">
        <v>658</v>
      </c>
      <c r="D7" s="378" t="s">
        <v>659</v>
      </c>
      <c r="E7" s="378" t="s">
        <v>660</v>
      </c>
      <c r="F7" s="378" t="s">
        <v>661</v>
      </c>
      <c r="G7" s="378" t="s">
        <v>662</v>
      </c>
      <c r="H7" s="378" t="s">
        <v>663</v>
      </c>
      <c r="I7" s="378" t="s">
        <v>664</v>
      </c>
      <c r="J7" s="378" t="s">
        <v>665</v>
      </c>
      <c r="K7" s="378" t="s">
        <v>666</v>
      </c>
      <c r="L7" s="372"/>
      <c r="M7" s="372"/>
      <c r="N7" s="591"/>
      <c r="O7" s="590" t="s">
        <v>1</v>
      </c>
    </row>
    <row r="8" spans="1:36" s="5" customFormat="1" ht="30" x14ac:dyDescent="0.2">
      <c r="A8" s="404" t="s">
        <v>667</v>
      </c>
      <c r="B8" s="615">
        <v>320</v>
      </c>
      <c r="C8" s="615">
        <v>80</v>
      </c>
      <c r="D8" s="615">
        <v>120</v>
      </c>
      <c r="E8" s="410">
        <f>B8/C8</f>
        <v>4</v>
      </c>
      <c r="F8" s="411">
        <f>E8*365</f>
        <v>1460</v>
      </c>
      <c r="G8" s="412">
        <f>F8/D8</f>
        <v>12.166666666666666</v>
      </c>
      <c r="H8" s="616"/>
      <c r="I8" s="408">
        <f>G8*H8</f>
        <v>0</v>
      </c>
      <c r="J8" s="617">
        <v>0.2</v>
      </c>
      <c r="K8" s="409">
        <f>I8*(100%+J8)</f>
        <v>0</v>
      </c>
      <c r="L8" s="370"/>
      <c r="M8" s="360"/>
      <c r="N8" s="592"/>
      <c r="O8" s="590" t="s">
        <v>1</v>
      </c>
    </row>
    <row r="9" spans="1:36" s="5" customFormat="1" ht="15" x14ac:dyDescent="0.25">
      <c r="A9" s="219"/>
      <c r="B9" s="380"/>
      <c r="C9" s="380"/>
      <c r="D9" s="380"/>
      <c r="E9" s="380"/>
      <c r="F9" s="380"/>
      <c r="G9" s="380"/>
      <c r="H9" s="380"/>
      <c r="I9" s="380"/>
      <c r="J9" s="380"/>
      <c r="K9" s="381"/>
      <c r="L9" s="370"/>
      <c r="M9" s="360"/>
      <c r="N9" s="592"/>
      <c r="O9" s="590" t="s">
        <v>1</v>
      </c>
      <c r="Q9" s="397"/>
      <c r="R9" s="397"/>
      <c r="S9" s="397"/>
      <c r="T9" s="397"/>
    </row>
    <row r="10" spans="1:36" s="5" customFormat="1" ht="15" x14ac:dyDescent="0.25">
      <c r="A10" s="382"/>
      <c r="B10" s="383"/>
      <c r="C10" s="383"/>
      <c r="D10" s="383"/>
      <c r="E10" s="383"/>
      <c r="F10" s="383"/>
      <c r="G10" s="383"/>
      <c r="H10" s="383"/>
      <c r="I10" s="383"/>
      <c r="J10" s="383"/>
      <c r="K10" s="383"/>
      <c r="L10" s="364"/>
      <c r="M10" s="376"/>
      <c r="N10" s="593"/>
      <c r="O10" s="590" t="s">
        <v>1</v>
      </c>
      <c r="Q10" s="397"/>
    </row>
    <row r="11" spans="1:36" s="5" customFormat="1" ht="45" x14ac:dyDescent="0.25">
      <c r="A11" s="403" t="s">
        <v>668</v>
      </c>
      <c r="B11" s="386"/>
      <c r="C11" s="386"/>
      <c r="D11" s="386"/>
      <c r="E11" s="386"/>
      <c r="F11" s="386"/>
      <c r="G11" s="386"/>
      <c r="H11" s="387"/>
      <c r="I11" s="384" t="s">
        <v>669</v>
      </c>
      <c r="J11" s="384" t="s">
        <v>670</v>
      </c>
      <c r="K11" s="378" t="s">
        <v>671</v>
      </c>
      <c r="L11" s="364"/>
      <c r="M11" s="364"/>
      <c r="N11" s="593"/>
      <c r="O11" s="590"/>
    </row>
    <row r="12" spans="1:36" s="5" customFormat="1" ht="14.45" customHeight="1" x14ac:dyDescent="0.25">
      <c r="A12" s="392" t="s">
        <v>839</v>
      </c>
      <c r="B12" s="389"/>
      <c r="C12" s="389"/>
      <c r="D12" s="389"/>
      <c r="E12" s="389"/>
      <c r="F12" s="389"/>
      <c r="G12" s="389"/>
      <c r="H12" s="390"/>
      <c r="I12" s="499">
        <v>134</v>
      </c>
      <c r="J12" s="508">
        <v>12</v>
      </c>
      <c r="K12" s="385">
        <f>J12*I12</f>
        <v>1608</v>
      </c>
      <c r="L12" s="372"/>
      <c r="M12" s="372"/>
      <c r="N12" s="591"/>
      <c r="O12" s="590" t="s">
        <v>1</v>
      </c>
      <c r="Q12" s="176"/>
    </row>
    <row r="13" spans="1:36" s="5" customFormat="1" ht="16.5" customHeight="1" x14ac:dyDescent="0.25">
      <c r="A13" s="391" t="s">
        <v>672</v>
      </c>
      <c r="B13" s="386"/>
      <c r="C13" s="386"/>
      <c r="D13" s="386"/>
      <c r="E13" s="386"/>
      <c r="F13" s="386"/>
      <c r="G13" s="386"/>
      <c r="H13" s="387"/>
      <c r="I13" s="618">
        <v>50</v>
      </c>
      <c r="J13" s="508">
        <v>12</v>
      </c>
      <c r="K13" s="385">
        <f>J13*I13</f>
        <v>600</v>
      </c>
      <c r="L13" s="370"/>
      <c r="M13" s="360"/>
      <c r="N13" s="592"/>
      <c r="O13" s="590" t="s">
        <v>1</v>
      </c>
    </row>
    <row r="14" spans="1:36" s="11" customFormat="1" ht="17.25" customHeight="1" x14ac:dyDescent="0.25">
      <c r="A14" s="383" t="s">
        <v>673</v>
      </c>
      <c r="B14" s="363"/>
      <c r="C14" s="363"/>
      <c r="D14" s="363"/>
      <c r="E14" s="363"/>
      <c r="F14" s="363"/>
      <c r="G14" s="365"/>
      <c r="H14" s="365"/>
      <c r="I14" s="370"/>
      <c r="J14" s="370"/>
      <c r="K14" s="360"/>
      <c r="L14" s="370"/>
      <c r="M14" s="218" t="s">
        <v>1</v>
      </c>
      <c r="P14" s="5"/>
      <c r="Q14" s="5"/>
      <c r="R14" s="5"/>
      <c r="S14" s="5"/>
      <c r="T14" s="5"/>
      <c r="U14" s="5"/>
      <c r="V14" s="5"/>
      <c r="W14" s="5"/>
      <c r="X14" s="5"/>
      <c r="Y14" s="5"/>
      <c r="Z14" s="5"/>
      <c r="AA14" s="5"/>
    </row>
    <row r="15" spans="1:36" s="5" customFormat="1" ht="15" x14ac:dyDescent="0.25">
      <c r="A15" s="359"/>
      <c r="B15" s="393"/>
      <c r="C15" s="393"/>
      <c r="D15" s="393"/>
      <c r="E15" s="217"/>
      <c r="F15" s="217"/>
      <c r="G15" s="217"/>
      <c r="H15" s="365"/>
      <c r="I15" s="366"/>
      <c r="J15" s="366"/>
      <c r="K15" s="376"/>
      <c r="L15" s="364"/>
      <c r="M15" s="218" t="s">
        <v>1</v>
      </c>
      <c r="O15" s="176"/>
      <c r="P15" s="11"/>
      <c r="Q15" s="11"/>
      <c r="R15" s="11"/>
      <c r="S15" s="11"/>
      <c r="T15" s="11"/>
      <c r="U15" s="11"/>
      <c r="V15" s="11"/>
      <c r="W15" s="11"/>
      <c r="X15" s="11"/>
      <c r="Y15" s="11"/>
      <c r="Z15" s="11"/>
      <c r="AA15" s="11"/>
    </row>
    <row r="16" spans="1:36" s="5" customFormat="1" ht="19.5" customHeight="1" x14ac:dyDescent="0.25">
      <c r="A16" s="379"/>
      <c r="B16" s="388" t="s">
        <v>674</v>
      </c>
      <c r="C16" s="394" t="s">
        <v>675</v>
      </c>
      <c r="D16" s="394" t="s">
        <v>676</v>
      </c>
      <c r="E16" s="217"/>
      <c r="F16" s="217"/>
      <c r="G16" s="363"/>
      <c r="H16" s="365"/>
      <c r="I16" s="366"/>
      <c r="J16" s="366"/>
      <c r="K16" s="376"/>
      <c r="L16" s="364"/>
      <c r="M16" s="218" t="s">
        <v>1</v>
      </c>
    </row>
    <row r="17" spans="1:27" s="5" customFormat="1" ht="15" x14ac:dyDescent="0.25">
      <c r="A17" s="379" t="s">
        <v>677</v>
      </c>
      <c r="B17" s="619">
        <v>0.5</v>
      </c>
      <c r="C17" s="398">
        <f>K8</f>
        <v>0</v>
      </c>
      <c r="D17" s="398">
        <f>K12</f>
        <v>1608</v>
      </c>
      <c r="E17" s="367"/>
      <c r="F17" s="367"/>
      <c r="G17" s="367"/>
      <c r="H17" s="367"/>
      <c r="I17" s="368"/>
      <c r="J17" s="368"/>
      <c r="K17" s="368"/>
      <c r="L17" s="368"/>
      <c r="M17" s="218" t="s">
        <v>1</v>
      </c>
    </row>
    <row r="18" spans="1:27" s="5" customFormat="1" ht="15" x14ac:dyDescent="0.25">
      <c r="A18" s="379" t="s">
        <v>678</v>
      </c>
      <c r="B18" s="619">
        <v>0.5</v>
      </c>
      <c r="C18" s="398">
        <f>I8</f>
        <v>0</v>
      </c>
      <c r="D18" s="398">
        <f>K13</f>
        <v>600</v>
      </c>
      <c r="E18" s="361"/>
      <c r="F18" s="361"/>
      <c r="G18" s="361"/>
      <c r="H18" s="361"/>
      <c r="I18" s="361"/>
      <c r="J18" s="359"/>
      <c r="K18" s="359"/>
      <c r="L18" s="359"/>
      <c r="M18" s="218" t="s">
        <v>1</v>
      </c>
      <c r="O18" s="176"/>
    </row>
    <row r="19" spans="1:27" s="5" customFormat="1" ht="15" x14ac:dyDescent="0.25">
      <c r="A19" s="400" t="s">
        <v>679</v>
      </c>
      <c r="B19" s="395"/>
      <c r="C19" s="399">
        <f>(B17*C17)+(B18*C18)</f>
        <v>0</v>
      </c>
      <c r="D19" s="399">
        <f>(B17*D17)+(B18*D18)</f>
        <v>1104</v>
      </c>
      <c r="E19" s="359"/>
      <c r="F19" s="359"/>
      <c r="G19" s="359"/>
      <c r="H19" s="359"/>
      <c r="I19" s="359"/>
      <c r="J19" s="359"/>
      <c r="K19" s="359"/>
      <c r="L19" s="359"/>
      <c r="M19" s="218" t="s">
        <v>1</v>
      </c>
    </row>
    <row r="20" spans="1:27" s="5" customFormat="1" ht="15" x14ac:dyDescent="0.25">
      <c r="A20" s="367"/>
      <c r="B20" s="359"/>
      <c r="C20" s="367"/>
      <c r="D20" s="359"/>
      <c r="E20" s="359"/>
      <c r="F20" s="359"/>
      <c r="G20" s="359"/>
      <c r="H20" s="359"/>
      <c r="I20" s="359"/>
      <c r="J20" s="359"/>
      <c r="K20" s="359"/>
      <c r="L20" s="359"/>
      <c r="M20" s="218" t="s">
        <v>1</v>
      </c>
      <c r="O20" s="176"/>
    </row>
    <row r="21" spans="1:27" s="5" customFormat="1" ht="15" x14ac:dyDescent="0.25">
      <c r="A21" s="371"/>
      <c r="B21" s="359"/>
      <c r="C21" s="359"/>
      <c r="D21" s="359"/>
      <c r="E21" s="359"/>
      <c r="F21" s="359"/>
      <c r="G21" s="359"/>
      <c r="H21" s="359"/>
      <c r="I21" s="359"/>
      <c r="J21" s="359"/>
      <c r="K21" s="359"/>
      <c r="L21" s="359"/>
      <c r="M21" s="218"/>
      <c r="O21" s="176"/>
    </row>
    <row r="22" spans="1:27" s="5" customFormat="1" ht="14.25" x14ac:dyDescent="0.2">
      <c r="A22" s="362"/>
      <c r="B22" s="363"/>
      <c r="C22" s="372"/>
      <c r="D22" s="372"/>
      <c r="E22" s="372"/>
      <c r="F22" s="372"/>
      <c r="G22" s="372"/>
      <c r="H22" s="373"/>
      <c r="I22" s="372"/>
      <c r="J22" s="372"/>
      <c r="K22" s="372"/>
      <c r="L22" s="372"/>
      <c r="M22" s="218"/>
    </row>
    <row r="23" spans="1:27" s="5" customFormat="1" ht="15" x14ac:dyDescent="0.2">
      <c r="A23" s="369"/>
      <c r="B23" s="363"/>
      <c r="C23" s="363"/>
      <c r="D23" s="363"/>
      <c r="E23" s="365"/>
      <c r="F23" s="363"/>
      <c r="G23" s="374"/>
      <c r="H23" s="365"/>
      <c r="I23" s="375"/>
      <c r="J23" s="370"/>
      <c r="K23" s="360"/>
      <c r="L23" s="370"/>
      <c r="M23" s="218"/>
      <c r="O23" s="589"/>
    </row>
    <row r="24" spans="1:27" s="5" customFormat="1" ht="15" x14ac:dyDescent="0.25">
      <c r="A24" s="377" t="s">
        <v>654</v>
      </c>
      <c r="B24" s="220"/>
      <c r="C24" s="220"/>
      <c r="D24" s="220"/>
      <c r="E24" s="217"/>
      <c r="F24" s="217"/>
      <c r="G24" s="217"/>
      <c r="H24" s="217"/>
      <c r="I24" s="217"/>
      <c r="J24" s="218"/>
      <c r="K24" s="218"/>
      <c r="L24" s="218"/>
      <c r="M24" s="218"/>
    </row>
    <row r="25" spans="1:27" s="5" customFormat="1" ht="15" x14ac:dyDescent="0.25">
      <c r="A25" s="377"/>
      <c r="B25" s="220"/>
      <c r="C25" s="220"/>
      <c r="D25" s="220"/>
      <c r="E25" s="217"/>
      <c r="F25" s="217"/>
      <c r="G25" s="217"/>
      <c r="H25" s="217"/>
      <c r="I25" s="217"/>
      <c r="J25" s="218"/>
      <c r="K25" s="218"/>
      <c r="L25" s="218"/>
      <c r="M25" s="218"/>
    </row>
    <row r="26" spans="1:27" s="5" customFormat="1" ht="15" x14ac:dyDescent="0.25">
      <c r="A26" s="402" t="s">
        <v>680</v>
      </c>
      <c r="B26" s="401"/>
      <c r="C26" s="401"/>
      <c r="D26" s="401"/>
      <c r="E26" s="401"/>
      <c r="F26" s="401"/>
      <c r="G26" s="401"/>
      <c r="H26" s="401"/>
      <c r="I26" s="401"/>
      <c r="J26" s="357"/>
      <c r="K26" s="358"/>
      <c r="L26" s="359"/>
      <c r="M26" s="218"/>
    </row>
    <row r="27" spans="1:27" s="5" customFormat="1" ht="75" x14ac:dyDescent="0.25">
      <c r="A27" s="378" t="s">
        <v>656</v>
      </c>
      <c r="B27" s="378" t="s">
        <v>657</v>
      </c>
      <c r="C27" s="378" t="s">
        <v>810</v>
      </c>
      <c r="D27" s="378" t="s">
        <v>659</v>
      </c>
      <c r="E27" s="378" t="s">
        <v>660</v>
      </c>
      <c r="F27" s="378" t="s">
        <v>661</v>
      </c>
      <c r="G27" s="378" t="s">
        <v>662</v>
      </c>
      <c r="H27" s="378" t="s">
        <v>681</v>
      </c>
      <c r="I27" s="378" t="s">
        <v>664</v>
      </c>
      <c r="J27" s="378" t="s">
        <v>665</v>
      </c>
      <c r="K27" s="378" t="s">
        <v>666</v>
      </c>
      <c r="L27" s="372"/>
      <c r="M27" s="218"/>
    </row>
    <row r="28" spans="1:27" s="11" customFormat="1" ht="45" x14ac:dyDescent="0.25">
      <c r="A28" s="404" t="s">
        <v>682</v>
      </c>
      <c r="B28" s="615">
        <v>200</v>
      </c>
      <c r="C28" s="615">
        <v>100</v>
      </c>
      <c r="D28" s="615">
        <v>60</v>
      </c>
      <c r="E28" s="405">
        <f>B28/C28</f>
        <v>2</v>
      </c>
      <c r="F28" s="406">
        <f>E28*365</f>
        <v>730</v>
      </c>
      <c r="G28" s="407">
        <f>F28/60</f>
        <v>12.166666666666666</v>
      </c>
      <c r="H28" s="616"/>
      <c r="I28" s="408">
        <f>G28*H28</f>
        <v>0</v>
      </c>
      <c r="J28" s="617">
        <v>0.2</v>
      </c>
      <c r="K28" s="409">
        <f>I28*(100%+J28)</f>
        <v>0</v>
      </c>
      <c r="L28" s="370"/>
      <c r="M28" s="218"/>
      <c r="O28" s="176"/>
      <c r="P28" s="5"/>
      <c r="Q28" s="5"/>
      <c r="R28" s="5"/>
      <c r="S28" s="5"/>
      <c r="T28" s="5"/>
      <c r="U28" s="5"/>
      <c r="V28" s="5"/>
      <c r="W28" s="5"/>
      <c r="X28" s="5"/>
      <c r="Y28" s="5"/>
      <c r="Z28" s="5"/>
      <c r="AA28" s="5"/>
    </row>
    <row r="29" spans="1:27" s="5" customFormat="1" ht="15" x14ac:dyDescent="0.25">
      <c r="A29" s="219"/>
      <c r="B29" s="380"/>
      <c r="C29" s="380"/>
      <c r="D29" s="380"/>
      <c r="E29" s="380"/>
      <c r="F29" s="380"/>
      <c r="G29" s="380"/>
      <c r="H29" s="380"/>
      <c r="I29" s="380"/>
      <c r="J29" s="380"/>
      <c r="K29" s="381"/>
      <c r="L29" s="370"/>
      <c r="M29" s="218"/>
    </row>
    <row r="30" spans="1:27" s="5" customFormat="1" ht="15" x14ac:dyDescent="0.25">
      <c r="A30" s="382"/>
      <c r="B30" s="383"/>
      <c r="C30" s="383"/>
      <c r="D30" s="383"/>
      <c r="E30" s="383"/>
      <c r="F30" s="383"/>
      <c r="G30" s="383"/>
      <c r="H30" s="383"/>
      <c r="I30" s="383"/>
      <c r="J30" s="383"/>
      <c r="K30" s="383"/>
      <c r="L30" s="364"/>
      <c r="M30" s="218"/>
      <c r="O30" s="510"/>
    </row>
    <row r="31" spans="1:27" s="5" customFormat="1" ht="45" x14ac:dyDescent="0.25">
      <c r="A31" s="403" t="s">
        <v>668</v>
      </c>
      <c r="B31" s="386"/>
      <c r="C31" s="386"/>
      <c r="D31" s="386"/>
      <c r="E31" s="386"/>
      <c r="F31" s="386"/>
      <c r="G31" s="386"/>
      <c r="H31" s="387"/>
      <c r="I31" s="384" t="s">
        <v>669</v>
      </c>
      <c r="J31" s="384" t="s">
        <v>670</v>
      </c>
      <c r="K31" s="378" t="s">
        <v>671</v>
      </c>
      <c r="L31" s="364"/>
      <c r="M31" s="218"/>
    </row>
    <row r="32" spans="1:27" s="5" customFormat="1" ht="15" x14ac:dyDescent="0.25">
      <c r="A32" s="392" t="s">
        <v>839</v>
      </c>
      <c r="B32" s="389"/>
      <c r="C32" s="389"/>
      <c r="D32" s="389"/>
      <c r="E32" s="389"/>
      <c r="F32" s="389"/>
      <c r="G32" s="389"/>
      <c r="H32" s="390"/>
      <c r="I32" s="499">
        <v>134</v>
      </c>
      <c r="J32" s="508">
        <v>12</v>
      </c>
      <c r="K32" s="385">
        <f>J32*I32</f>
        <v>1608</v>
      </c>
      <c r="L32" s="372"/>
      <c r="M32" s="218"/>
    </row>
    <row r="33" spans="1:13" s="5" customFormat="1" ht="15" x14ac:dyDescent="0.25">
      <c r="A33" s="391" t="s">
        <v>672</v>
      </c>
      <c r="B33" s="386"/>
      <c r="C33" s="386"/>
      <c r="D33" s="386"/>
      <c r="E33" s="386"/>
      <c r="F33" s="386"/>
      <c r="G33" s="386"/>
      <c r="H33" s="387"/>
      <c r="I33" s="618">
        <v>50</v>
      </c>
      <c r="J33" s="508">
        <v>12</v>
      </c>
      <c r="K33" s="385">
        <f>J33*I33</f>
        <v>600</v>
      </c>
      <c r="L33" s="370"/>
      <c r="M33" s="218"/>
    </row>
    <row r="34" spans="1:13" s="5" customFormat="1" ht="15" x14ac:dyDescent="0.25">
      <c r="A34" s="383" t="s">
        <v>683</v>
      </c>
      <c r="B34" s="363"/>
      <c r="C34" s="363"/>
      <c r="D34" s="363"/>
      <c r="E34" s="363"/>
      <c r="F34" s="363"/>
      <c r="G34" s="365"/>
      <c r="H34" s="365"/>
      <c r="I34" s="370"/>
      <c r="J34" s="370"/>
      <c r="K34" s="360"/>
      <c r="L34" s="370"/>
      <c r="M34" s="218"/>
    </row>
    <row r="35" spans="1:13" s="5" customFormat="1" ht="15" x14ac:dyDescent="0.25">
      <c r="A35" s="383"/>
      <c r="B35" s="363"/>
      <c r="C35" s="363"/>
      <c r="D35" s="363"/>
      <c r="E35" s="363"/>
      <c r="F35" s="363"/>
      <c r="G35" s="365"/>
      <c r="H35" s="365"/>
      <c r="I35" s="370"/>
      <c r="J35" s="370"/>
      <c r="K35" s="360"/>
      <c r="L35" s="370"/>
      <c r="M35" s="218"/>
    </row>
    <row r="36" spans="1:13" s="5" customFormat="1" ht="15" x14ac:dyDescent="0.25">
      <c r="A36" s="359"/>
      <c r="B36" s="393"/>
      <c r="C36" s="393"/>
      <c r="D36" s="393"/>
      <c r="E36" s="217"/>
      <c r="F36" s="217"/>
      <c r="G36" s="217"/>
      <c r="H36" s="365"/>
      <c r="I36" s="366"/>
      <c r="J36" s="366"/>
      <c r="K36" s="376"/>
      <c r="L36" s="364"/>
      <c r="M36" s="218"/>
    </row>
    <row r="37" spans="1:13" s="5" customFormat="1" ht="15" x14ac:dyDescent="0.25">
      <c r="A37" s="379"/>
      <c r="B37" s="388" t="s">
        <v>674</v>
      </c>
      <c r="C37" s="394" t="s">
        <v>675</v>
      </c>
      <c r="D37" s="394" t="s">
        <v>676</v>
      </c>
      <c r="E37" s="217"/>
      <c r="F37" s="217"/>
      <c r="G37" s="363"/>
      <c r="H37" s="365"/>
      <c r="I37" s="366"/>
      <c r="J37" s="366"/>
      <c r="K37" s="376"/>
      <c r="L37" s="364"/>
      <c r="M37" s="218"/>
    </row>
    <row r="38" spans="1:13" s="5" customFormat="1" ht="15" x14ac:dyDescent="0.25">
      <c r="A38" s="379" t="s">
        <v>677</v>
      </c>
      <c r="B38" s="619">
        <v>0.5</v>
      </c>
      <c r="C38" s="398">
        <f>K28</f>
        <v>0</v>
      </c>
      <c r="D38" s="398">
        <f>K32</f>
        <v>1608</v>
      </c>
      <c r="E38" s="367"/>
      <c r="F38" s="367"/>
      <c r="G38" s="367"/>
      <c r="H38" s="367"/>
      <c r="I38" s="368"/>
      <c r="J38" s="368"/>
      <c r="K38" s="368"/>
      <c r="L38" s="368"/>
      <c r="M38" s="218"/>
    </row>
    <row r="39" spans="1:13" s="5" customFormat="1" ht="15" x14ac:dyDescent="0.25">
      <c r="A39" s="379" t="s">
        <v>678</v>
      </c>
      <c r="B39" s="619">
        <v>0.5</v>
      </c>
      <c r="C39" s="398">
        <f>I28</f>
        <v>0</v>
      </c>
      <c r="D39" s="398">
        <f>K33</f>
        <v>600</v>
      </c>
      <c r="E39" s="361"/>
      <c r="F39" s="361"/>
      <c r="G39" s="361"/>
      <c r="H39" s="361"/>
      <c r="I39" s="361"/>
      <c r="J39" s="359"/>
      <c r="K39" s="359"/>
      <c r="L39" s="359"/>
      <c r="M39" s="218"/>
    </row>
    <row r="40" spans="1:13" s="5" customFormat="1" ht="15" x14ac:dyDescent="0.25">
      <c r="A40" s="400" t="s">
        <v>679</v>
      </c>
      <c r="B40" s="395"/>
      <c r="C40" s="399">
        <f>(B38*C38)+(B39*C39)</f>
        <v>0</v>
      </c>
      <c r="D40" s="399">
        <f>(B38*D38)+(B39*D39)</f>
        <v>1104</v>
      </c>
      <c r="E40" s="359"/>
      <c r="F40" s="359"/>
      <c r="G40" s="359"/>
      <c r="H40" s="359"/>
      <c r="I40" s="359"/>
      <c r="J40" s="359"/>
      <c r="K40" s="359"/>
      <c r="L40" s="359"/>
      <c r="M40" s="218"/>
    </row>
    <row r="41" spans="1:13" s="5" customFormat="1" ht="64.5" customHeight="1" x14ac:dyDescent="0.2">
      <c r="A41" s="367"/>
      <c r="B41" s="359"/>
      <c r="C41" s="367"/>
      <c r="D41" s="359"/>
      <c r="E41" s="359"/>
      <c r="F41" s="359"/>
      <c r="G41" s="359"/>
      <c r="H41" s="359"/>
      <c r="I41" s="359"/>
      <c r="J41" s="359"/>
      <c r="K41" s="359"/>
      <c r="L41" s="359"/>
      <c r="M41" s="218"/>
    </row>
    <row r="42" spans="1:13" s="5" customFormat="1" ht="15" x14ac:dyDescent="0.25">
      <c r="A42" s="377" t="s">
        <v>654</v>
      </c>
      <c r="B42" s="220"/>
      <c r="C42" s="220"/>
      <c r="D42" s="220"/>
      <c r="E42" s="217"/>
      <c r="F42" s="217"/>
      <c r="G42" s="217"/>
      <c r="H42" s="217"/>
      <c r="I42" s="217"/>
      <c r="J42" s="218"/>
      <c r="K42" s="218"/>
      <c r="L42" s="218"/>
      <c r="M42" s="218"/>
    </row>
    <row r="43" spans="1:13" s="5" customFormat="1" ht="15" x14ac:dyDescent="0.25">
      <c r="A43" s="377"/>
      <c r="B43" s="220"/>
      <c r="C43" s="220"/>
      <c r="D43" s="220"/>
      <c r="E43" s="217"/>
      <c r="F43" s="217"/>
      <c r="G43" s="217"/>
      <c r="H43" s="217"/>
      <c r="I43" s="217"/>
      <c r="J43" s="218"/>
      <c r="K43" s="218"/>
      <c r="L43" s="218"/>
      <c r="M43" s="218"/>
    </row>
    <row r="44" spans="1:13" s="5" customFormat="1" ht="15" x14ac:dyDescent="0.25">
      <c r="A44" s="402" t="s">
        <v>684</v>
      </c>
      <c r="B44" s="401"/>
      <c r="C44" s="401"/>
      <c r="D44" s="401"/>
      <c r="E44" s="401"/>
      <c r="F44" s="401"/>
      <c r="G44" s="401"/>
      <c r="H44" s="401"/>
      <c r="I44" s="401"/>
      <c r="J44" s="357"/>
      <c r="K44" s="358"/>
      <c r="L44" s="359"/>
      <c r="M44" s="218"/>
    </row>
    <row r="45" spans="1:13" s="5" customFormat="1" ht="75" x14ac:dyDescent="0.25">
      <c r="A45" s="378" t="s">
        <v>656</v>
      </c>
      <c r="B45" s="378" t="s">
        <v>657</v>
      </c>
      <c r="C45" s="378" t="s">
        <v>658</v>
      </c>
      <c r="D45" s="378" t="s">
        <v>659</v>
      </c>
      <c r="E45" s="378" t="s">
        <v>660</v>
      </c>
      <c r="F45" s="378" t="s">
        <v>661</v>
      </c>
      <c r="G45" s="378" t="s">
        <v>662</v>
      </c>
      <c r="H45" s="378" t="s">
        <v>663</v>
      </c>
      <c r="I45" s="378" t="s">
        <v>664</v>
      </c>
      <c r="J45" s="378" t="s">
        <v>665</v>
      </c>
      <c r="K45" s="378" t="s">
        <v>666</v>
      </c>
      <c r="L45" s="372"/>
      <c r="M45" s="218"/>
    </row>
    <row r="46" spans="1:13" s="5" customFormat="1" ht="30" x14ac:dyDescent="0.2">
      <c r="A46" s="404" t="s">
        <v>685</v>
      </c>
      <c r="B46" s="615">
        <v>420</v>
      </c>
      <c r="C46" s="615">
        <v>420</v>
      </c>
      <c r="D46" s="615">
        <v>28</v>
      </c>
      <c r="E46" s="410">
        <f>B46/C46</f>
        <v>1</v>
      </c>
      <c r="F46" s="411">
        <f>E46*365</f>
        <v>365</v>
      </c>
      <c r="G46" s="412">
        <f>F46/D46</f>
        <v>13.035714285714286</v>
      </c>
      <c r="H46" s="616"/>
      <c r="I46" s="408">
        <f>G46*H46</f>
        <v>0</v>
      </c>
      <c r="J46" s="617">
        <v>0.2</v>
      </c>
      <c r="K46" s="409">
        <f>I46*(100%+J46)</f>
        <v>0</v>
      </c>
      <c r="L46" s="370"/>
      <c r="M46" s="218"/>
    </row>
    <row r="47" spans="1:13" s="11" customFormat="1" ht="17.25" customHeight="1" x14ac:dyDescent="0.25">
      <c r="A47" s="219"/>
      <c r="B47" s="380"/>
      <c r="C47" s="380"/>
      <c r="D47" s="380"/>
      <c r="E47" s="380"/>
      <c r="F47" s="380"/>
      <c r="G47" s="380"/>
      <c r="H47" s="380"/>
      <c r="I47" s="380"/>
      <c r="J47" s="380"/>
      <c r="K47" s="381"/>
      <c r="L47" s="370"/>
      <c r="M47" s="218"/>
    </row>
    <row r="48" spans="1:13" s="5" customFormat="1" ht="15" x14ac:dyDescent="0.25">
      <c r="A48" s="382"/>
      <c r="B48" s="383"/>
      <c r="C48" s="383"/>
      <c r="D48" s="383"/>
      <c r="E48" s="383"/>
      <c r="F48" s="383"/>
      <c r="G48" s="383"/>
      <c r="H48" s="383"/>
      <c r="I48" s="383"/>
      <c r="J48" s="383"/>
      <c r="K48" s="383"/>
      <c r="L48" s="364"/>
      <c r="M48" s="218"/>
    </row>
    <row r="49" spans="1:19" s="5" customFormat="1" ht="45" x14ac:dyDescent="0.25">
      <c r="A49" s="403" t="s">
        <v>668</v>
      </c>
      <c r="B49" s="386"/>
      <c r="C49" s="386"/>
      <c r="D49" s="386"/>
      <c r="E49" s="386"/>
      <c r="F49" s="386"/>
      <c r="G49" s="386"/>
      <c r="H49" s="387"/>
      <c r="I49" s="384" t="s">
        <v>669</v>
      </c>
      <c r="J49" s="384" t="s">
        <v>670</v>
      </c>
      <c r="K49" s="378" t="s">
        <v>671</v>
      </c>
      <c r="L49" s="364"/>
      <c r="M49" s="218"/>
    </row>
    <row r="50" spans="1:19" s="5" customFormat="1" ht="15" x14ac:dyDescent="0.25">
      <c r="A50" s="392" t="s">
        <v>839</v>
      </c>
      <c r="B50" s="389"/>
      <c r="C50" s="389"/>
      <c r="D50" s="389"/>
      <c r="E50" s="389"/>
      <c r="F50" s="389"/>
      <c r="G50" s="389"/>
      <c r="H50" s="390"/>
      <c r="I50" s="499">
        <v>134</v>
      </c>
      <c r="J50" s="508">
        <v>12</v>
      </c>
      <c r="K50" s="385">
        <f>J50*I50</f>
        <v>1608</v>
      </c>
      <c r="L50" s="372"/>
      <c r="M50" s="218"/>
    </row>
    <row r="51" spans="1:19" s="5" customFormat="1" ht="15" x14ac:dyDescent="0.25">
      <c r="A51" s="391" t="s">
        <v>672</v>
      </c>
      <c r="B51" s="386"/>
      <c r="C51" s="386"/>
      <c r="D51" s="386"/>
      <c r="E51" s="386"/>
      <c r="F51" s="386"/>
      <c r="G51" s="386"/>
      <c r="H51" s="387"/>
      <c r="I51" s="618">
        <v>50</v>
      </c>
      <c r="J51" s="508">
        <v>12</v>
      </c>
      <c r="K51" s="385">
        <f>J51*I51</f>
        <v>600</v>
      </c>
      <c r="L51" s="370"/>
      <c r="M51" s="218"/>
    </row>
    <row r="52" spans="1:19" s="5" customFormat="1" ht="15" x14ac:dyDescent="0.25">
      <c r="A52" s="383" t="s">
        <v>686</v>
      </c>
      <c r="B52" s="363"/>
      <c r="C52" s="363"/>
      <c r="D52" s="363"/>
      <c r="E52" s="363"/>
      <c r="F52" s="363"/>
      <c r="G52" s="365"/>
      <c r="H52" s="365"/>
      <c r="I52" s="370"/>
      <c r="J52" s="370"/>
      <c r="K52" s="360"/>
      <c r="L52" s="370"/>
      <c r="M52" s="218"/>
    </row>
    <row r="53" spans="1:19" s="510" customFormat="1" ht="15" x14ac:dyDescent="0.25">
      <c r="A53" t="s">
        <v>687</v>
      </c>
      <c r="B53"/>
      <c r="C53"/>
      <c r="D53"/>
      <c r="E53"/>
      <c r="F53"/>
      <c r="G53"/>
      <c r="H53"/>
      <c r="I53"/>
      <c r="J53"/>
      <c r="K53"/>
      <c r="L53"/>
      <c r="M53"/>
      <c r="S53" s="5"/>
    </row>
    <row r="54" spans="1:19" s="5" customFormat="1" ht="15" x14ac:dyDescent="0.25">
      <c r="A54" s="359"/>
      <c r="B54" s="393"/>
      <c r="C54" s="393"/>
      <c r="D54" s="393"/>
      <c r="E54" s="217"/>
      <c r="F54" s="217"/>
      <c r="G54" s="217"/>
      <c r="H54" s="365"/>
      <c r="I54" s="366"/>
      <c r="J54" s="366"/>
      <c r="K54" s="376"/>
      <c r="L54" s="364"/>
      <c r="M54" s="218"/>
    </row>
    <row r="55" spans="1:19" s="5" customFormat="1" ht="15" x14ac:dyDescent="0.25">
      <c r="A55" s="379"/>
      <c r="B55" s="388" t="s">
        <v>674</v>
      </c>
      <c r="C55" s="394" t="s">
        <v>675</v>
      </c>
      <c r="D55" s="394" t="s">
        <v>676</v>
      </c>
      <c r="E55" s="217"/>
      <c r="F55" s="217"/>
      <c r="G55" s="363"/>
      <c r="H55" s="365"/>
      <c r="I55" s="366"/>
      <c r="J55" s="366"/>
      <c r="K55" s="376"/>
      <c r="L55" s="364"/>
      <c r="M55" s="218"/>
    </row>
    <row r="56" spans="1:19" s="5" customFormat="1" ht="15" x14ac:dyDescent="0.25">
      <c r="A56" s="379" t="s">
        <v>677</v>
      </c>
      <c r="B56" s="619">
        <v>0.5</v>
      </c>
      <c r="C56" s="398">
        <f>K46</f>
        <v>0</v>
      </c>
      <c r="D56" s="398">
        <f>K50</f>
        <v>1608</v>
      </c>
      <c r="E56" s="367"/>
      <c r="F56" s="367"/>
      <c r="G56" s="367"/>
      <c r="H56" s="367"/>
      <c r="I56" s="368"/>
      <c r="J56" s="368"/>
      <c r="K56" s="368"/>
      <c r="L56" s="368"/>
      <c r="M56" s="218"/>
    </row>
    <row r="57" spans="1:19" s="5" customFormat="1" ht="15" x14ac:dyDescent="0.25">
      <c r="A57" s="379" t="s">
        <v>678</v>
      </c>
      <c r="B57" s="619">
        <v>0.5</v>
      </c>
      <c r="C57" s="398">
        <f>I46</f>
        <v>0</v>
      </c>
      <c r="D57" s="398">
        <f>K51</f>
        <v>600</v>
      </c>
      <c r="E57" s="361"/>
      <c r="F57" s="361"/>
      <c r="G57" s="361"/>
      <c r="H57" s="361"/>
      <c r="I57" s="361"/>
      <c r="J57" s="359"/>
      <c r="K57" s="359"/>
      <c r="L57" s="359"/>
      <c r="M57" s="218"/>
    </row>
    <row r="58" spans="1:19" s="5" customFormat="1" ht="15" x14ac:dyDescent="0.25">
      <c r="A58" s="400" t="s">
        <v>679</v>
      </c>
      <c r="B58" s="395"/>
      <c r="C58" s="399">
        <f>(B56*C56)+(B57*C57)</f>
        <v>0</v>
      </c>
      <c r="D58" s="399">
        <f>(B56*D56)+(B57*D57)</f>
        <v>1104</v>
      </c>
      <c r="E58" s="359"/>
      <c r="F58" s="359"/>
      <c r="G58" s="359"/>
      <c r="H58" s="359"/>
      <c r="I58" s="359"/>
      <c r="J58" s="359"/>
      <c r="K58" s="359"/>
      <c r="L58" s="359"/>
      <c r="M58" s="218"/>
    </row>
    <row r="59" spans="1:19" s="5" customFormat="1" ht="14.25" x14ac:dyDescent="0.2">
      <c r="A59" s="359"/>
      <c r="B59" s="359"/>
      <c r="C59" s="359"/>
      <c r="D59" s="359"/>
      <c r="E59" s="359"/>
      <c r="F59" s="359"/>
      <c r="G59" s="359"/>
      <c r="H59" s="359"/>
      <c r="I59" s="359"/>
      <c r="J59" s="359"/>
      <c r="K59" s="359"/>
      <c r="L59" s="359"/>
      <c r="M59" s="359"/>
    </row>
    <row r="60" spans="1:19" s="5" customFormat="1" ht="14.25" x14ac:dyDescent="0.2">
      <c r="A60" s="359"/>
      <c r="B60" s="359"/>
      <c r="C60" s="359"/>
      <c r="D60" s="359"/>
      <c r="E60" s="359"/>
      <c r="F60" s="359"/>
      <c r="G60" s="359"/>
      <c r="H60" s="359"/>
      <c r="I60" s="359"/>
      <c r="J60" s="359"/>
      <c r="K60" s="359"/>
      <c r="L60" s="359"/>
      <c r="M60" s="359"/>
    </row>
    <row r="61" spans="1:19" s="5" customFormat="1" ht="14.25" x14ac:dyDescent="0.2">
      <c r="A61" s="359"/>
      <c r="B61" s="359"/>
      <c r="C61" s="359"/>
      <c r="D61" s="359"/>
      <c r="E61" s="359"/>
      <c r="F61" s="359"/>
      <c r="G61" s="359"/>
      <c r="H61" s="359"/>
      <c r="I61" s="359"/>
      <c r="J61" s="359"/>
      <c r="K61" s="359"/>
      <c r="L61" s="359"/>
      <c r="M61" s="359"/>
    </row>
    <row r="62" spans="1:19" s="5" customFormat="1" ht="15" x14ac:dyDescent="0.25">
      <c r="A62" s="476" t="s">
        <v>688</v>
      </c>
      <c r="B62" s="220"/>
      <c r="C62" s="220"/>
      <c r="D62" s="220"/>
      <c r="E62" s="217"/>
      <c r="F62" s="217"/>
      <c r="G62" s="217"/>
      <c r="H62" s="217"/>
      <c r="I62" s="217"/>
      <c r="J62" s="218"/>
      <c r="K62" s="218"/>
      <c r="L62" s="359"/>
      <c r="M62" s="359"/>
    </row>
    <row r="63" spans="1:19" s="5" customFormat="1" ht="15" x14ac:dyDescent="0.25">
      <c r="A63" s="377"/>
      <c r="B63" s="220"/>
      <c r="C63" s="220"/>
      <c r="D63" s="220"/>
      <c r="E63" s="217"/>
      <c r="F63" s="217"/>
      <c r="G63" s="217"/>
      <c r="H63" s="217"/>
      <c r="I63" s="217"/>
      <c r="J63" s="218"/>
      <c r="K63" s="218"/>
      <c r="L63" s="218"/>
      <c r="M63" s="218"/>
    </row>
    <row r="64" spans="1:19" s="5" customFormat="1" ht="15" x14ac:dyDescent="0.25">
      <c r="A64" s="445" t="s">
        <v>689</v>
      </c>
      <c r="B64" s="446"/>
      <c r="C64" s="447"/>
      <c r="D64" s="446"/>
      <c r="E64" s="448"/>
      <c r="F64" s="401"/>
      <c r="G64" s="401"/>
      <c r="H64" s="401"/>
      <c r="I64" s="401"/>
      <c r="J64" s="401"/>
      <c r="K64" s="401"/>
      <c r="L64" s="401"/>
      <c r="M64" s="449"/>
    </row>
    <row r="65" spans="1:14" s="5" customFormat="1" ht="60" x14ac:dyDescent="0.25">
      <c r="A65" s="450"/>
      <c r="B65" s="451" t="s">
        <v>656</v>
      </c>
      <c r="C65" s="378" t="s">
        <v>690</v>
      </c>
      <c r="D65" s="378" t="s">
        <v>691</v>
      </c>
      <c r="E65" s="452" t="s">
        <v>692</v>
      </c>
      <c r="F65" s="378" t="s">
        <v>693</v>
      </c>
      <c r="G65" s="378" t="s">
        <v>694</v>
      </c>
      <c r="H65" s="378" t="s">
        <v>695</v>
      </c>
      <c r="I65" s="452" t="s">
        <v>696</v>
      </c>
      <c r="J65" s="378" t="s">
        <v>697</v>
      </c>
      <c r="K65" s="378" t="s">
        <v>698</v>
      </c>
      <c r="L65" s="378" t="s">
        <v>665</v>
      </c>
      <c r="M65" s="378" t="s">
        <v>699</v>
      </c>
    </row>
    <row r="66" spans="1:14" s="5" customFormat="1" ht="15" x14ac:dyDescent="0.25">
      <c r="A66" s="453" t="s">
        <v>585</v>
      </c>
      <c r="B66" s="454" t="s">
        <v>700</v>
      </c>
      <c r="C66" s="455">
        <v>420</v>
      </c>
      <c r="D66" s="456">
        <f>420*28</f>
        <v>11760</v>
      </c>
      <c r="E66" s="457"/>
      <c r="F66" s="458">
        <f>28*C66*E66</f>
        <v>0</v>
      </c>
      <c r="G66" s="459">
        <f>F66/D66</f>
        <v>0</v>
      </c>
      <c r="H66" s="460">
        <v>13</v>
      </c>
      <c r="I66" s="458">
        <f>H66*ROUNDUP(G66,1)</f>
        <v>0</v>
      </c>
      <c r="J66" s="461"/>
      <c r="K66" s="385">
        <f>J66*I66</f>
        <v>0</v>
      </c>
      <c r="L66" s="462">
        <v>0.2</v>
      </c>
      <c r="M66" s="463">
        <f>(100%+L66)*K66</f>
        <v>0</v>
      </c>
    </row>
    <row r="67" spans="1:14" s="5" customFormat="1" ht="15" x14ac:dyDescent="0.25">
      <c r="A67" s="453" t="s">
        <v>586</v>
      </c>
      <c r="B67" s="464" t="str">
        <f>B66</f>
        <v>1 x 420 mg tablet once daily</v>
      </c>
      <c r="C67" s="455">
        <f>C66</f>
        <v>420</v>
      </c>
      <c r="D67" s="456">
        <f>420*28</f>
        <v>11760</v>
      </c>
      <c r="E67" s="457"/>
      <c r="F67" s="458">
        <f>F66</f>
        <v>0</v>
      </c>
      <c r="G67" s="459">
        <f>F67/D67</f>
        <v>0</v>
      </c>
      <c r="H67" s="460">
        <v>2</v>
      </c>
      <c r="I67" s="458">
        <f>H67*ROUNDUP(G67,1)</f>
        <v>0</v>
      </c>
      <c r="J67" s="461"/>
      <c r="K67" s="385">
        <f>J67*I67</f>
        <v>0</v>
      </c>
      <c r="L67" s="462">
        <v>0.2</v>
      </c>
      <c r="M67" s="463">
        <f>(100%+L67)*K67</f>
        <v>0</v>
      </c>
    </row>
    <row r="68" spans="1:14" s="5" customFormat="1" ht="15" x14ac:dyDescent="0.25">
      <c r="A68" s="219" t="s">
        <v>1</v>
      </c>
      <c r="B68" s="380" t="s">
        <v>1</v>
      </c>
      <c r="C68" s="465"/>
      <c r="D68" s="465"/>
      <c r="E68" s="380" t="s">
        <v>1</v>
      </c>
      <c r="F68" s="380" t="s">
        <v>1</v>
      </c>
      <c r="G68" s="380" t="s">
        <v>1</v>
      </c>
      <c r="H68" s="380" t="s">
        <v>1</v>
      </c>
      <c r="I68" s="380" t="s">
        <v>1</v>
      </c>
      <c r="J68" s="381"/>
      <c r="K68" s="466">
        <f>SUM(K66:K67)</f>
        <v>0</v>
      </c>
      <c r="L68" s="465"/>
      <c r="M68" s="466">
        <f>SUM(M66:M67)</f>
        <v>0</v>
      </c>
    </row>
    <row r="69" spans="1:14" s="5" customFormat="1" ht="14.25" x14ac:dyDescent="0.2">
      <c r="A69" s="6"/>
      <c r="B69" s="6"/>
      <c r="C69" s="6"/>
      <c r="D69" s="6"/>
      <c r="E69" s="6"/>
      <c r="F69" s="6"/>
      <c r="G69" s="6"/>
      <c r="H69" s="6"/>
      <c r="I69" s="6"/>
      <c r="J69" s="6"/>
      <c r="K69" s="6"/>
      <c r="L69" s="6"/>
      <c r="M69" s="6"/>
    </row>
    <row r="70" spans="1:14" s="5" customFormat="1" ht="15" x14ac:dyDescent="0.25">
      <c r="A70" s="468" t="s">
        <v>701</v>
      </c>
      <c r="B70" s="401"/>
      <c r="C70" s="401"/>
      <c r="D70" s="401"/>
      <c r="E70" s="469"/>
      <c r="F70" s="401"/>
      <c r="G70" s="401"/>
      <c r="H70" s="401"/>
      <c r="I70" s="401"/>
      <c r="J70" s="401"/>
      <c r="K70" s="401"/>
      <c r="L70" s="449"/>
      <c r="M70" s="6"/>
    </row>
    <row r="71" spans="1:14" s="5" customFormat="1" ht="60" x14ac:dyDescent="0.25">
      <c r="A71" s="450"/>
      <c r="B71" s="378" t="s">
        <v>702</v>
      </c>
      <c r="C71" s="378" t="s">
        <v>656</v>
      </c>
      <c r="D71" s="378" t="s">
        <v>691</v>
      </c>
      <c r="E71" s="378" t="s">
        <v>703</v>
      </c>
      <c r="F71" s="452" t="s">
        <v>692</v>
      </c>
      <c r="G71" s="378" t="s">
        <v>693</v>
      </c>
      <c r="H71" s="452" t="s">
        <v>696</v>
      </c>
      <c r="I71" s="378" t="s">
        <v>697</v>
      </c>
      <c r="J71" s="378" t="s">
        <v>698</v>
      </c>
      <c r="K71" s="378" t="s">
        <v>665</v>
      </c>
      <c r="L71" s="378" t="s">
        <v>699</v>
      </c>
      <c r="M71" s="6"/>
    </row>
    <row r="72" spans="1:14" s="5" customFormat="1" ht="29.25" customHeight="1" x14ac:dyDescent="0.25">
      <c r="A72" s="453" t="s">
        <v>704</v>
      </c>
      <c r="B72" s="459">
        <v>1</v>
      </c>
      <c r="C72" s="479" t="s">
        <v>705</v>
      </c>
      <c r="D72" s="455">
        <v>140</v>
      </c>
      <c r="E72" s="455">
        <v>20</v>
      </c>
      <c r="F72" s="457"/>
      <c r="G72" s="458">
        <f>7*E72*F72</f>
        <v>0</v>
      </c>
      <c r="H72" s="470">
        <f t="shared" ref="H72:H75" si="0">ROUNDUP(G72/D72,0)</f>
        <v>0</v>
      </c>
      <c r="I72" s="461"/>
      <c r="J72" s="385">
        <f>I72*H72</f>
        <v>0</v>
      </c>
      <c r="K72" s="462">
        <v>0.2</v>
      </c>
      <c r="L72" s="463">
        <f>(100%+K72)*J72</f>
        <v>0</v>
      </c>
      <c r="M72" s="6"/>
    </row>
    <row r="73" spans="1:14" s="5" customFormat="1" ht="15.95" customHeight="1" x14ac:dyDescent="0.25">
      <c r="A73" s="453" t="s">
        <v>706</v>
      </c>
      <c r="B73" s="459">
        <v>1</v>
      </c>
      <c r="C73" s="402" t="s">
        <v>707</v>
      </c>
      <c r="D73" s="455">
        <v>350</v>
      </c>
      <c r="E73" s="455">
        <v>50</v>
      </c>
      <c r="F73" s="457"/>
      <c r="G73" s="458">
        <f>7*E73*F73</f>
        <v>0</v>
      </c>
      <c r="H73" s="470">
        <f t="shared" si="0"/>
        <v>0</v>
      </c>
      <c r="I73" s="461"/>
      <c r="J73" s="385">
        <f>I73*H73</f>
        <v>0</v>
      </c>
      <c r="K73" s="462">
        <v>0.2</v>
      </c>
      <c r="L73" s="463">
        <f t="shared" ref="L73:L75" si="1">(100%+K73)*J73</f>
        <v>0</v>
      </c>
      <c r="M73" s="6"/>
    </row>
    <row r="74" spans="1:14" s="5" customFormat="1" ht="15.95" customHeight="1" x14ac:dyDescent="0.25">
      <c r="A74" s="453" t="s">
        <v>708</v>
      </c>
      <c r="B74" s="459">
        <v>1</v>
      </c>
      <c r="C74" s="402" t="s">
        <v>709</v>
      </c>
      <c r="D74" s="455">
        <v>700</v>
      </c>
      <c r="E74" s="455">
        <v>100</v>
      </c>
      <c r="F74" s="457"/>
      <c r="G74" s="458">
        <f>7*E74*F74</f>
        <v>0</v>
      </c>
      <c r="H74" s="470">
        <f t="shared" si="0"/>
        <v>0</v>
      </c>
      <c r="I74" s="461"/>
      <c r="J74" s="385">
        <f>I74*H74</f>
        <v>0</v>
      </c>
      <c r="K74" s="462">
        <v>0.2</v>
      </c>
      <c r="L74" s="463">
        <f t="shared" si="1"/>
        <v>0</v>
      </c>
      <c r="M74" s="6"/>
    </row>
    <row r="75" spans="1:14" s="5" customFormat="1" ht="15.95" customHeight="1" x14ac:dyDescent="0.25">
      <c r="A75" s="453" t="s">
        <v>710</v>
      </c>
      <c r="B75" s="459">
        <v>1</v>
      </c>
      <c r="C75" s="402" t="s">
        <v>711</v>
      </c>
      <c r="D75" s="455">
        <v>1400</v>
      </c>
      <c r="E75" s="455">
        <v>200</v>
      </c>
      <c r="F75" s="457"/>
      <c r="G75" s="458">
        <f>7*E75*F75</f>
        <v>0</v>
      </c>
      <c r="H75" s="470">
        <f t="shared" si="0"/>
        <v>0</v>
      </c>
      <c r="I75" s="461"/>
      <c r="J75" s="385">
        <f>I75*H75</f>
        <v>0</v>
      </c>
      <c r="K75" s="462">
        <v>0.2</v>
      </c>
      <c r="L75" s="463">
        <f t="shared" si="1"/>
        <v>0</v>
      </c>
      <c r="M75" s="6"/>
    </row>
    <row r="76" spans="1:14" s="5" customFormat="1" ht="15" x14ac:dyDescent="0.25">
      <c r="A76" s="453" t="s">
        <v>712</v>
      </c>
      <c r="B76" s="459">
        <v>1</v>
      </c>
      <c r="C76" s="459" t="s">
        <v>713</v>
      </c>
      <c r="D76" s="455">
        <v>11200</v>
      </c>
      <c r="E76" s="455">
        <v>400</v>
      </c>
      <c r="F76" s="457"/>
      <c r="G76" s="458">
        <f>(48-4)*7*E76*F76</f>
        <v>0</v>
      </c>
      <c r="H76" s="470">
        <f>ROUNDUP(G76/(112*100),0)</f>
        <v>0</v>
      </c>
      <c r="I76" s="461"/>
      <c r="J76" s="471">
        <f>I76*H76</f>
        <v>0</v>
      </c>
      <c r="K76" s="462">
        <v>0.2</v>
      </c>
      <c r="L76" s="472">
        <f>(100%+K76)*J76</f>
        <v>0</v>
      </c>
      <c r="M76" s="6"/>
    </row>
    <row r="77" spans="1:14" s="5" customFormat="1" ht="15" x14ac:dyDescent="0.25">
      <c r="A77" s="219" t="s">
        <v>1</v>
      </c>
      <c r="B77" s="380" t="s">
        <v>1</v>
      </c>
      <c r="C77" s="380" t="s">
        <v>1</v>
      </c>
      <c r="D77" s="380"/>
      <c r="E77" s="380" t="s">
        <v>1</v>
      </c>
      <c r="F77" s="380" t="s">
        <v>1</v>
      </c>
      <c r="G77" s="473"/>
      <c r="H77" s="465"/>
      <c r="I77" s="381"/>
      <c r="J77" s="466">
        <f>SUM(J72:J76)</f>
        <v>0</v>
      </c>
      <c r="K77" s="465"/>
      <c r="L77" s="474">
        <f>SUM(L72:L76)</f>
        <v>0</v>
      </c>
      <c r="M77" s="6"/>
    </row>
    <row r="78" spans="1:14" s="5" customFormat="1" ht="15" x14ac:dyDescent="0.25">
      <c r="A78" s="475"/>
      <c r="B78" s="6"/>
      <c r="C78" s="6"/>
      <c r="D78" s="6"/>
      <c r="E78" s="6"/>
      <c r="F78" s="6"/>
      <c r="G78" s="6"/>
      <c r="H78" s="6"/>
      <c r="I78" s="6"/>
      <c r="J78" s="6"/>
      <c r="K78" s="6"/>
      <c r="L78" s="6"/>
      <c r="M78" s="6"/>
    </row>
    <row r="79" spans="1:14" s="5" customFormat="1" ht="15" x14ac:dyDescent="0.25">
      <c r="A79" s="495" t="s">
        <v>668</v>
      </c>
      <c r="B79" s="383"/>
      <c r="C79" s="383"/>
      <c r="D79" s="383"/>
      <c r="E79" s="383"/>
      <c r="F79" s="383"/>
      <c r="G79" s="383"/>
      <c r="H79" s="383"/>
      <c r="I79" s="383"/>
      <c r="J79" s="496"/>
      <c r="K79" s="465"/>
      <c r="L79" s="465"/>
      <c r="M79" s="6"/>
    </row>
    <row r="80" spans="1:14" s="5" customFormat="1" ht="60" x14ac:dyDescent="0.25">
      <c r="A80" s="464" t="s">
        <v>714</v>
      </c>
      <c r="B80" s="497"/>
      <c r="C80" s="497"/>
      <c r="D80" s="497"/>
      <c r="E80" s="497"/>
      <c r="F80" s="497"/>
      <c r="G80" s="497"/>
      <c r="H80" s="497"/>
      <c r="I80" s="506" t="s">
        <v>715</v>
      </c>
      <c r="J80" s="384" t="s">
        <v>669</v>
      </c>
      <c r="K80" s="384" t="s">
        <v>716</v>
      </c>
      <c r="L80" s="378" t="s">
        <v>717</v>
      </c>
      <c r="M80"/>
      <c r="N80" s="510"/>
    </row>
    <row r="81" spans="1:14" s="5" customFormat="1" ht="15" x14ac:dyDescent="0.25">
      <c r="A81" s="680" t="s">
        <v>839</v>
      </c>
      <c r="B81" s="683"/>
      <c r="C81" s="683"/>
      <c r="D81" s="683"/>
      <c r="E81" s="683"/>
      <c r="F81" s="683"/>
      <c r="G81" s="683"/>
      <c r="H81" s="684"/>
      <c r="I81" s="507">
        <v>1</v>
      </c>
      <c r="J81" s="499">
        <v>134</v>
      </c>
      <c r="K81" s="508">
        <v>13</v>
      </c>
      <c r="L81" s="385">
        <f>K81*J81</f>
        <v>1742</v>
      </c>
      <c r="M81"/>
      <c r="N81" s="510"/>
    </row>
    <row r="82" spans="1:14" s="5" customFormat="1" ht="15" x14ac:dyDescent="0.25">
      <c r="A82" s="680" t="s">
        <v>839</v>
      </c>
      <c r="B82" s="683"/>
      <c r="C82" s="683"/>
      <c r="D82" s="683"/>
      <c r="E82" s="683"/>
      <c r="F82" s="683"/>
      <c r="G82" s="683"/>
      <c r="H82" s="684"/>
      <c r="I82" s="507">
        <v>2</v>
      </c>
      <c r="J82" s="499">
        <v>134</v>
      </c>
      <c r="K82" s="508">
        <v>2</v>
      </c>
      <c r="L82" s="385">
        <f>K82*J82</f>
        <v>268</v>
      </c>
      <c r="M82"/>
      <c r="N82" s="510"/>
    </row>
    <row r="83" spans="1:14" s="5" customFormat="1" ht="15" x14ac:dyDescent="0.25">
      <c r="A83" s="500" t="s">
        <v>1</v>
      </c>
      <c r="B83" s="380" t="s">
        <v>1</v>
      </c>
      <c r="C83" s="380" t="s">
        <v>1</v>
      </c>
      <c r="D83" s="380" t="s">
        <v>1</v>
      </c>
      <c r="E83" s="380" t="s">
        <v>1</v>
      </c>
      <c r="F83" s="380" t="s">
        <v>1</v>
      </c>
      <c r="G83" s="380" t="s">
        <v>1</v>
      </c>
      <c r="H83" s="465"/>
      <c r="I83" s="465"/>
      <c r="J83" s="502"/>
      <c r="K83" s="488" t="s">
        <v>668</v>
      </c>
      <c r="L83" s="466">
        <f>SUM(L81:L82)</f>
        <v>2010</v>
      </c>
      <c r="M83"/>
      <c r="N83" s="510"/>
    </row>
    <row r="84" spans="1:14" s="5" customFormat="1" ht="14.25" x14ac:dyDescent="0.2">
      <c r="A84" s="6"/>
      <c r="B84" s="6"/>
      <c r="C84" s="6"/>
      <c r="D84" s="6"/>
      <c r="E84" s="6"/>
      <c r="F84" s="6"/>
      <c r="G84" s="6"/>
      <c r="H84" s="6"/>
      <c r="I84" s="6"/>
      <c r="J84" s="6"/>
      <c r="K84" s="6"/>
      <c r="L84" s="6"/>
      <c r="M84" s="6"/>
    </row>
    <row r="85" spans="1:14" s="5" customFormat="1" ht="17.100000000000001" customHeight="1" x14ac:dyDescent="0.25">
      <c r="A85" s="476" t="s">
        <v>718</v>
      </c>
      <c r="B85" s="477"/>
      <c r="C85"/>
      <c r="D85"/>
      <c r="E85"/>
      <c r="F85"/>
      <c r="G85"/>
      <c r="H85"/>
      <c r="I85"/>
      <c r="J85"/>
      <c r="K85"/>
      <c r="L85"/>
      <c r="M85" s="6"/>
    </row>
    <row r="86" spans="1:14" s="5" customFormat="1" ht="17.100000000000001" customHeight="1" x14ac:dyDescent="0.25">
      <c r="A86"/>
      <c r="B86"/>
      <c r="C86"/>
      <c r="D86"/>
      <c r="E86"/>
      <c r="F86"/>
      <c r="G86"/>
      <c r="H86"/>
      <c r="I86"/>
      <c r="J86"/>
      <c r="K86"/>
      <c r="L86"/>
      <c r="M86" s="6"/>
    </row>
    <row r="87" spans="1:14" s="5" customFormat="1" ht="17.100000000000001" customHeight="1" x14ac:dyDescent="0.25">
      <c r="A87" s="377" t="s">
        <v>654</v>
      </c>
      <c r="B87" s="477"/>
      <c r="C87"/>
      <c r="D87"/>
      <c r="E87"/>
      <c r="F87"/>
      <c r="G87"/>
      <c r="H87"/>
      <c r="I87"/>
      <c r="J87"/>
      <c r="K87"/>
      <c r="L87"/>
      <c r="M87" s="6"/>
    </row>
    <row r="88" spans="1:14" s="5" customFormat="1" ht="17.100000000000001" customHeight="1" x14ac:dyDescent="0.25">
      <c r="A88"/>
      <c r="B88" t="s">
        <v>719</v>
      </c>
      <c r="C88"/>
      <c r="D88"/>
      <c r="E88"/>
      <c r="F88"/>
      <c r="G88"/>
      <c r="H88"/>
      <c r="I88"/>
      <c r="J88"/>
      <c r="K88"/>
      <c r="L88"/>
      <c r="M88" s="6"/>
    </row>
    <row r="89" spans="1:14" s="5" customFormat="1" ht="90" x14ac:dyDescent="0.25">
      <c r="A89" s="469" t="s">
        <v>701</v>
      </c>
      <c r="B89" s="378" t="s">
        <v>703</v>
      </c>
      <c r="C89" s="451" t="s">
        <v>656</v>
      </c>
      <c r="D89" s="378" t="s">
        <v>691</v>
      </c>
      <c r="E89" s="378" t="s">
        <v>720</v>
      </c>
      <c r="F89" s="378" t="s">
        <v>721</v>
      </c>
      <c r="G89" s="378" t="s">
        <v>695</v>
      </c>
      <c r="H89" s="452" t="s">
        <v>722</v>
      </c>
      <c r="I89" s="452" t="s">
        <v>692</v>
      </c>
      <c r="J89" s="378" t="s">
        <v>697</v>
      </c>
      <c r="K89" s="378" t="s">
        <v>698</v>
      </c>
      <c r="L89" s="378" t="s">
        <v>665</v>
      </c>
      <c r="M89" s="378" t="s">
        <v>699</v>
      </c>
    </row>
    <row r="90" spans="1:14" s="5" customFormat="1" ht="15" x14ac:dyDescent="0.25">
      <c r="A90" s="459" t="s">
        <v>723</v>
      </c>
      <c r="B90" s="455">
        <v>20</v>
      </c>
      <c r="C90" s="479" t="s">
        <v>705</v>
      </c>
      <c r="D90" s="483">
        <v>140</v>
      </c>
      <c r="E90" s="480">
        <f>7*B90</f>
        <v>140</v>
      </c>
      <c r="F90" s="459">
        <f>E90/D90</f>
        <v>1</v>
      </c>
      <c r="G90" s="460">
        <v>1</v>
      </c>
      <c r="H90" s="458">
        <f>G90*F90</f>
        <v>1</v>
      </c>
      <c r="I90" s="457">
        <v>1</v>
      </c>
      <c r="J90" s="461"/>
      <c r="K90" s="385">
        <f>J90*H90*I90</f>
        <v>0</v>
      </c>
      <c r="L90" s="462">
        <v>0.2</v>
      </c>
      <c r="M90" s="509">
        <f>(100%+L90)*K90</f>
        <v>0</v>
      </c>
    </row>
    <row r="91" spans="1:14" s="5" customFormat="1" ht="15" x14ac:dyDescent="0.25">
      <c r="A91" s="459" t="s">
        <v>724</v>
      </c>
      <c r="B91" s="455">
        <v>50</v>
      </c>
      <c r="C91" s="481" t="s">
        <v>707</v>
      </c>
      <c r="D91" s="483">
        <v>350</v>
      </c>
      <c r="E91" s="480">
        <f>7*B91</f>
        <v>350</v>
      </c>
      <c r="F91" s="459">
        <f t="shared" ref="F91:F94" si="2">E91/D91</f>
        <v>1</v>
      </c>
      <c r="G91" s="460">
        <v>1</v>
      </c>
      <c r="H91" s="458">
        <f t="shared" ref="H91:H94" si="3">G91*F91</f>
        <v>1</v>
      </c>
      <c r="I91" s="457">
        <v>1</v>
      </c>
      <c r="J91" s="461"/>
      <c r="K91" s="385">
        <f t="shared" ref="K91:K94" si="4">J91*H91*I91</f>
        <v>0</v>
      </c>
      <c r="L91" s="462">
        <v>0.2</v>
      </c>
      <c r="M91" s="509">
        <f>(100%+L91)*K91</f>
        <v>0</v>
      </c>
      <c r="N91" s="510"/>
    </row>
    <row r="92" spans="1:14" s="5" customFormat="1" ht="15" x14ac:dyDescent="0.25">
      <c r="A92" s="459" t="s">
        <v>725</v>
      </c>
      <c r="B92" s="455">
        <v>100</v>
      </c>
      <c r="C92" s="481" t="s">
        <v>709</v>
      </c>
      <c r="D92" s="483">
        <v>700</v>
      </c>
      <c r="E92" s="480">
        <f>7*B92</f>
        <v>700</v>
      </c>
      <c r="F92" s="459">
        <f t="shared" si="2"/>
        <v>1</v>
      </c>
      <c r="G92" s="460">
        <v>1</v>
      </c>
      <c r="H92" s="458">
        <f t="shared" si="3"/>
        <v>1</v>
      </c>
      <c r="I92" s="457">
        <v>1</v>
      </c>
      <c r="J92" s="461"/>
      <c r="K92" s="385">
        <f t="shared" si="4"/>
        <v>0</v>
      </c>
      <c r="L92" s="462">
        <v>0.2</v>
      </c>
      <c r="M92" s="509">
        <f>(100%+L92)*K92</f>
        <v>0</v>
      </c>
      <c r="N92" s="510"/>
    </row>
    <row r="93" spans="1:14" s="5" customFormat="1" ht="15" x14ac:dyDescent="0.25">
      <c r="A93" s="459" t="s">
        <v>726</v>
      </c>
      <c r="B93" s="455">
        <v>200</v>
      </c>
      <c r="C93" s="481" t="s">
        <v>711</v>
      </c>
      <c r="D93" s="483">
        <v>1400</v>
      </c>
      <c r="E93" s="480">
        <f>7*B93</f>
        <v>1400</v>
      </c>
      <c r="F93" s="459">
        <f t="shared" si="2"/>
        <v>1</v>
      </c>
      <c r="G93" s="460">
        <v>1</v>
      </c>
      <c r="H93" s="458">
        <f t="shared" si="3"/>
        <v>1</v>
      </c>
      <c r="I93" s="457">
        <v>1</v>
      </c>
      <c r="J93" s="461"/>
      <c r="K93" s="385">
        <f t="shared" si="4"/>
        <v>0</v>
      </c>
      <c r="L93" s="462">
        <v>0.2</v>
      </c>
      <c r="M93" s="509">
        <f>(100%+L93)*K93</f>
        <v>0</v>
      </c>
      <c r="N93" s="510"/>
    </row>
    <row r="94" spans="1:14" s="5" customFormat="1" ht="15" x14ac:dyDescent="0.25">
      <c r="A94" s="459" t="s">
        <v>727</v>
      </c>
      <c r="B94" s="455">
        <v>400</v>
      </c>
      <c r="C94" s="481" t="s">
        <v>728</v>
      </c>
      <c r="D94" s="483">
        <v>11200</v>
      </c>
      <c r="E94" s="480">
        <f>28*B94</f>
        <v>11200</v>
      </c>
      <c r="F94" s="459">
        <f t="shared" si="2"/>
        <v>1</v>
      </c>
      <c r="G94" s="460">
        <v>11</v>
      </c>
      <c r="H94" s="458">
        <f t="shared" si="3"/>
        <v>11</v>
      </c>
      <c r="I94" s="457">
        <v>1</v>
      </c>
      <c r="J94" s="461"/>
      <c r="K94" s="385">
        <f t="shared" si="4"/>
        <v>0</v>
      </c>
      <c r="L94" s="462">
        <v>0.2</v>
      </c>
      <c r="M94" s="509">
        <f>(100%+L94)*K94</f>
        <v>0</v>
      </c>
      <c r="N94" s="510"/>
    </row>
    <row r="95" spans="1:14" s="5" customFormat="1" ht="15" x14ac:dyDescent="0.25">
      <c r="A95" s="219" t="s">
        <v>1</v>
      </c>
      <c r="B95" s="380" t="s">
        <v>1</v>
      </c>
      <c r="C95" s="380" t="s">
        <v>1</v>
      </c>
      <c r="D95" s="380"/>
      <c r="E95" s="380" t="s">
        <v>1</v>
      </c>
      <c r="F95" s="380" t="s">
        <v>1</v>
      </c>
      <c r="G95" s="380" t="s">
        <v>1</v>
      </c>
      <c r="H95" s="482">
        <f>SUM(H90:H94)</f>
        <v>15</v>
      </c>
      <c r="I95" s="465"/>
      <c r="J95" s="381"/>
      <c r="K95" s="466">
        <f>SUM(K90:K94)</f>
        <v>0</v>
      </c>
      <c r="L95" s="465"/>
      <c r="M95" s="493">
        <f>SUM(M90:M94)</f>
        <v>0</v>
      </c>
      <c r="N95" s="510"/>
    </row>
    <row r="96" spans="1:14" s="5" customFormat="1" ht="15" x14ac:dyDescent="0.25">
      <c r="A96"/>
      <c r="B96"/>
      <c r="C96"/>
      <c r="D96"/>
      <c r="E96"/>
      <c r="F96"/>
      <c r="G96"/>
      <c r="H96"/>
      <c r="I96"/>
      <c r="J96"/>
      <c r="K96"/>
      <c r="L96"/>
      <c r="M96" s="6"/>
      <c r="N96" s="510"/>
    </row>
    <row r="97" spans="1:15" s="5" customFormat="1" ht="15" x14ac:dyDescent="0.25">
      <c r="A97" s="478"/>
      <c r="B97" s="477"/>
      <c r="C97"/>
      <c r="D97"/>
      <c r="E97"/>
      <c r="F97"/>
      <c r="G97"/>
      <c r="H97"/>
      <c r="I97"/>
      <c r="J97"/>
      <c r="K97"/>
      <c r="L97"/>
      <c r="M97" s="6"/>
      <c r="N97" s="510"/>
    </row>
    <row r="98" spans="1:15" s="5" customFormat="1" ht="15" x14ac:dyDescent="0.25">
      <c r="A98"/>
      <c r="B98"/>
      <c r="C98"/>
      <c r="D98"/>
      <c r="E98"/>
      <c r="F98"/>
      <c r="G98"/>
      <c r="H98"/>
      <c r="I98"/>
      <c r="J98"/>
      <c r="K98"/>
      <c r="L98"/>
      <c r="M98" s="6"/>
      <c r="N98" s="510"/>
    </row>
    <row r="99" spans="1:15" s="5" customFormat="1" ht="90" x14ac:dyDescent="0.25">
      <c r="A99" s="469" t="s">
        <v>729</v>
      </c>
      <c r="B99" s="378" t="s">
        <v>703</v>
      </c>
      <c r="C99" s="378" t="s">
        <v>656</v>
      </c>
      <c r="D99" s="378" t="s">
        <v>730</v>
      </c>
      <c r="E99" s="378" t="s">
        <v>693</v>
      </c>
      <c r="F99" s="378" t="s">
        <v>731</v>
      </c>
      <c r="G99" s="378" t="s">
        <v>695</v>
      </c>
      <c r="H99" s="452" t="s">
        <v>732</v>
      </c>
      <c r="I99" s="452" t="s">
        <v>733</v>
      </c>
      <c r="J99" s="378" t="s">
        <v>734</v>
      </c>
      <c r="K99" s="378" t="s">
        <v>698</v>
      </c>
      <c r="L99" s="378" t="s">
        <v>665</v>
      </c>
      <c r="M99" s="378" t="s">
        <v>699</v>
      </c>
      <c r="N99" s="510"/>
      <c r="O99" s="620"/>
    </row>
    <row r="100" spans="1:15" s="5" customFormat="1" ht="30" x14ac:dyDescent="0.25">
      <c r="A100" s="459" t="s">
        <v>735</v>
      </c>
      <c r="B100" s="455">
        <v>100</v>
      </c>
      <c r="C100" s="388" t="s">
        <v>736</v>
      </c>
      <c r="D100" s="483">
        <v>1000</v>
      </c>
      <c r="E100" s="458">
        <f>B100</f>
        <v>100</v>
      </c>
      <c r="F100" s="459">
        <f>E100/D100</f>
        <v>0.1</v>
      </c>
      <c r="G100" s="460">
        <v>1</v>
      </c>
      <c r="H100" s="484">
        <f>G100*F100</f>
        <v>0.1</v>
      </c>
      <c r="I100" s="457">
        <v>0.94599999999999995</v>
      </c>
      <c r="J100" s="461"/>
      <c r="K100" s="485">
        <f>J100*H100*I100</f>
        <v>0</v>
      </c>
      <c r="L100" s="462">
        <v>0.2</v>
      </c>
      <c r="M100" s="509">
        <f>(100%+L100)*K100</f>
        <v>0</v>
      </c>
      <c r="N100" s="510"/>
    </row>
    <row r="101" spans="1:15" s="5" customFormat="1" ht="30" x14ac:dyDescent="0.25">
      <c r="A101" s="459" t="s">
        <v>737</v>
      </c>
      <c r="B101" s="455">
        <v>900</v>
      </c>
      <c r="C101" s="388" t="s">
        <v>736</v>
      </c>
      <c r="D101" s="483">
        <v>1000</v>
      </c>
      <c r="E101" s="458">
        <f>B101</f>
        <v>900</v>
      </c>
      <c r="F101" s="459">
        <f t="shared" ref="F101:F104" si="5">E101/D101</f>
        <v>0.9</v>
      </c>
      <c r="G101" s="460">
        <v>1</v>
      </c>
      <c r="H101" s="484">
        <f>G101*F101</f>
        <v>0.9</v>
      </c>
      <c r="I101" s="457">
        <v>0.94599999999999995</v>
      </c>
      <c r="J101" s="461"/>
      <c r="K101" s="485">
        <f t="shared" ref="K101:K104" si="6">J101*H101*I101</f>
        <v>0</v>
      </c>
      <c r="L101" s="462">
        <v>0.2</v>
      </c>
      <c r="M101" s="509">
        <f>(100%+L101)*K101</f>
        <v>0</v>
      </c>
      <c r="N101" s="510"/>
    </row>
    <row r="102" spans="1:15" s="5" customFormat="1" ht="30" x14ac:dyDescent="0.25">
      <c r="A102" s="459" t="s">
        <v>738</v>
      </c>
      <c r="B102" s="455">
        <v>1000</v>
      </c>
      <c r="C102" s="388" t="s">
        <v>739</v>
      </c>
      <c r="D102" s="483">
        <v>1000</v>
      </c>
      <c r="E102" s="458">
        <f>B102</f>
        <v>1000</v>
      </c>
      <c r="F102" s="459">
        <f t="shared" si="5"/>
        <v>1</v>
      </c>
      <c r="G102" s="460">
        <v>1</v>
      </c>
      <c r="H102" s="484">
        <f>G102*F102</f>
        <v>1</v>
      </c>
      <c r="I102" s="457">
        <v>0.94599999999999995</v>
      </c>
      <c r="J102" s="461"/>
      <c r="K102" s="485">
        <f t="shared" si="6"/>
        <v>0</v>
      </c>
      <c r="L102" s="462">
        <v>0.2</v>
      </c>
      <c r="M102" s="509">
        <f>(100%+L102)*K102</f>
        <v>0</v>
      </c>
      <c r="N102" s="510"/>
    </row>
    <row r="103" spans="1:15" s="5" customFormat="1" ht="30" x14ac:dyDescent="0.25">
      <c r="A103" s="459" t="s">
        <v>740</v>
      </c>
      <c r="B103" s="455">
        <v>1000</v>
      </c>
      <c r="C103" s="388" t="s">
        <v>739</v>
      </c>
      <c r="D103" s="483">
        <v>1000</v>
      </c>
      <c r="E103" s="458">
        <f>B103</f>
        <v>1000</v>
      </c>
      <c r="F103" s="459">
        <f t="shared" si="5"/>
        <v>1</v>
      </c>
      <c r="G103" s="460">
        <v>1</v>
      </c>
      <c r="H103" s="484">
        <f t="shared" ref="H103:H104" si="7">G103*F103</f>
        <v>1</v>
      </c>
      <c r="I103" s="457">
        <v>0.94599999999999995</v>
      </c>
      <c r="J103" s="461"/>
      <c r="K103" s="485">
        <f t="shared" si="6"/>
        <v>0</v>
      </c>
      <c r="L103" s="462">
        <v>0.2</v>
      </c>
      <c r="M103" s="509">
        <f>(100%+L103)*K103</f>
        <v>0</v>
      </c>
      <c r="N103" s="510"/>
    </row>
    <row r="104" spans="1:15" s="5" customFormat="1" ht="15" x14ac:dyDescent="0.25">
      <c r="A104" s="459" t="s">
        <v>741</v>
      </c>
      <c r="B104" s="455">
        <v>1000</v>
      </c>
      <c r="C104" s="388" t="s">
        <v>742</v>
      </c>
      <c r="D104" s="483">
        <v>1000</v>
      </c>
      <c r="E104" s="458">
        <f>B104</f>
        <v>1000</v>
      </c>
      <c r="F104" s="459">
        <f t="shared" si="5"/>
        <v>1</v>
      </c>
      <c r="G104" s="460">
        <v>5</v>
      </c>
      <c r="H104" s="484">
        <f t="shared" si="7"/>
        <v>5</v>
      </c>
      <c r="I104" s="457">
        <v>0.94599999999999995</v>
      </c>
      <c r="J104" s="461"/>
      <c r="K104" s="485">
        <f t="shared" si="6"/>
        <v>0</v>
      </c>
      <c r="L104" s="462">
        <v>0.2</v>
      </c>
      <c r="M104" s="509">
        <f>(100%+L104)*K104</f>
        <v>0</v>
      </c>
    </row>
    <row r="105" spans="1:15" s="5" customFormat="1" ht="15" x14ac:dyDescent="0.25">
      <c r="A105" s="219" t="s">
        <v>1</v>
      </c>
      <c r="B105" s="380" t="s">
        <v>1</v>
      </c>
      <c r="C105" s="380" t="s">
        <v>1</v>
      </c>
      <c r="D105" s="380" t="s">
        <v>1</v>
      </c>
      <c r="E105" s="380" t="s">
        <v>1</v>
      </c>
      <c r="F105" s="380" t="s">
        <v>1</v>
      </c>
      <c r="G105" s="380" t="s">
        <v>1</v>
      </c>
      <c r="H105" s="486">
        <f>SUM(H100:H104)</f>
        <v>8</v>
      </c>
      <c r="I105" s="465"/>
      <c r="J105" s="381"/>
      <c r="K105" s="487">
        <f>SUM(K100:K104)</f>
        <v>0</v>
      </c>
      <c r="L105" s="465"/>
      <c r="M105" s="493">
        <f>SUM(M100:M104)</f>
        <v>0</v>
      </c>
    </row>
    <row r="106" spans="1:15" s="5" customFormat="1" ht="15" x14ac:dyDescent="0.25">
      <c r="A106" s="495" t="s">
        <v>668</v>
      </c>
      <c r="B106" s="383"/>
      <c r="C106" s="383"/>
      <c r="D106" s="383"/>
      <c r="E106" s="383"/>
      <c r="F106" s="383"/>
      <c r="G106" s="383"/>
      <c r="H106" s="383"/>
      <c r="I106" s="383"/>
      <c r="J106" s="496"/>
      <c r="K106" s="465"/>
      <c r="L106" s="465"/>
      <c r="M106" s="6"/>
    </row>
    <row r="107" spans="1:15" s="5" customFormat="1" ht="45" x14ac:dyDescent="0.25">
      <c r="A107" s="464" t="s">
        <v>714</v>
      </c>
      <c r="B107" s="497"/>
      <c r="C107" s="497"/>
      <c r="D107" s="497"/>
      <c r="E107" s="497"/>
      <c r="F107" s="497"/>
      <c r="G107" s="497"/>
      <c r="H107" s="497"/>
      <c r="I107" s="497"/>
      <c r="J107" s="498"/>
      <c r="K107" s="384" t="s">
        <v>669</v>
      </c>
      <c r="L107" s="384" t="s">
        <v>716</v>
      </c>
      <c r="M107" s="378" t="s">
        <v>717</v>
      </c>
    </row>
    <row r="108" spans="1:15" s="5" customFormat="1" ht="15" x14ac:dyDescent="0.25">
      <c r="A108" s="680" t="s">
        <v>840</v>
      </c>
      <c r="B108" s="681"/>
      <c r="C108" s="681"/>
      <c r="D108" s="685"/>
      <c r="E108" s="686"/>
      <c r="F108" s="681"/>
      <c r="G108" s="681"/>
      <c r="H108" s="681"/>
      <c r="I108" s="681"/>
      <c r="J108" s="498"/>
      <c r="K108" s="499">
        <v>335</v>
      </c>
      <c r="L108" s="460"/>
      <c r="M108" s="385">
        <f>L108*K108</f>
        <v>0</v>
      </c>
    </row>
    <row r="109" spans="1:15" s="5" customFormat="1" ht="15" x14ac:dyDescent="0.25">
      <c r="A109" s="680" t="s">
        <v>839</v>
      </c>
      <c r="B109" s="681"/>
      <c r="C109" s="681"/>
      <c r="D109" s="685"/>
      <c r="E109" s="686"/>
      <c r="F109" s="681"/>
      <c r="G109" s="681"/>
      <c r="H109" s="681"/>
      <c r="I109" s="681"/>
      <c r="J109" s="498"/>
      <c r="K109" s="499">
        <v>134</v>
      </c>
      <c r="L109" s="460"/>
      <c r="M109" s="385">
        <f>L109*K109</f>
        <v>0</v>
      </c>
    </row>
    <row r="110" spans="1:15" s="5" customFormat="1" ht="15" x14ac:dyDescent="0.25">
      <c r="A110" s="500" t="s">
        <v>1</v>
      </c>
      <c r="B110" s="380" t="s">
        <v>1</v>
      </c>
      <c r="C110" s="380" t="s">
        <v>1</v>
      </c>
      <c r="D110" s="380" t="s">
        <v>1</v>
      </c>
      <c r="E110" s="380" t="s">
        <v>1</v>
      </c>
      <c r="F110" s="380" t="s">
        <v>1</v>
      </c>
      <c r="G110" s="380" t="s">
        <v>1</v>
      </c>
      <c r="H110" s="465"/>
      <c r="I110" s="465"/>
      <c r="J110" s="465"/>
      <c r="K110" s="488" t="s">
        <v>743</v>
      </c>
      <c r="L110" s="501">
        <f>SUM(L108:L109)</f>
        <v>0</v>
      </c>
      <c r="M110" s="466">
        <f>SUM(M108:M109)</f>
        <v>0</v>
      </c>
      <c r="N110" s="595"/>
    </row>
    <row r="111" spans="1:15" ht="15" x14ac:dyDescent="0.25">
      <c r="A111" s="500" t="s">
        <v>1</v>
      </c>
      <c r="B111" s="380" t="s">
        <v>1</v>
      </c>
      <c r="C111" s="380" t="s">
        <v>1</v>
      </c>
      <c r="D111" s="380" t="s">
        <v>1</v>
      </c>
      <c r="E111" s="380" t="s">
        <v>1</v>
      </c>
      <c r="F111" s="380" t="s">
        <v>1</v>
      </c>
      <c r="G111" s="383"/>
      <c r="H111" s="465"/>
      <c r="I111" s="465"/>
      <c r="J111" s="465"/>
      <c r="K111" s="502"/>
      <c r="L111" s="503" t="s">
        <v>744</v>
      </c>
      <c r="M111" s="474">
        <f>IF(L110=0, ,M110/L110)</f>
        <v>0</v>
      </c>
    </row>
    <row r="112" spans="1:15" ht="15" x14ac:dyDescent="0.25">
      <c r="A112" s="219"/>
      <c r="B112" s="380"/>
      <c r="C112" s="380"/>
      <c r="D112" s="380"/>
      <c r="E112" s="380"/>
      <c r="F112" s="380"/>
      <c r="G112" s="380"/>
      <c r="H112" s="494"/>
      <c r="I112" s="465"/>
      <c r="J112" s="381"/>
      <c r="K112" s="492"/>
      <c r="L112" s="465"/>
      <c r="M112" s="467"/>
    </row>
    <row r="113" spans="1:13" ht="15" x14ac:dyDescent="0.25">
      <c r="A113" s="476" t="s">
        <v>745</v>
      </c>
      <c r="B113" s="380"/>
      <c r="C113" s="380"/>
      <c r="D113" s="380"/>
      <c r="E113" s="380"/>
      <c r="F113" s="380"/>
      <c r="G113" s="380"/>
      <c r="H113" s="494"/>
      <c r="I113" s="465"/>
      <c r="J113" s="381"/>
      <c r="K113" s="492"/>
      <c r="L113" s="465"/>
      <c r="M113" s="467"/>
    </row>
    <row r="114" spans="1:13" ht="15" x14ac:dyDescent="0.25">
      <c r="A114"/>
      <c r="B114"/>
      <c r="C114"/>
      <c r="D114"/>
      <c r="E114"/>
      <c r="F114"/>
      <c r="G114"/>
      <c r="H114"/>
      <c r="I114"/>
      <c r="J114"/>
      <c r="K114"/>
      <c r="L114" s="488"/>
      <c r="M114" s="467"/>
    </row>
    <row r="115" spans="1:13" ht="90" x14ac:dyDescent="0.25">
      <c r="A115" s="450" t="s">
        <v>701</v>
      </c>
      <c r="B115" s="378" t="s">
        <v>703</v>
      </c>
      <c r="C115" s="451" t="s">
        <v>656</v>
      </c>
      <c r="D115" s="378" t="s">
        <v>691</v>
      </c>
      <c r="E115" s="378" t="s">
        <v>720</v>
      </c>
      <c r="F115" s="378" t="s">
        <v>721</v>
      </c>
      <c r="G115" s="378" t="s">
        <v>695</v>
      </c>
      <c r="H115" s="452" t="s">
        <v>722</v>
      </c>
      <c r="I115" s="452" t="s">
        <v>692</v>
      </c>
      <c r="J115" s="378" t="s">
        <v>697</v>
      </c>
      <c r="K115" s="378" t="s">
        <v>698</v>
      </c>
      <c r="L115" s="378" t="s">
        <v>665</v>
      </c>
      <c r="M115" s="378" t="s">
        <v>699</v>
      </c>
    </row>
    <row r="116" spans="1:13" ht="32.25" customHeight="1" x14ac:dyDescent="0.25">
      <c r="A116" s="459" t="s">
        <v>723</v>
      </c>
      <c r="B116" s="455">
        <v>20</v>
      </c>
      <c r="C116" s="479" t="s">
        <v>705</v>
      </c>
      <c r="D116" s="483">
        <v>140</v>
      </c>
      <c r="E116" s="480">
        <f>7*B116</f>
        <v>140</v>
      </c>
      <c r="F116" s="459">
        <f>E116/D116</f>
        <v>1</v>
      </c>
      <c r="G116" s="460">
        <v>1</v>
      </c>
      <c r="H116" s="458">
        <f>G116*F116</f>
        <v>1</v>
      </c>
      <c r="I116" s="457">
        <v>1</v>
      </c>
      <c r="J116" s="461"/>
      <c r="K116" s="385">
        <f>J116*H116*I116</f>
        <v>0</v>
      </c>
      <c r="L116" s="462">
        <v>0.2</v>
      </c>
      <c r="M116" s="509">
        <f>(100%+L116)*K116</f>
        <v>0</v>
      </c>
    </row>
    <row r="117" spans="1:13" ht="32.25" customHeight="1" x14ac:dyDescent="0.25">
      <c r="A117" s="459" t="s">
        <v>724</v>
      </c>
      <c r="B117" s="455">
        <v>50</v>
      </c>
      <c r="C117" s="481" t="s">
        <v>707</v>
      </c>
      <c r="D117" s="483">
        <v>350</v>
      </c>
      <c r="E117" s="480">
        <f>7*B117</f>
        <v>350</v>
      </c>
      <c r="F117" s="459">
        <f t="shared" ref="F117:F120" si="8">E117/D117</f>
        <v>1</v>
      </c>
      <c r="G117" s="460">
        <v>1</v>
      </c>
      <c r="H117" s="458">
        <f t="shared" ref="H117:H119" si="9">G117*F117</f>
        <v>1</v>
      </c>
      <c r="I117" s="457">
        <v>1</v>
      </c>
      <c r="J117" s="461"/>
      <c r="K117" s="385">
        <f t="shared" ref="K117:K120" si="10">J117*H117*I117</f>
        <v>0</v>
      </c>
      <c r="L117" s="462">
        <v>0.2</v>
      </c>
      <c r="M117" s="509">
        <f>(100%+L117)*K117</f>
        <v>0</v>
      </c>
    </row>
    <row r="118" spans="1:13" ht="15" x14ac:dyDescent="0.25">
      <c r="A118" s="459" t="s">
        <v>725</v>
      </c>
      <c r="B118" s="455">
        <v>100</v>
      </c>
      <c r="C118" s="481" t="s">
        <v>709</v>
      </c>
      <c r="D118" s="483">
        <v>700</v>
      </c>
      <c r="E118" s="480">
        <f>7*B118</f>
        <v>700</v>
      </c>
      <c r="F118" s="459">
        <f t="shared" si="8"/>
        <v>1</v>
      </c>
      <c r="G118" s="460">
        <v>1</v>
      </c>
      <c r="H118" s="458">
        <f t="shared" si="9"/>
        <v>1</v>
      </c>
      <c r="I118" s="457">
        <v>1</v>
      </c>
      <c r="J118" s="461"/>
      <c r="K118" s="385">
        <f t="shared" si="10"/>
        <v>0</v>
      </c>
      <c r="L118" s="462">
        <v>0.2</v>
      </c>
      <c r="M118" s="509">
        <f>(100%+L118)*K118</f>
        <v>0</v>
      </c>
    </row>
    <row r="119" spans="1:13" ht="15" x14ac:dyDescent="0.25">
      <c r="A119" s="459" t="s">
        <v>726</v>
      </c>
      <c r="B119" s="455">
        <v>200</v>
      </c>
      <c r="C119" s="481" t="s">
        <v>711</v>
      </c>
      <c r="D119" s="489">
        <v>1400</v>
      </c>
      <c r="E119" s="480">
        <f>7*B119</f>
        <v>1400</v>
      </c>
      <c r="F119" s="459">
        <f t="shared" si="8"/>
        <v>1</v>
      </c>
      <c r="G119" s="460">
        <v>1</v>
      </c>
      <c r="H119" s="458">
        <f t="shared" si="9"/>
        <v>1</v>
      </c>
      <c r="I119" s="457">
        <v>1</v>
      </c>
      <c r="J119" s="461"/>
      <c r="K119" s="385">
        <f t="shared" si="10"/>
        <v>0</v>
      </c>
      <c r="L119" s="462">
        <v>0.2</v>
      </c>
      <c r="M119" s="509">
        <f>(100%+L119)*K119</f>
        <v>0</v>
      </c>
    </row>
    <row r="120" spans="1:13" ht="15" x14ac:dyDescent="0.25">
      <c r="A120" s="459" t="s">
        <v>727</v>
      </c>
      <c r="B120" s="455">
        <v>400</v>
      </c>
      <c r="C120" s="481" t="s">
        <v>728</v>
      </c>
      <c r="D120" s="489">
        <v>11200</v>
      </c>
      <c r="E120" s="480">
        <f>28*B120</f>
        <v>11200</v>
      </c>
      <c r="F120" s="459">
        <f t="shared" si="8"/>
        <v>1</v>
      </c>
      <c r="G120" s="460">
        <v>11</v>
      </c>
      <c r="H120" s="458">
        <f>G120*F120</f>
        <v>11</v>
      </c>
      <c r="I120" s="457">
        <v>1</v>
      </c>
      <c r="J120" s="461"/>
      <c r="K120" s="385">
        <f t="shared" si="10"/>
        <v>0</v>
      </c>
      <c r="L120" s="462">
        <v>0.2</v>
      </c>
      <c r="M120" s="509">
        <f>(100%+L120)*K120</f>
        <v>0</v>
      </c>
    </row>
    <row r="121" spans="1:13" ht="15" x14ac:dyDescent="0.25">
      <c r="A121" s="219" t="s">
        <v>1</v>
      </c>
      <c r="B121" s="380" t="s">
        <v>1</v>
      </c>
      <c r="C121" s="380" t="s">
        <v>1</v>
      </c>
      <c r="D121" s="380"/>
      <c r="E121" s="380" t="s">
        <v>1</v>
      </c>
      <c r="F121" s="380" t="s">
        <v>1</v>
      </c>
      <c r="G121" s="380" t="s">
        <v>1</v>
      </c>
      <c r="H121" s="482">
        <f>SUM(H116:H120)</f>
        <v>15</v>
      </c>
      <c r="I121" s="465"/>
      <c r="J121" s="381"/>
      <c r="K121" s="466">
        <f>SUM(K116:K120)</f>
        <v>0</v>
      </c>
      <c r="L121" s="465"/>
      <c r="M121" s="493">
        <f>SUM(M116:M120)</f>
        <v>0</v>
      </c>
    </row>
    <row r="122" spans="1:13" ht="14.25" x14ac:dyDescent="0.2">
      <c r="A122" s="6"/>
      <c r="B122" s="6"/>
      <c r="C122" s="6"/>
      <c r="D122" s="6"/>
      <c r="E122" s="6"/>
      <c r="F122" s="6"/>
      <c r="G122" s="6"/>
      <c r="H122" s="6"/>
      <c r="I122" s="6"/>
      <c r="J122" s="6"/>
      <c r="K122" s="6"/>
      <c r="L122" s="6"/>
      <c r="M122" s="467"/>
    </row>
    <row r="123" spans="1:13" ht="15" x14ac:dyDescent="0.25">
      <c r="A123" s="478" t="s">
        <v>746</v>
      </c>
      <c r="B123" s="380"/>
      <c r="C123" s="380"/>
      <c r="D123" s="6"/>
      <c r="E123" s="6"/>
      <c r="F123" s="6"/>
      <c r="G123" s="6"/>
      <c r="H123" s="6"/>
      <c r="I123" s="6"/>
      <c r="J123" s="6"/>
      <c r="K123" s="6"/>
      <c r="L123" s="6"/>
      <c r="M123" s="467"/>
    </row>
    <row r="124" spans="1:13" ht="15" x14ac:dyDescent="0.25">
      <c r="A124" t="s">
        <v>835</v>
      </c>
      <c r="B124" s="588"/>
      <c r="C124" t="s">
        <v>836</v>
      </c>
      <c r="D124" s="6"/>
      <c r="E124" s="6"/>
      <c r="F124" s="6"/>
      <c r="G124" s="6"/>
      <c r="H124" s="6"/>
      <c r="I124" s="6"/>
      <c r="J124" s="6"/>
      <c r="K124" s="6"/>
      <c r="L124" s="6"/>
      <c r="M124" s="467"/>
    </row>
    <row r="125" spans="1:13" ht="15" x14ac:dyDescent="0.25">
      <c r="A125" t="s">
        <v>835</v>
      </c>
      <c r="B125" s="588"/>
      <c r="C125" t="s">
        <v>837</v>
      </c>
      <c r="D125" s="6"/>
      <c r="E125" s="6"/>
      <c r="F125" s="6"/>
      <c r="G125" s="6"/>
      <c r="H125" s="6"/>
      <c r="I125" s="6"/>
      <c r="J125" s="6"/>
      <c r="K125" s="6"/>
      <c r="L125" s="6"/>
      <c r="M125" s="467"/>
    </row>
    <row r="126" spans="1:13" ht="14.25" x14ac:dyDescent="0.2">
      <c r="A126" s="6"/>
      <c r="B126" s="6"/>
      <c r="C126" s="6"/>
      <c r="D126" s="6"/>
      <c r="E126" s="6"/>
      <c r="F126" s="6"/>
      <c r="G126" s="6"/>
      <c r="H126" s="6"/>
      <c r="I126" s="6"/>
      <c r="J126" s="6"/>
      <c r="K126" s="6"/>
      <c r="L126" s="6"/>
      <c r="M126" s="467"/>
    </row>
    <row r="127" spans="1:13" x14ac:dyDescent="0.2">
      <c r="A127" s="543" t="s">
        <v>746</v>
      </c>
      <c r="B127" s="541"/>
      <c r="C127" s="541"/>
      <c r="D127" s="541"/>
      <c r="E127" s="541"/>
      <c r="F127" s="541"/>
      <c r="G127" s="541"/>
      <c r="H127" s="541"/>
      <c r="I127" s="541"/>
      <c r="J127" s="541"/>
      <c r="K127" s="541"/>
      <c r="L127" s="541"/>
      <c r="M127" s="542"/>
    </row>
    <row r="128" spans="1:13" ht="75" x14ac:dyDescent="0.25">
      <c r="A128" s="450"/>
      <c r="B128" s="378" t="s">
        <v>747</v>
      </c>
      <c r="C128" s="378" t="s">
        <v>656</v>
      </c>
      <c r="D128" s="378" t="s">
        <v>748</v>
      </c>
      <c r="E128" s="452" t="s">
        <v>692</v>
      </c>
      <c r="F128" s="378" t="s">
        <v>693</v>
      </c>
      <c r="G128" s="378" t="s">
        <v>694</v>
      </c>
      <c r="H128" s="378" t="s">
        <v>695</v>
      </c>
      <c r="I128" s="452" t="s">
        <v>732</v>
      </c>
      <c r="J128" s="378" t="s">
        <v>697</v>
      </c>
      <c r="K128" s="378" t="s">
        <v>698</v>
      </c>
      <c r="L128" s="378" t="s">
        <v>665</v>
      </c>
      <c r="M128" s="378" t="s">
        <v>699</v>
      </c>
    </row>
    <row r="129" spans="1:13" ht="18.75" x14ac:dyDescent="0.25">
      <c r="A129" s="530" t="s">
        <v>749</v>
      </c>
      <c r="B129" s="621">
        <v>375</v>
      </c>
      <c r="C129" s="459" t="s">
        <v>750</v>
      </c>
      <c r="D129" s="621">
        <v>1.79</v>
      </c>
      <c r="E129" s="622">
        <v>0.94299999999999995</v>
      </c>
      <c r="F129" s="533">
        <f>D129*B129*E129</f>
        <v>632.98874999999998</v>
      </c>
      <c r="G129" s="490">
        <f>ROUNDUP((500/500)+((F129-500)/100),0)</f>
        <v>3</v>
      </c>
      <c r="H129" s="621">
        <v>1</v>
      </c>
      <c r="I129" s="532">
        <f>H129*G129</f>
        <v>3</v>
      </c>
      <c r="J129" s="623">
        <f>B124</f>
        <v>0</v>
      </c>
      <c r="K129" s="385">
        <f>(B125+((G129-1)*B124))</f>
        <v>0</v>
      </c>
      <c r="L129" s="624">
        <v>0.2</v>
      </c>
      <c r="M129" s="534">
        <f>(1+L129)*K129</f>
        <v>0</v>
      </c>
    </row>
    <row r="130" spans="1:13" ht="17.25" x14ac:dyDescent="0.25">
      <c r="A130" s="530" t="s">
        <v>741</v>
      </c>
      <c r="B130" s="621">
        <v>500</v>
      </c>
      <c r="C130" s="459" t="s">
        <v>751</v>
      </c>
      <c r="D130" s="621">
        <v>1.79</v>
      </c>
      <c r="E130" s="622">
        <v>0.94299999999999995</v>
      </c>
      <c r="F130" s="533">
        <f>D130*B130*E130</f>
        <v>843.9849999999999</v>
      </c>
      <c r="G130" s="491">
        <f>ROUNDUP((500/500)+((F130-500)/100),0)</f>
        <v>5</v>
      </c>
      <c r="H130" s="621">
        <v>5</v>
      </c>
      <c r="I130" s="532">
        <f>H130*G130</f>
        <v>25</v>
      </c>
      <c r="J130" s="623">
        <f>B125</f>
        <v>0</v>
      </c>
      <c r="K130" s="385">
        <f>(((1*J130)+((G130-1)*B124))*H130)</f>
        <v>0</v>
      </c>
      <c r="L130" s="624">
        <v>0.2</v>
      </c>
      <c r="M130" s="534">
        <f>(1+L130)*K130</f>
        <v>0</v>
      </c>
    </row>
    <row r="131" spans="1:13" x14ac:dyDescent="0.2">
      <c r="A131" s="467"/>
      <c r="B131" s="467"/>
      <c r="C131" s="467"/>
      <c r="D131" s="467"/>
      <c r="E131" s="467"/>
      <c r="F131" s="467"/>
      <c r="G131" s="467"/>
      <c r="H131" s="467"/>
      <c r="I131" s="467"/>
      <c r="J131" s="467"/>
      <c r="K131" s="467"/>
      <c r="L131" s="467"/>
      <c r="M131" s="544">
        <f>SUM(M129:M130)</f>
        <v>0</v>
      </c>
    </row>
    <row r="132" spans="1:13" x14ac:dyDescent="0.2">
      <c r="A132" s="363"/>
      <c r="B132" s="363"/>
      <c r="C132" s="363"/>
      <c r="D132" s="363"/>
      <c r="E132" s="363"/>
      <c r="F132" s="363"/>
      <c r="G132" s="363"/>
      <c r="H132" s="363"/>
      <c r="I132" s="363"/>
      <c r="J132" s="363"/>
      <c r="K132" s="363"/>
      <c r="L132" s="363"/>
      <c r="M132" s="363"/>
    </row>
    <row r="133" spans="1:13" x14ac:dyDescent="0.2">
      <c r="A133" s="363"/>
      <c r="B133" s="363"/>
      <c r="C133" s="363"/>
      <c r="D133" s="363"/>
      <c r="E133" s="363"/>
      <c r="F133" s="363"/>
      <c r="G133" s="363"/>
      <c r="H133" s="363"/>
      <c r="I133" s="363"/>
      <c r="J133" s="363"/>
      <c r="K133" s="363"/>
      <c r="L133" s="363"/>
      <c r="M133" s="363"/>
    </row>
    <row r="134" spans="1:13" ht="45" x14ac:dyDescent="0.25">
      <c r="A134" s="464" t="s">
        <v>714</v>
      </c>
      <c r="B134" s="497"/>
      <c r="C134" s="497"/>
      <c r="D134" s="497"/>
      <c r="E134" s="497"/>
      <c r="F134" s="497"/>
      <c r="G134" s="497"/>
      <c r="H134" s="497"/>
      <c r="I134" s="497"/>
      <c r="J134" s="498"/>
      <c r="K134" s="384" t="s">
        <v>669</v>
      </c>
      <c r="L134" s="384" t="s">
        <v>716</v>
      </c>
      <c r="M134" s="378" t="s">
        <v>717</v>
      </c>
    </row>
    <row r="135" spans="1:13" ht="15" x14ac:dyDescent="0.25">
      <c r="A135" s="680" t="s">
        <v>840</v>
      </c>
      <c r="B135" s="681"/>
      <c r="C135" s="681"/>
      <c r="D135" s="685"/>
      <c r="E135" s="686"/>
      <c r="F135" s="681"/>
      <c r="G135" s="681"/>
      <c r="H135" s="681"/>
      <c r="I135" s="681"/>
      <c r="J135" s="498"/>
      <c r="K135" s="499">
        <v>335</v>
      </c>
      <c r="L135" s="460"/>
      <c r="M135" s="385">
        <f>L135*K135</f>
        <v>0</v>
      </c>
    </row>
    <row r="136" spans="1:13" ht="15" x14ac:dyDescent="0.25">
      <c r="A136" s="680" t="s">
        <v>839</v>
      </c>
      <c r="B136" s="681"/>
      <c r="C136" s="681"/>
      <c r="D136" s="685"/>
      <c r="E136" s="686"/>
      <c r="F136" s="681"/>
      <c r="G136" s="681"/>
      <c r="H136" s="681"/>
      <c r="I136" s="681"/>
      <c r="J136" s="498"/>
      <c r="K136" s="499">
        <v>134</v>
      </c>
      <c r="L136" s="460"/>
      <c r="M136" s="385">
        <f>L136*K136</f>
        <v>0</v>
      </c>
    </row>
    <row r="137" spans="1:13" ht="15" x14ac:dyDescent="0.25">
      <c r="A137" s="500" t="s">
        <v>1</v>
      </c>
      <c r="B137" s="380" t="s">
        <v>1</v>
      </c>
      <c r="C137" s="380" t="s">
        <v>1</v>
      </c>
      <c r="D137" s="380" t="s">
        <v>1</v>
      </c>
      <c r="E137" s="380" t="s">
        <v>1</v>
      </c>
      <c r="F137" s="380" t="s">
        <v>1</v>
      </c>
      <c r="G137" s="380"/>
      <c r="H137" s="465"/>
      <c r="I137" s="465"/>
      <c r="J137" s="465"/>
      <c r="K137" s="488" t="s">
        <v>752</v>
      </c>
      <c r="L137" s="501">
        <f>SUM(L135:L136)</f>
        <v>0</v>
      </c>
      <c r="M137" s="466">
        <f>SUM(M135:M136)</f>
        <v>0</v>
      </c>
    </row>
    <row r="138" spans="1:13" ht="15" x14ac:dyDescent="0.25">
      <c r="A138" s="500" t="s">
        <v>1</v>
      </c>
      <c r="B138" s="380" t="s">
        <v>1</v>
      </c>
      <c r="C138" s="380" t="s">
        <v>1</v>
      </c>
      <c r="D138" s="380" t="s">
        <v>1</v>
      </c>
      <c r="E138" s="380" t="s">
        <v>1</v>
      </c>
      <c r="F138" s="380" t="s">
        <v>1</v>
      </c>
      <c r="G138" s="383"/>
      <c r="H138" s="465"/>
      <c r="I138" s="465"/>
      <c r="J138" s="465"/>
      <c r="K138" s="502"/>
      <c r="L138" s="503" t="s">
        <v>744</v>
      </c>
      <c r="M138" s="474">
        <f>IF(L137=0, ,M137/L137)</f>
        <v>0</v>
      </c>
    </row>
    <row r="139" spans="1:13" x14ac:dyDescent="0.2">
      <c r="A139" s="363"/>
      <c r="B139" s="363"/>
      <c r="C139" s="363"/>
      <c r="D139" s="363"/>
      <c r="E139" s="363"/>
      <c r="F139" s="363"/>
      <c r="G139" s="363"/>
      <c r="H139" s="363"/>
      <c r="I139" s="363"/>
      <c r="J139" s="363"/>
      <c r="K139" s="363"/>
      <c r="L139" s="363"/>
      <c r="M139" s="363"/>
    </row>
    <row r="140" spans="1:13" ht="15" x14ac:dyDescent="0.25">
      <c r="A140" s="476" t="s">
        <v>688</v>
      </c>
      <c r="B140" s="220"/>
      <c r="C140" s="220"/>
      <c r="D140" s="220"/>
      <c r="E140" s="217"/>
      <c r="F140" s="217"/>
      <c r="G140" s="217"/>
      <c r="H140" s="217"/>
      <c r="I140" s="217"/>
      <c r="J140" s="218"/>
      <c r="K140" s="218"/>
      <c r="L140" s="359"/>
      <c r="M140" s="359"/>
    </row>
    <row r="141" spans="1:13" ht="15" x14ac:dyDescent="0.25">
      <c r="A141" s="377"/>
      <c r="B141" s="220"/>
      <c r="C141" s="220"/>
      <c r="D141" s="220"/>
      <c r="E141" s="217"/>
      <c r="F141" s="217"/>
      <c r="G141" s="217"/>
      <c r="H141" s="217"/>
      <c r="I141" s="217"/>
      <c r="J141" s="218"/>
      <c r="K141" s="218"/>
      <c r="L141" s="218"/>
      <c r="M141" s="218"/>
    </row>
    <row r="142" spans="1:13" ht="15" x14ac:dyDescent="0.25">
      <c r="A142" s="445" t="s">
        <v>689</v>
      </c>
      <c r="B142" s="446"/>
      <c r="C142" s="447"/>
      <c r="D142" s="446"/>
      <c r="E142" s="448"/>
      <c r="F142" s="401"/>
      <c r="G142" s="401"/>
      <c r="H142" s="401"/>
      <c r="I142" s="401"/>
      <c r="J142" s="401"/>
      <c r="K142" s="401"/>
      <c r="L142" s="401"/>
      <c r="M142" s="449"/>
    </row>
    <row r="143" spans="1:13" ht="60" x14ac:dyDescent="0.25">
      <c r="A143" s="450"/>
      <c r="B143" s="451" t="s">
        <v>656</v>
      </c>
      <c r="C143" s="378" t="s">
        <v>690</v>
      </c>
      <c r="D143" s="378" t="s">
        <v>691</v>
      </c>
      <c r="E143" s="452" t="s">
        <v>692</v>
      </c>
      <c r="F143" s="378" t="s">
        <v>693</v>
      </c>
      <c r="G143" s="378" t="s">
        <v>694</v>
      </c>
      <c r="H143" s="378" t="s">
        <v>695</v>
      </c>
      <c r="I143" s="452" t="s">
        <v>696</v>
      </c>
      <c r="J143" s="378" t="s">
        <v>697</v>
      </c>
      <c r="K143" s="378" t="s">
        <v>698</v>
      </c>
      <c r="L143" s="378" t="s">
        <v>665</v>
      </c>
      <c r="M143" s="378" t="s">
        <v>699</v>
      </c>
    </row>
    <row r="144" spans="1:13" ht="15" x14ac:dyDescent="0.25">
      <c r="A144" s="453" t="s">
        <v>585</v>
      </c>
      <c r="B144" s="454" t="s">
        <v>700</v>
      </c>
      <c r="C144" s="455">
        <v>420</v>
      </c>
      <c r="D144" s="456">
        <f>420*28</f>
        <v>11760</v>
      </c>
      <c r="E144" s="457"/>
      <c r="F144" s="458">
        <f>28*C144*E144</f>
        <v>0</v>
      </c>
      <c r="G144" s="459">
        <f>F144/D144</f>
        <v>0</v>
      </c>
      <c r="H144" s="460">
        <v>13</v>
      </c>
      <c r="I144" s="458">
        <f>H144*ROUNDUP(G144,1)</f>
        <v>0</v>
      </c>
      <c r="J144" s="461"/>
      <c r="K144" s="385">
        <f>J144*I144</f>
        <v>0</v>
      </c>
      <c r="L144" s="462">
        <v>0.2</v>
      </c>
      <c r="M144" s="463">
        <f>(100%+L144)*K144</f>
        <v>0</v>
      </c>
    </row>
    <row r="145" spans="1:13" ht="15" x14ac:dyDescent="0.25">
      <c r="A145" s="453" t="s">
        <v>586</v>
      </c>
      <c r="B145" s="464" t="str">
        <f>B144</f>
        <v>1 x 420 mg tablet once daily</v>
      </c>
      <c r="C145" s="455">
        <f>C144</f>
        <v>420</v>
      </c>
      <c r="D145" s="456">
        <f>420*28</f>
        <v>11760</v>
      </c>
      <c r="E145" s="457"/>
      <c r="F145" s="458">
        <f>F144</f>
        <v>0</v>
      </c>
      <c r="G145" s="459">
        <f>F145/D145</f>
        <v>0</v>
      </c>
      <c r="H145" s="460">
        <v>2</v>
      </c>
      <c r="I145" s="458">
        <f>H145*ROUNDUP(G145,1)</f>
        <v>0</v>
      </c>
      <c r="J145" s="461"/>
      <c r="K145" s="385">
        <f>J145*I145</f>
        <v>0</v>
      </c>
      <c r="L145" s="462">
        <v>0.2</v>
      </c>
      <c r="M145" s="463">
        <f>(100%+L145)*K145</f>
        <v>0</v>
      </c>
    </row>
    <row r="146" spans="1:13" ht="15" x14ac:dyDescent="0.25">
      <c r="A146" s="219" t="s">
        <v>1</v>
      </c>
      <c r="B146" s="380" t="s">
        <v>1</v>
      </c>
      <c r="C146" s="465"/>
      <c r="D146" s="465"/>
      <c r="E146" s="380" t="s">
        <v>1</v>
      </c>
      <c r="F146" s="380" t="s">
        <v>1</v>
      </c>
      <c r="G146" s="380" t="s">
        <v>1</v>
      </c>
      <c r="H146" s="380" t="s">
        <v>1</v>
      </c>
      <c r="I146" s="380" t="s">
        <v>1</v>
      </c>
      <c r="J146" s="381"/>
      <c r="K146" s="466">
        <f>SUM(K144:K145)</f>
        <v>0</v>
      </c>
      <c r="L146" s="465"/>
      <c r="M146" s="466">
        <f>SUM(M144:M145)</f>
        <v>0</v>
      </c>
    </row>
    <row r="147" spans="1:13" ht="14.25" x14ac:dyDescent="0.2">
      <c r="A147" s="6"/>
      <c r="B147" s="6"/>
      <c r="C147" s="6"/>
      <c r="D147" s="6"/>
      <c r="E147" s="6"/>
      <c r="F147" s="6"/>
      <c r="G147" s="6"/>
      <c r="H147" s="6"/>
      <c r="I147" s="6"/>
      <c r="J147" s="6"/>
      <c r="K147" s="6"/>
      <c r="L147" s="6"/>
      <c r="M147" s="6"/>
    </row>
    <row r="148" spans="1:13" ht="15" x14ac:dyDescent="0.25">
      <c r="A148" s="468" t="s">
        <v>701</v>
      </c>
      <c r="B148" s="401"/>
      <c r="C148" s="401"/>
      <c r="D148" s="401"/>
      <c r="E148" s="469"/>
      <c r="F148" s="401"/>
      <c r="G148" s="401"/>
      <c r="H148" s="401"/>
      <c r="I148" s="401"/>
      <c r="J148" s="401"/>
      <c r="K148" s="401"/>
      <c r="L148" s="449"/>
      <c r="M148" s="6"/>
    </row>
    <row r="149" spans="1:13" ht="60" x14ac:dyDescent="0.25">
      <c r="A149" s="450"/>
      <c r="B149" s="378" t="s">
        <v>702</v>
      </c>
      <c r="C149" s="378" t="s">
        <v>656</v>
      </c>
      <c r="D149" s="378" t="s">
        <v>691</v>
      </c>
      <c r="E149" s="378" t="s">
        <v>703</v>
      </c>
      <c r="F149" s="452" t="s">
        <v>692</v>
      </c>
      <c r="G149" s="378" t="s">
        <v>693</v>
      </c>
      <c r="H149" s="452" t="s">
        <v>696</v>
      </c>
      <c r="I149" s="378" t="s">
        <v>697</v>
      </c>
      <c r="J149" s="378" t="s">
        <v>698</v>
      </c>
      <c r="K149" s="378" t="s">
        <v>665</v>
      </c>
      <c r="L149" s="378" t="s">
        <v>699</v>
      </c>
      <c r="M149" s="6"/>
    </row>
    <row r="150" spans="1:13" ht="15" x14ac:dyDescent="0.25">
      <c r="A150" s="453" t="s">
        <v>704</v>
      </c>
      <c r="B150" s="459">
        <v>1</v>
      </c>
      <c r="C150" s="479" t="s">
        <v>705</v>
      </c>
      <c r="D150" s="455">
        <v>140</v>
      </c>
      <c r="E150" s="455">
        <v>20</v>
      </c>
      <c r="F150" s="457"/>
      <c r="G150" s="458">
        <f>7*E150*F150</f>
        <v>0</v>
      </c>
      <c r="H150" s="470">
        <f t="shared" ref="H150:H153" si="11">ROUNDUP(G150/D150,0)</f>
        <v>0</v>
      </c>
      <c r="I150" s="461"/>
      <c r="J150" s="385">
        <f t="shared" ref="J150:J153" si="12">I150*H150</f>
        <v>0</v>
      </c>
      <c r="K150" s="462">
        <v>0.2</v>
      </c>
      <c r="L150" s="463">
        <f>(100%+K150)*J150</f>
        <v>0</v>
      </c>
      <c r="M150" s="6"/>
    </row>
    <row r="151" spans="1:13" ht="15" x14ac:dyDescent="0.25">
      <c r="A151" s="453" t="s">
        <v>706</v>
      </c>
      <c r="B151" s="459">
        <v>1</v>
      </c>
      <c r="C151" s="481" t="s">
        <v>707</v>
      </c>
      <c r="D151" s="455">
        <v>350</v>
      </c>
      <c r="E151" s="455">
        <v>50</v>
      </c>
      <c r="F151" s="457"/>
      <c r="G151" s="458">
        <f>7*E151*F151</f>
        <v>0</v>
      </c>
      <c r="H151" s="470">
        <f t="shared" si="11"/>
        <v>0</v>
      </c>
      <c r="I151" s="461"/>
      <c r="J151" s="385">
        <f t="shared" si="12"/>
        <v>0</v>
      </c>
      <c r="K151" s="462">
        <v>0.2</v>
      </c>
      <c r="L151" s="463">
        <f t="shared" ref="L151:L153" si="13">(100%+K151)*J151</f>
        <v>0</v>
      </c>
      <c r="M151" s="6"/>
    </row>
    <row r="152" spans="1:13" ht="15" x14ac:dyDescent="0.25">
      <c r="A152" s="453" t="s">
        <v>708</v>
      </c>
      <c r="B152" s="459">
        <v>1</v>
      </c>
      <c r="C152" s="481" t="s">
        <v>709</v>
      </c>
      <c r="D152" s="455">
        <v>700</v>
      </c>
      <c r="E152" s="455">
        <v>100</v>
      </c>
      <c r="F152" s="457"/>
      <c r="G152" s="458">
        <f>7*E152*F152</f>
        <v>0</v>
      </c>
      <c r="H152" s="470">
        <f t="shared" si="11"/>
        <v>0</v>
      </c>
      <c r="I152" s="461"/>
      <c r="J152" s="385">
        <f t="shared" si="12"/>
        <v>0</v>
      </c>
      <c r="K152" s="462">
        <v>0.2</v>
      </c>
      <c r="L152" s="463">
        <f t="shared" si="13"/>
        <v>0</v>
      </c>
      <c r="M152" s="6"/>
    </row>
    <row r="153" spans="1:13" ht="15" x14ac:dyDescent="0.25">
      <c r="A153" s="453" t="s">
        <v>710</v>
      </c>
      <c r="B153" s="459">
        <v>1</v>
      </c>
      <c r="C153" s="481" t="s">
        <v>711</v>
      </c>
      <c r="D153" s="455">
        <v>1400</v>
      </c>
      <c r="E153" s="455">
        <v>200</v>
      </c>
      <c r="F153" s="457"/>
      <c r="G153" s="458">
        <f>7*E153*F153</f>
        <v>0</v>
      </c>
      <c r="H153" s="470">
        <f t="shared" si="11"/>
        <v>0</v>
      </c>
      <c r="I153" s="461"/>
      <c r="J153" s="385">
        <f t="shared" si="12"/>
        <v>0</v>
      </c>
      <c r="K153" s="462">
        <v>0.2</v>
      </c>
      <c r="L153" s="463">
        <f t="shared" si="13"/>
        <v>0</v>
      </c>
      <c r="M153" s="6"/>
    </row>
    <row r="154" spans="1:13" ht="15" x14ac:dyDescent="0.25">
      <c r="A154" s="453" t="s">
        <v>712</v>
      </c>
      <c r="B154" s="459">
        <v>1</v>
      </c>
      <c r="C154" s="379" t="s">
        <v>713</v>
      </c>
      <c r="D154" s="455">
        <v>11200</v>
      </c>
      <c r="E154" s="455">
        <v>400</v>
      </c>
      <c r="F154" s="457"/>
      <c r="G154" s="458">
        <f>(48-4)*7*E154*F154</f>
        <v>0</v>
      </c>
      <c r="H154" s="470">
        <f>ROUNDUP(G154/(112*100),0)</f>
        <v>0</v>
      </c>
      <c r="I154" s="461"/>
      <c r="J154" s="471">
        <f>I154*H154</f>
        <v>0</v>
      </c>
      <c r="K154" s="462">
        <v>0.2</v>
      </c>
      <c r="L154" s="472">
        <f>(100%+K154)*J154</f>
        <v>0</v>
      </c>
      <c r="M154" s="6"/>
    </row>
    <row r="155" spans="1:13" ht="15" x14ac:dyDescent="0.25">
      <c r="A155" s="219" t="s">
        <v>1</v>
      </c>
      <c r="B155" s="380" t="s">
        <v>1</v>
      </c>
      <c r="C155" s="380" t="s">
        <v>1</v>
      </c>
      <c r="D155" s="380"/>
      <c r="E155" s="380" t="s">
        <v>1</v>
      </c>
      <c r="F155" s="380" t="s">
        <v>1</v>
      </c>
      <c r="G155" s="473"/>
      <c r="H155" s="465"/>
      <c r="I155" s="381"/>
      <c r="J155" s="466">
        <f>SUM(J150:J154)</f>
        <v>0</v>
      </c>
      <c r="K155" s="465"/>
      <c r="L155" s="474">
        <f>SUM(L150:L154)</f>
        <v>0</v>
      </c>
      <c r="M155" s="6"/>
    </row>
    <row r="156" spans="1:13" ht="15" x14ac:dyDescent="0.25">
      <c r="A156" s="475"/>
      <c r="B156" s="6"/>
      <c r="C156" s="6"/>
      <c r="D156" s="6"/>
      <c r="E156" s="6"/>
      <c r="F156" s="6"/>
      <c r="G156" s="6"/>
      <c r="H156" s="6"/>
      <c r="I156" s="6"/>
      <c r="J156" s="6"/>
      <c r="K156" s="6"/>
      <c r="L156" s="6"/>
      <c r="M156" s="6"/>
    </row>
    <row r="157" spans="1:13" ht="15" x14ac:dyDescent="0.25">
      <c r="A157" s="495" t="s">
        <v>668</v>
      </c>
      <c r="B157" s="383"/>
      <c r="C157" s="383"/>
      <c r="D157" s="383"/>
      <c r="E157" s="383"/>
      <c r="F157" s="383"/>
      <c r="G157" s="383"/>
      <c r="H157" s="383"/>
      <c r="I157" s="383"/>
      <c r="J157" s="496"/>
      <c r="K157" s="465"/>
      <c r="L157" s="465"/>
      <c r="M157" s="6"/>
    </row>
    <row r="158" spans="1:13" ht="60" x14ac:dyDescent="0.25">
      <c r="A158" s="464" t="s">
        <v>714</v>
      </c>
      <c r="B158" s="497"/>
      <c r="C158" s="497"/>
      <c r="D158" s="497"/>
      <c r="E158" s="497"/>
      <c r="F158" s="497"/>
      <c r="G158" s="497"/>
      <c r="H158" s="497"/>
      <c r="I158" s="506" t="s">
        <v>715</v>
      </c>
      <c r="J158" s="384" t="s">
        <v>669</v>
      </c>
      <c r="K158" s="384" t="s">
        <v>716</v>
      </c>
      <c r="L158" s="378" t="s">
        <v>717</v>
      </c>
      <c r="M158"/>
    </row>
    <row r="159" spans="1:13" ht="15" x14ac:dyDescent="0.25">
      <c r="A159" s="680" t="s">
        <v>839</v>
      </c>
      <c r="B159" s="681"/>
      <c r="C159" s="681"/>
      <c r="D159" s="681"/>
      <c r="E159" s="681"/>
      <c r="F159" s="681"/>
      <c r="G159" s="681"/>
      <c r="H159" s="681"/>
      <c r="I159" s="507">
        <v>1</v>
      </c>
      <c r="J159" s="499">
        <v>134</v>
      </c>
      <c r="K159" s="508">
        <v>13</v>
      </c>
      <c r="L159" s="385">
        <f>K159*J159</f>
        <v>1742</v>
      </c>
      <c r="M159"/>
    </row>
    <row r="160" spans="1:13" ht="15" x14ac:dyDescent="0.25">
      <c r="A160" s="680" t="s">
        <v>839</v>
      </c>
      <c r="B160" s="681"/>
      <c r="C160" s="681"/>
      <c r="D160" s="681"/>
      <c r="E160" s="681"/>
      <c r="F160" s="681"/>
      <c r="G160" s="681"/>
      <c r="H160" s="681"/>
      <c r="I160" s="507">
        <v>2</v>
      </c>
      <c r="J160" s="499">
        <v>134</v>
      </c>
      <c r="K160" s="508">
        <v>2</v>
      </c>
      <c r="L160" s="385">
        <f>K160*J160</f>
        <v>268</v>
      </c>
      <c r="M160"/>
    </row>
    <row r="161" spans="1:13" ht="15" x14ac:dyDescent="0.25">
      <c r="A161" s="500" t="s">
        <v>1</v>
      </c>
      <c r="B161" s="380" t="s">
        <v>1</v>
      </c>
      <c r="C161" s="380" t="s">
        <v>1</v>
      </c>
      <c r="D161" s="380" t="s">
        <v>1</v>
      </c>
      <c r="E161" s="380" t="s">
        <v>1</v>
      </c>
      <c r="F161" s="380" t="s">
        <v>1</v>
      </c>
      <c r="G161" s="380" t="s">
        <v>1</v>
      </c>
      <c r="H161" s="465"/>
      <c r="I161" s="465"/>
      <c r="J161" s="502"/>
      <c r="K161" s="488" t="s">
        <v>668</v>
      </c>
      <c r="L161" s="466">
        <f>SUM(L159:L160)</f>
        <v>2010</v>
      </c>
      <c r="M161"/>
    </row>
    <row r="162" spans="1:13" x14ac:dyDescent="0.2">
      <c r="A162" s="467"/>
      <c r="B162" s="467"/>
      <c r="C162" s="467"/>
      <c r="D162" s="467"/>
      <c r="E162" s="467"/>
      <c r="F162" s="467"/>
      <c r="G162" s="467"/>
      <c r="H162" s="467"/>
      <c r="I162" s="467"/>
      <c r="J162" s="467"/>
      <c r="K162" s="467"/>
      <c r="L162" s="467"/>
      <c r="M162" s="467"/>
    </row>
    <row r="163" spans="1:13" ht="15" x14ac:dyDescent="0.25">
      <c r="A163" s="445" t="s">
        <v>834</v>
      </c>
      <c r="B163" s="446"/>
      <c r="C163" s="447"/>
      <c r="D163" s="446"/>
      <c r="E163" s="448"/>
      <c r="F163" s="401"/>
      <c r="G163" s="401"/>
      <c r="H163" s="401"/>
      <c r="I163" s="401"/>
      <c r="J163" s="401"/>
      <c r="K163" s="401"/>
      <c r="L163" s="401"/>
      <c r="M163" s="449"/>
    </row>
    <row r="164" spans="1:13" ht="75" x14ac:dyDescent="0.25">
      <c r="A164" s="450"/>
      <c r="B164" s="378" t="s">
        <v>747</v>
      </c>
      <c r="C164" s="378" t="s">
        <v>690</v>
      </c>
      <c r="D164" s="378" t="s">
        <v>748</v>
      </c>
      <c r="E164" s="452" t="s">
        <v>692</v>
      </c>
      <c r="F164" s="378" t="s">
        <v>693</v>
      </c>
      <c r="G164" s="378" t="s">
        <v>694</v>
      </c>
      <c r="H164" s="378" t="s">
        <v>695</v>
      </c>
      <c r="I164" s="452" t="s">
        <v>696</v>
      </c>
      <c r="J164" s="378" t="s">
        <v>697</v>
      </c>
      <c r="K164" s="378" t="s">
        <v>698</v>
      </c>
      <c r="L164" s="378" t="s">
        <v>665</v>
      </c>
      <c r="M164" s="378" t="s">
        <v>699</v>
      </c>
    </row>
    <row r="165" spans="1:13" x14ac:dyDescent="0.2">
      <c r="A165" s="530" t="s">
        <v>817</v>
      </c>
      <c r="B165" s="531">
        <v>25</v>
      </c>
      <c r="C165" s="530" t="s">
        <v>818</v>
      </c>
      <c r="D165" s="621">
        <v>1.79</v>
      </c>
      <c r="E165" s="625">
        <v>0.94299999999999995</v>
      </c>
      <c r="F165" s="533">
        <f>D165*B165*3*E165</f>
        <v>126.59774999999999</v>
      </c>
      <c r="G165" s="532">
        <f>ROUNDUP(F165/50,0)</f>
        <v>3</v>
      </c>
      <c r="H165" s="621">
        <v>6</v>
      </c>
      <c r="I165" s="532">
        <f>H165*G165</f>
        <v>18</v>
      </c>
      <c r="J165" s="623">
        <v>41.2</v>
      </c>
      <c r="K165" s="534">
        <f>J165*I165</f>
        <v>741.6</v>
      </c>
      <c r="L165" s="624">
        <v>0.2</v>
      </c>
      <c r="M165" s="534">
        <f>(1+L165)*K165</f>
        <v>889.92</v>
      </c>
    </row>
    <row r="166" spans="1:13" x14ac:dyDescent="0.2">
      <c r="A166" s="467"/>
      <c r="B166" s="467"/>
      <c r="C166" s="467"/>
      <c r="D166" s="467"/>
      <c r="E166" s="467"/>
      <c r="F166" s="467"/>
      <c r="G166" s="467"/>
      <c r="H166" s="467"/>
      <c r="I166" s="467"/>
      <c r="J166" s="467"/>
      <c r="K166" s="467"/>
      <c r="L166" s="467"/>
      <c r="M166" s="467"/>
    </row>
    <row r="167" spans="1:13" x14ac:dyDescent="0.2">
      <c r="A167" s="467"/>
      <c r="B167" s="467"/>
      <c r="C167" s="467"/>
      <c r="D167" s="467"/>
      <c r="E167" s="467"/>
      <c r="F167" s="467"/>
      <c r="G167" s="467"/>
      <c r="H167" s="467"/>
      <c r="I167" s="467"/>
      <c r="J167" s="467"/>
      <c r="K167" s="467"/>
      <c r="L167" s="467"/>
      <c r="M167" s="467"/>
    </row>
    <row r="168" spans="1:13" ht="15" x14ac:dyDescent="0.25">
      <c r="A168" s="467" t="s">
        <v>819</v>
      </c>
      <c r="B168" s="467"/>
      <c r="C168" s="538" t="s">
        <v>820</v>
      </c>
      <c r="D168" s="467"/>
      <c r="E168" s="467"/>
      <c r="F168" s="467"/>
      <c r="G168" s="467"/>
      <c r="H168" s="467"/>
      <c r="I168" s="467"/>
      <c r="J168" s="467"/>
      <c r="K168" s="467"/>
      <c r="L168" s="467"/>
      <c r="M168" s="467"/>
    </row>
    <row r="169" spans="1:13" ht="15" x14ac:dyDescent="0.25">
      <c r="A169" s="467"/>
      <c r="B169" s="467"/>
      <c r="C169" s="538"/>
      <c r="D169" s="467"/>
      <c r="E169" s="467"/>
      <c r="F169" s="467"/>
      <c r="G169" s="467"/>
      <c r="H169" s="467"/>
      <c r="I169" s="467"/>
      <c r="J169" s="467"/>
      <c r="K169" s="467"/>
      <c r="L169" s="467"/>
      <c r="M169" s="467"/>
    </row>
    <row r="170" spans="1:13" x14ac:dyDescent="0.2">
      <c r="A170" s="543" t="s">
        <v>821</v>
      </c>
      <c r="B170" s="541"/>
      <c r="C170" s="541"/>
      <c r="D170" s="541"/>
      <c r="E170" s="541"/>
      <c r="F170" s="541"/>
      <c r="G170" s="541"/>
      <c r="H170" s="541"/>
      <c r="I170" s="541"/>
      <c r="J170" s="541"/>
      <c r="K170" s="541"/>
      <c r="L170" s="541"/>
      <c r="M170" s="542"/>
    </row>
    <row r="171" spans="1:13" ht="75" x14ac:dyDescent="0.25">
      <c r="A171" s="450"/>
      <c r="B171" s="378" t="s">
        <v>747</v>
      </c>
      <c r="C171" s="378" t="s">
        <v>656</v>
      </c>
      <c r="D171" s="378" t="s">
        <v>748</v>
      </c>
      <c r="E171" s="452" t="s">
        <v>692</v>
      </c>
      <c r="F171" s="378" t="s">
        <v>693</v>
      </c>
      <c r="G171" s="378" t="s">
        <v>694</v>
      </c>
      <c r="H171" s="378" t="s">
        <v>695</v>
      </c>
      <c r="I171" s="452" t="s">
        <v>696</v>
      </c>
      <c r="J171" s="378" t="s">
        <v>697</v>
      </c>
      <c r="K171" s="378" t="s">
        <v>698</v>
      </c>
      <c r="L171" s="378" t="s">
        <v>665</v>
      </c>
      <c r="M171" s="378" t="s">
        <v>699</v>
      </c>
    </row>
    <row r="172" spans="1:13" ht="17.25" x14ac:dyDescent="0.25">
      <c r="A172" s="530" t="s">
        <v>817</v>
      </c>
      <c r="B172" s="530">
        <v>250</v>
      </c>
      <c r="C172" s="459" t="s">
        <v>822</v>
      </c>
      <c r="D172" s="621">
        <v>1.79</v>
      </c>
      <c r="E172" s="625">
        <v>0.94299999999999995</v>
      </c>
      <c r="F172" s="533">
        <f>D172*B172*3*E172</f>
        <v>1265.9775</v>
      </c>
      <c r="G172" s="532">
        <f>ROUNDUP(F172/500,0)</f>
        <v>3</v>
      </c>
      <c r="H172" s="621">
        <v>6</v>
      </c>
      <c r="I172" s="532">
        <f>H172*G172</f>
        <v>18</v>
      </c>
      <c r="J172" s="623">
        <v>8.61</v>
      </c>
      <c r="K172" s="534">
        <f>J172*I172</f>
        <v>154.97999999999999</v>
      </c>
      <c r="L172" s="624">
        <v>0.2</v>
      </c>
      <c r="M172" s="534">
        <f>(1+L172)*K172</f>
        <v>185.97599999999997</v>
      </c>
    </row>
    <row r="173" spans="1:13" ht="15" x14ac:dyDescent="0.25">
      <c r="A173" s="467"/>
      <c r="B173" s="467"/>
      <c r="C173" s="383"/>
      <c r="D173" s="467"/>
      <c r="E173" s="539"/>
      <c r="F173" s="537"/>
      <c r="G173" s="535"/>
      <c r="H173" s="467"/>
      <c r="I173" s="535"/>
      <c r="J173" s="536"/>
      <c r="K173" s="536"/>
      <c r="L173" s="540"/>
      <c r="M173" s="536"/>
    </row>
    <row r="174" spans="1:13" x14ac:dyDescent="0.2">
      <c r="A174" s="467"/>
      <c r="B174" s="467"/>
      <c r="C174" s="467"/>
      <c r="D174" s="467"/>
      <c r="E174" s="467"/>
      <c r="F174" s="467"/>
      <c r="G174" s="467"/>
      <c r="H174" s="467"/>
      <c r="I174" s="467"/>
      <c r="J174" s="467"/>
      <c r="K174" s="467"/>
      <c r="L174" s="467"/>
      <c r="M174" s="467"/>
    </row>
    <row r="175" spans="1:13" ht="15" x14ac:dyDescent="0.25">
      <c r="A175" t="s">
        <v>823</v>
      </c>
      <c r="B175" s="467"/>
      <c r="C175" s="538" t="s">
        <v>820</v>
      </c>
      <c r="D175" s="467"/>
      <c r="E175" s="467"/>
      <c r="F175" s="467"/>
      <c r="G175" s="467"/>
      <c r="H175" s="467"/>
      <c r="I175" s="467"/>
      <c r="J175" s="467"/>
      <c r="K175" s="467"/>
      <c r="L175" s="467"/>
      <c r="M175" s="467"/>
    </row>
    <row r="176" spans="1:13" ht="15" x14ac:dyDescent="0.25">
      <c r="A176"/>
      <c r="B176" s="467"/>
      <c r="C176" s="538"/>
      <c r="D176" s="467"/>
      <c r="E176" s="467"/>
      <c r="F176" s="467"/>
      <c r="G176" s="467"/>
      <c r="H176" s="467"/>
      <c r="I176" s="467"/>
      <c r="J176" s="467"/>
      <c r="K176" s="467"/>
      <c r="L176" s="467"/>
      <c r="M176" s="467"/>
    </row>
    <row r="177" spans="1:13" ht="15" x14ac:dyDescent="0.25">
      <c r="A177" s="478" t="s">
        <v>746</v>
      </c>
      <c r="B177" s="380"/>
      <c r="C177" s="380"/>
      <c r="D177" s="467"/>
      <c r="E177" s="467"/>
      <c r="F177" s="467"/>
      <c r="G177" s="467"/>
      <c r="H177" s="467"/>
      <c r="I177" s="467"/>
      <c r="J177" s="467"/>
      <c r="K177" s="467"/>
      <c r="L177" s="467"/>
      <c r="M177" s="467"/>
    </row>
    <row r="178" spans="1:13" ht="15" x14ac:dyDescent="0.25">
      <c r="A178" t="s">
        <v>835</v>
      </c>
      <c r="B178" s="588"/>
      <c r="C178" t="s">
        <v>836</v>
      </c>
      <c r="D178" s="467"/>
      <c r="E178" s="467"/>
      <c r="F178" s="467"/>
      <c r="G178" s="467"/>
      <c r="H178" s="467"/>
      <c r="I178" s="467"/>
      <c r="J178" s="467"/>
      <c r="K178" s="467"/>
      <c r="L178" s="467"/>
      <c r="M178" s="467"/>
    </row>
    <row r="179" spans="1:13" ht="15" x14ac:dyDescent="0.25">
      <c r="A179" t="s">
        <v>835</v>
      </c>
      <c r="B179" s="588"/>
      <c r="C179" t="s">
        <v>837</v>
      </c>
      <c r="D179" s="467"/>
      <c r="E179" s="467"/>
      <c r="F179" s="467"/>
      <c r="G179" s="467"/>
      <c r="H179" s="467"/>
      <c r="I179" s="467"/>
      <c r="J179" s="467"/>
      <c r="K179" s="467"/>
      <c r="L179" s="467"/>
      <c r="M179" s="467"/>
    </row>
    <row r="180" spans="1:13" ht="15" x14ac:dyDescent="0.25">
      <c r="A180"/>
      <c r="B180" s="467"/>
      <c r="C180" s="538"/>
      <c r="D180" s="467"/>
      <c r="E180" s="467"/>
      <c r="F180" s="467"/>
      <c r="G180" s="467"/>
      <c r="H180" s="467"/>
      <c r="I180" s="467"/>
      <c r="J180" s="467"/>
      <c r="K180" s="467"/>
      <c r="L180" s="467"/>
      <c r="M180" s="467"/>
    </row>
    <row r="181" spans="1:13" x14ac:dyDescent="0.2">
      <c r="A181" s="543" t="s">
        <v>746</v>
      </c>
      <c r="B181" s="541"/>
      <c r="C181" s="541"/>
      <c r="D181" s="541"/>
      <c r="E181" s="541"/>
      <c r="F181" s="541"/>
      <c r="G181" s="541"/>
      <c r="H181" s="541"/>
      <c r="I181" s="541"/>
      <c r="J181" s="541"/>
      <c r="K181" s="541"/>
      <c r="L181" s="541"/>
      <c r="M181" s="542"/>
    </row>
    <row r="182" spans="1:13" ht="75" x14ac:dyDescent="0.25">
      <c r="A182" s="450"/>
      <c r="B182" s="378" t="s">
        <v>747</v>
      </c>
      <c r="C182" s="378" t="s">
        <v>656</v>
      </c>
      <c r="D182" s="378" t="s">
        <v>748</v>
      </c>
      <c r="E182" s="452" t="s">
        <v>692</v>
      </c>
      <c r="F182" s="378" t="s">
        <v>693</v>
      </c>
      <c r="G182" s="378" t="s">
        <v>694</v>
      </c>
      <c r="H182" s="378" t="s">
        <v>695</v>
      </c>
      <c r="I182" s="452" t="s">
        <v>732</v>
      </c>
      <c r="J182" s="378" t="s">
        <v>697</v>
      </c>
      <c r="K182" s="378" t="s">
        <v>698</v>
      </c>
      <c r="L182" s="378" t="s">
        <v>665</v>
      </c>
      <c r="M182" s="378" t="s">
        <v>699</v>
      </c>
    </row>
    <row r="183" spans="1:13" ht="18.75" x14ac:dyDescent="0.25">
      <c r="A183" s="530" t="s">
        <v>749</v>
      </c>
      <c r="B183" s="621">
        <v>375</v>
      </c>
      <c r="C183" s="459" t="s">
        <v>750</v>
      </c>
      <c r="D183" s="621">
        <v>1.79</v>
      </c>
      <c r="E183" s="622">
        <v>0.94299999999999995</v>
      </c>
      <c r="F183" s="533">
        <f>D183*B183*E183</f>
        <v>632.98874999999998</v>
      </c>
      <c r="G183" s="490">
        <f>ROUNDUP((500/500)+((F183-500)/100),0)</f>
        <v>3</v>
      </c>
      <c r="H183" s="621">
        <v>1</v>
      </c>
      <c r="I183" s="532">
        <f>H183*G183</f>
        <v>3</v>
      </c>
      <c r="J183" s="623">
        <f>B178</f>
        <v>0</v>
      </c>
      <c r="K183" s="385">
        <f>(B179+((G183-1)*B178))</f>
        <v>0</v>
      </c>
      <c r="L183" s="624">
        <v>0.2</v>
      </c>
      <c r="M183" s="534">
        <f>(1+L183)*K183</f>
        <v>0</v>
      </c>
    </row>
    <row r="184" spans="1:13" ht="17.25" x14ac:dyDescent="0.25">
      <c r="A184" s="530" t="s">
        <v>741</v>
      </c>
      <c r="B184" s="621">
        <v>500</v>
      </c>
      <c r="C184" s="459" t="s">
        <v>751</v>
      </c>
      <c r="D184" s="621">
        <v>1.79</v>
      </c>
      <c r="E184" s="622">
        <v>0.94299999999999995</v>
      </c>
      <c r="F184" s="533">
        <f>D184*B184*E184</f>
        <v>843.9849999999999</v>
      </c>
      <c r="G184" s="491">
        <f>ROUNDUP((500/500)+((F184-500)/100),0)</f>
        <v>5</v>
      </c>
      <c r="H184" s="621">
        <v>5</v>
      </c>
      <c r="I184" s="532">
        <f>H184*G184</f>
        <v>25</v>
      </c>
      <c r="J184" s="623">
        <f>B179</f>
        <v>0</v>
      </c>
      <c r="K184" s="385">
        <f>(((1*J184)+((G184-1)*B178))*H184)</f>
        <v>0</v>
      </c>
      <c r="L184" s="624">
        <v>0.2</v>
      </c>
      <c r="M184" s="534">
        <f>(1+L184)*K184</f>
        <v>0</v>
      </c>
    </row>
    <row r="185" spans="1:13" x14ac:dyDescent="0.2">
      <c r="A185" s="467"/>
      <c r="B185" s="467"/>
      <c r="C185" s="467"/>
      <c r="D185" s="467"/>
      <c r="E185" s="467"/>
      <c r="F185" s="467"/>
      <c r="G185" s="467"/>
      <c r="H185" s="467"/>
      <c r="I185" s="467"/>
      <c r="J185" s="467"/>
      <c r="K185" s="467"/>
      <c r="L185" s="467"/>
      <c r="M185" s="544">
        <f>SUM(M183:M184)</f>
        <v>0</v>
      </c>
    </row>
    <row r="186" spans="1:13" x14ac:dyDescent="0.2">
      <c r="A186" s="467"/>
      <c r="B186" s="467"/>
      <c r="C186" s="467"/>
      <c r="D186" s="467"/>
      <c r="E186" s="467"/>
      <c r="F186" s="467"/>
      <c r="G186" s="467"/>
      <c r="H186" s="467"/>
      <c r="I186" s="467"/>
      <c r="J186" s="467"/>
      <c r="K186" s="467"/>
      <c r="L186" s="467"/>
      <c r="M186" s="467"/>
    </row>
    <row r="187" spans="1:13" x14ac:dyDescent="0.2">
      <c r="A187" s="543" t="s">
        <v>824</v>
      </c>
      <c r="B187" s="541"/>
      <c r="C187" s="541"/>
      <c r="D187" s="541"/>
      <c r="E187" s="541"/>
      <c r="F187" s="541"/>
      <c r="G187" s="541"/>
      <c r="H187" s="541"/>
      <c r="I187" s="541"/>
      <c r="J187" s="541"/>
      <c r="K187" s="541"/>
      <c r="L187" s="541"/>
      <c r="M187" s="542"/>
    </row>
    <row r="188" spans="1:13" ht="60" x14ac:dyDescent="0.25">
      <c r="A188" s="450"/>
      <c r="B188" s="378" t="s">
        <v>826</v>
      </c>
      <c r="C188" s="378" t="s">
        <v>656</v>
      </c>
      <c r="D188" s="378" t="s">
        <v>828</v>
      </c>
      <c r="E188" s="452" t="s">
        <v>692</v>
      </c>
      <c r="F188" s="378" t="s">
        <v>693</v>
      </c>
      <c r="G188" s="378" t="s">
        <v>694</v>
      </c>
      <c r="H188" s="378" t="s">
        <v>695</v>
      </c>
      <c r="I188" s="452" t="s">
        <v>696</v>
      </c>
      <c r="J188" s="378" t="s">
        <v>697</v>
      </c>
      <c r="K188" s="378" t="s">
        <v>698</v>
      </c>
      <c r="L188" s="378" t="s">
        <v>665</v>
      </c>
      <c r="M188" s="378" t="s">
        <v>699</v>
      </c>
    </row>
    <row r="189" spans="1:13" x14ac:dyDescent="0.2">
      <c r="A189" s="530" t="s">
        <v>825</v>
      </c>
      <c r="B189" s="621">
        <v>0.01</v>
      </c>
      <c r="C189" s="530" t="s">
        <v>827</v>
      </c>
      <c r="D189" s="621">
        <v>78.400000000000006</v>
      </c>
      <c r="E189" s="622">
        <v>1</v>
      </c>
      <c r="F189" s="594">
        <f>E189*D189*B189*6</f>
        <v>4.7040000000000006</v>
      </c>
      <c r="G189" s="530">
        <f>ROUNDUP(F189/(0.6/2),0)</f>
        <v>16</v>
      </c>
      <c r="H189" s="621">
        <v>6</v>
      </c>
      <c r="I189" s="530">
        <f>H189*ROUNDUP(G189,0)</f>
        <v>96</v>
      </c>
      <c r="J189" s="621">
        <v>52.7</v>
      </c>
      <c r="K189" s="545">
        <f>J189*I189</f>
        <v>5059.2000000000007</v>
      </c>
      <c r="L189" s="624">
        <v>0.2</v>
      </c>
      <c r="M189" s="545">
        <f>(L189+1)*K189</f>
        <v>6071.0400000000009</v>
      </c>
    </row>
    <row r="190" spans="1:13" x14ac:dyDescent="0.2">
      <c r="A190" s="467"/>
      <c r="B190" s="467"/>
      <c r="C190" s="467"/>
      <c r="D190" s="467"/>
      <c r="E190" s="467"/>
      <c r="F190" s="467"/>
      <c r="G190" s="467"/>
      <c r="H190" s="467"/>
      <c r="I190" s="467"/>
      <c r="J190" s="467"/>
      <c r="K190" s="467"/>
      <c r="L190" s="467"/>
      <c r="M190" s="467"/>
    </row>
    <row r="191" spans="1:13" ht="15" x14ac:dyDescent="0.25">
      <c r="A191" s="467" t="s">
        <v>829</v>
      </c>
      <c r="B191" s="467"/>
      <c r="C191" s="538" t="s">
        <v>830</v>
      </c>
      <c r="D191" s="467"/>
      <c r="E191" s="467"/>
      <c r="F191" s="467"/>
      <c r="G191" s="467"/>
      <c r="H191" s="467"/>
      <c r="I191" s="467"/>
      <c r="J191" s="467"/>
      <c r="K191" s="467"/>
      <c r="L191" s="467"/>
      <c r="M191" s="467"/>
    </row>
    <row r="192" spans="1:13" ht="15" customHeight="1" x14ac:dyDescent="0.2">
      <c r="A192" s="467"/>
      <c r="B192" s="467"/>
      <c r="C192" s="467"/>
      <c r="D192" s="467"/>
      <c r="E192" s="467"/>
      <c r="F192" s="467"/>
      <c r="G192" s="467"/>
      <c r="H192" s="467"/>
      <c r="I192" s="467"/>
      <c r="J192" s="467"/>
      <c r="K192" s="682" t="s">
        <v>831</v>
      </c>
      <c r="L192" s="682"/>
      <c r="M192" s="546">
        <f>IF(M185=0,,M189+M185+M172+M165)</f>
        <v>0</v>
      </c>
    </row>
    <row r="193" spans="1:13" x14ac:dyDescent="0.2">
      <c r="A193" s="467"/>
      <c r="B193" s="467"/>
      <c r="C193" s="467"/>
      <c r="D193" s="467"/>
      <c r="E193" s="467"/>
      <c r="F193" s="467"/>
      <c r="G193" s="467"/>
      <c r="H193" s="467"/>
      <c r="I193" s="467"/>
      <c r="J193" s="467"/>
      <c r="K193" s="467"/>
      <c r="L193" s="467"/>
      <c r="M193" s="467"/>
    </row>
    <row r="194" spans="1:13" x14ac:dyDescent="0.2">
      <c r="A194" s="467"/>
      <c r="B194" s="467"/>
      <c r="C194" s="467"/>
      <c r="D194" s="467"/>
      <c r="E194" s="467"/>
      <c r="F194" s="467"/>
      <c r="G194" s="467"/>
      <c r="H194" s="467"/>
      <c r="I194" s="467"/>
      <c r="J194" s="467"/>
      <c r="K194" s="467"/>
      <c r="L194" s="467"/>
      <c r="M194" s="467"/>
    </row>
    <row r="195" spans="1:13" ht="15" x14ac:dyDescent="0.25">
      <c r="A195" s="495" t="s">
        <v>668</v>
      </c>
      <c r="B195" s="383"/>
      <c r="C195" s="383"/>
      <c r="D195" s="383"/>
      <c r="E195" s="383"/>
      <c r="F195" s="383"/>
      <c r="G195" s="383"/>
      <c r="H195" s="383"/>
      <c r="I195" s="383"/>
      <c r="J195" s="496"/>
      <c r="K195" s="465"/>
      <c r="L195" s="465"/>
      <c r="M195" s="467"/>
    </row>
    <row r="196" spans="1:13" ht="60" x14ac:dyDescent="0.25">
      <c r="A196" s="464" t="s">
        <v>714</v>
      </c>
      <c r="B196" s="497"/>
      <c r="C196" s="497"/>
      <c r="D196" s="497"/>
      <c r="E196" s="497"/>
      <c r="F196" s="497"/>
      <c r="G196" s="497"/>
      <c r="H196" s="497"/>
      <c r="I196" s="506" t="s">
        <v>715</v>
      </c>
      <c r="J196" s="384" t="s">
        <v>669</v>
      </c>
      <c r="K196" s="384" t="s">
        <v>716</v>
      </c>
      <c r="L196" s="378" t="s">
        <v>717</v>
      </c>
      <c r="M196" s="467"/>
    </row>
    <row r="197" spans="1:13" ht="15" customHeight="1" x14ac:dyDescent="0.25">
      <c r="A197" s="680" t="s">
        <v>840</v>
      </c>
      <c r="B197" s="681"/>
      <c r="C197" s="681"/>
      <c r="D197" s="681"/>
      <c r="E197" s="681"/>
      <c r="F197" s="681"/>
      <c r="G197" s="681"/>
      <c r="H197" s="681"/>
      <c r="I197" s="507">
        <v>1</v>
      </c>
      <c r="J197" s="499">
        <v>335</v>
      </c>
      <c r="K197" s="508">
        <v>6</v>
      </c>
      <c r="L197" s="385">
        <f>K197*J197</f>
        <v>2010</v>
      </c>
      <c r="M197" s="467"/>
    </row>
    <row r="198" spans="1:13" ht="15" x14ac:dyDescent="0.25">
      <c r="A198" s="500" t="s">
        <v>1</v>
      </c>
      <c r="B198" s="380" t="s">
        <v>1</v>
      </c>
      <c r="C198" s="380" t="s">
        <v>1</v>
      </c>
      <c r="D198" s="380" t="s">
        <v>1</v>
      </c>
      <c r="E198" s="380" t="s">
        <v>1</v>
      </c>
      <c r="F198" s="380" t="s">
        <v>1</v>
      </c>
      <c r="G198" s="380" t="s">
        <v>1</v>
      </c>
      <c r="H198" s="465"/>
      <c r="I198" s="465"/>
      <c r="J198" s="502"/>
      <c r="K198" s="488" t="s">
        <v>668</v>
      </c>
      <c r="L198" s="466">
        <f>SUM(L197:L197)</f>
        <v>2010</v>
      </c>
      <c r="M198" s="467"/>
    </row>
    <row r="199" spans="1:13" x14ac:dyDescent="0.2">
      <c r="A199" s="467"/>
      <c r="B199" s="467"/>
      <c r="C199" s="467"/>
      <c r="D199" s="467"/>
      <c r="E199" s="467"/>
      <c r="F199" s="467"/>
      <c r="G199" s="467"/>
      <c r="H199" s="467"/>
      <c r="I199" s="467"/>
      <c r="J199" s="467"/>
      <c r="K199" s="467"/>
      <c r="L199" s="467"/>
      <c r="M199" s="467"/>
    </row>
    <row r="200" spans="1:13" x14ac:dyDescent="0.2">
      <c r="A200" s="467"/>
      <c r="B200" s="467"/>
      <c r="C200" s="467"/>
      <c r="D200" s="467"/>
      <c r="E200" s="467"/>
      <c r="F200" s="467"/>
      <c r="G200" s="467"/>
      <c r="H200" s="467"/>
      <c r="I200" s="467"/>
      <c r="J200" s="467"/>
      <c r="K200" s="467"/>
      <c r="L200" s="467"/>
      <c r="M200" s="467"/>
    </row>
  </sheetData>
  <sheetProtection algorithmName="SHA-512" hashValue="vnREhQ2i08aUpuzWzS7US9SZ8KsgTsNBZHw/+r4LwpjP7Nk/Sfrpcpl/tIG9JI7xmlEO7318o1OQ0fwoo94IyA==" saltValue="/1JpzD9x8OBL+WxAhoGRJw==" spinCount="100000" sheet="1" objects="1" scenarios="1"/>
  <mergeCells count="14">
    <mergeCell ref="A159:H159"/>
    <mergeCell ref="A160:H160"/>
    <mergeCell ref="A197:H197"/>
    <mergeCell ref="K192:L192"/>
    <mergeCell ref="A81:H81"/>
    <mergeCell ref="A82:H82"/>
    <mergeCell ref="A135:D135"/>
    <mergeCell ref="E135:I135"/>
    <mergeCell ref="A136:D136"/>
    <mergeCell ref="E136:I136"/>
    <mergeCell ref="A108:D108"/>
    <mergeCell ref="E108:I108"/>
    <mergeCell ref="A109:D109"/>
    <mergeCell ref="E109:I109"/>
  </mergeCells>
  <hyperlinks>
    <hyperlink ref="B1" location="'2. Guide'!A1" display="Back to guide" xr:uid="{00000000-0004-0000-0700-000000000000}"/>
    <hyperlink ref="C168" r:id="rId1" xr:uid="{3D61FC5A-3560-462A-AF42-B299D46E533D}"/>
    <hyperlink ref="C175" r:id="rId2" xr:uid="{E55F6EDA-52BC-4CB7-86B6-D9E3214B1EB7}"/>
    <hyperlink ref="C191" r:id="rId3" xr:uid="{E17CA61F-3D86-4043-94E4-0F38A9C96620}"/>
  </hyperlinks>
  <pageMargins left="0.70866141732283472" right="0.70866141732283472" top="0.74803149606299213" bottom="0.74803149606299213" header="0.31496062992125984" footer="0.31496062992125984"/>
  <pageSetup paperSize="9" scale="57" orientation="portrait" r:id="rId4"/>
  <ignoredErrors>
    <ignoredError sqref="C66:D67 E90:E94 E116:E120 D144:D145 C145" unlockedFormula="1"/>
  </ignoredError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AA533"/>
  <sheetViews>
    <sheetView showGridLines="0" zoomScale="80" zoomScaleNormal="80" workbookViewId="0"/>
  </sheetViews>
  <sheetFormatPr defaultColWidth="9.140625" defaultRowHeight="15" x14ac:dyDescent="0.2"/>
  <cols>
    <col min="1" max="1" width="85.140625" style="209" customWidth="1"/>
    <col min="2" max="2" width="15.85546875" style="241" customWidth="1"/>
    <col min="3" max="3" width="15.85546875" style="2" customWidth="1"/>
    <col min="4" max="5" width="15.85546875" style="71" customWidth="1"/>
    <col min="6" max="6" width="3.85546875" style="71" customWidth="1"/>
    <col min="7" max="9" width="15.85546875" style="242" customWidth="1"/>
    <col min="10" max="16384" width="9.140625" style="2"/>
  </cols>
  <sheetData>
    <row r="1" spans="1:27" ht="30" customHeight="1" x14ac:dyDescent="0.2">
      <c r="A1" s="179" t="str">
        <f>'Assumptions input'!A1</f>
        <v xml:space="preserve">Zanubrutinib for treating chronic lymphocytic leukaemia </v>
      </c>
      <c r="B1" s="225" t="s">
        <v>1</v>
      </c>
      <c r="C1" s="226" t="s">
        <v>1</v>
      </c>
      <c r="D1" s="227" t="s">
        <v>1</v>
      </c>
      <c r="E1" s="212" t="s">
        <v>1</v>
      </c>
      <c r="F1" s="212" t="s">
        <v>1</v>
      </c>
      <c r="G1" s="212" t="s">
        <v>1</v>
      </c>
      <c r="H1" s="212" t="s">
        <v>1</v>
      </c>
      <c r="I1" s="212" t="s">
        <v>1</v>
      </c>
    </row>
    <row r="2" spans="1:27" ht="30" customHeight="1" x14ac:dyDescent="0.2">
      <c r="A2" s="180" t="s">
        <v>753</v>
      </c>
      <c r="B2" s="228" t="s">
        <v>1</v>
      </c>
      <c r="C2" s="229" t="s">
        <v>1</v>
      </c>
      <c r="D2" s="230" t="s">
        <v>1</v>
      </c>
      <c r="E2" s="211" t="s">
        <v>1</v>
      </c>
      <c r="F2" s="211" t="s">
        <v>1</v>
      </c>
      <c r="G2" s="212" t="s">
        <v>1</v>
      </c>
      <c r="H2" s="212" t="s">
        <v>1</v>
      </c>
      <c r="I2" s="212" t="s">
        <v>1</v>
      </c>
    </row>
    <row r="3" spans="1:27" s="178" customFormat="1" thickBot="1" x14ac:dyDescent="0.25">
      <c r="A3" s="211"/>
      <c r="B3" s="315"/>
      <c r="C3" s="211"/>
      <c r="D3" s="230"/>
      <c r="E3" s="230"/>
      <c r="F3" s="230"/>
      <c r="G3" s="212" t="s">
        <v>1</v>
      </c>
      <c r="H3" s="212" t="s">
        <v>1</v>
      </c>
      <c r="I3" s="212" t="s">
        <v>1</v>
      </c>
      <c r="J3" s="2"/>
      <c r="K3" s="2"/>
      <c r="L3" s="2"/>
      <c r="M3" s="2"/>
      <c r="N3" s="2"/>
      <c r="O3" s="2"/>
      <c r="P3" s="2"/>
    </row>
    <row r="4" spans="1:27" ht="45" customHeight="1" x14ac:dyDescent="0.25">
      <c r="A4" s="275" t="s">
        <v>654</v>
      </c>
      <c r="B4" s="279" t="s">
        <v>754</v>
      </c>
      <c r="C4" s="268" t="s">
        <v>755</v>
      </c>
      <c r="D4" s="269" t="s">
        <v>756</v>
      </c>
      <c r="E4" s="276" t="s">
        <v>757</v>
      </c>
      <c r="F4" s="271"/>
      <c r="G4" s="323" t="s">
        <v>758</v>
      </c>
      <c r="H4" s="324" t="s">
        <v>759</v>
      </c>
      <c r="I4" s="325" t="s">
        <v>760</v>
      </c>
      <c r="J4" s="512"/>
      <c r="K4" s="513"/>
      <c r="T4" s="511"/>
      <c r="U4" s="511"/>
      <c r="V4" s="511"/>
      <c r="W4" s="513"/>
      <c r="X4" s="513"/>
      <c r="Y4" s="513"/>
      <c r="Z4" s="513"/>
      <c r="AA4" s="513"/>
    </row>
    <row r="5" spans="1:27" s="178" customFormat="1" ht="30" x14ac:dyDescent="0.2">
      <c r="A5" s="519" t="s">
        <v>806</v>
      </c>
      <c r="B5" s="549"/>
      <c r="C5" s="316"/>
      <c r="D5" s="317"/>
      <c r="E5" s="304"/>
      <c r="F5" s="237"/>
      <c r="G5" s="318"/>
      <c r="H5" s="319"/>
      <c r="I5" s="320"/>
      <c r="J5" s="514"/>
      <c r="K5" s="513"/>
      <c r="T5" s="513"/>
      <c r="U5" s="513"/>
      <c r="V5" s="513"/>
      <c r="W5" s="511"/>
      <c r="X5" s="511"/>
      <c r="Y5" s="511"/>
      <c r="Z5" s="511"/>
      <c r="AA5" s="511"/>
    </row>
    <row r="6" spans="1:27" s="178" customFormat="1" ht="14.25" x14ac:dyDescent="0.2">
      <c r="A6" s="277" t="str">
        <f>'Resource impact over time'!A44</f>
        <v>People receiving zanubrutinib</v>
      </c>
      <c r="B6" s="626">
        <f>'Resource impact over time'!B44</f>
        <v>0</v>
      </c>
      <c r="C6" s="316">
        <f>'Resource impact over time'!G44</f>
        <v>0</v>
      </c>
      <c r="D6" s="317">
        <f>'Resource impact over time'!L44</f>
        <v>0</v>
      </c>
      <c r="E6" s="304">
        <f t="shared" ref="E6" si="0">D6-C6</f>
        <v>0</v>
      </c>
      <c r="F6" s="237"/>
      <c r="G6" s="318">
        <f t="shared" ref="G6" si="1">B6*C6</f>
        <v>0</v>
      </c>
      <c r="H6" s="319">
        <f t="shared" ref="H6" si="2">B6*D6</f>
        <v>0</v>
      </c>
      <c r="I6" s="320">
        <f t="shared" ref="I6" si="3">H6-G6</f>
        <v>0</v>
      </c>
      <c r="J6" s="514"/>
      <c r="K6" s="513"/>
      <c r="T6" s="513"/>
      <c r="U6" s="513"/>
      <c r="V6" s="513"/>
      <c r="W6" s="511"/>
      <c r="X6" s="511"/>
      <c r="Y6" s="511"/>
      <c r="Z6" s="511"/>
      <c r="AA6" s="511"/>
    </row>
    <row r="7" spans="1:27" s="178" customFormat="1" ht="14.25" x14ac:dyDescent="0.2">
      <c r="A7" s="277" t="str">
        <f>'Resource impact over time'!A45</f>
        <v>People receiving acalabrutinib</v>
      </c>
      <c r="B7" s="626">
        <f>'Resource impact over time'!B45</f>
        <v>0</v>
      </c>
      <c r="C7" s="316">
        <f>'Resource impact over time'!G45</f>
        <v>0</v>
      </c>
      <c r="D7" s="317">
        <f>'Resource impact over time'!L45</f>
        <v>0</v>
      </c>
      <c r="E7" s="304">
        <f t="shared" ref="E7:E27" si="4">D7-C7</f>
        <v>0</v>
      </c>
      <c r="F7" s="237"/>
      <c r="G7" s="318">
        <f t="shared" ref="G7:G27" si="5">B7*C7</f>
        <v>0</v>
      </c>
      <c r="H7" s="319">
        <f t="shared" ref="H7:H27" si="6">B7*D7</f>
        <v>0</v>
      </c>
      <c r="I7" s="320">
        <f t="shared" ref="I7:I27" si="7">H7-G7</f>
        <v>0</v>
      </c>
      <c r="J7" s="514"/>
      <c r="K7" s="513"/>
      <c r="T7" s="513"/>
      <c r="U7" s="513"/>
      <c r="V7" s="513"/>
      <c r="W7" s="511"/>
      <c r="X7" s="511"/>
      <c r="Y7" s="511"/>
      <c r="Z7" s="511"/>
      <c r="AA7" s="511"/>
    </row>
    <row r="8" spans="1:27" s="178" customFormat="1" ht="14.25" x14ac:dyDescent="0.2">
      <c r="A8" s="277" t="str">
        <f>'Resource impact over time'!A46</f>
        <v>People receiving ibrutinib plus venetoclax in year 1</v>
      </c>
      <c r="B8" s="626">
        <f>'Resource impact over time'!B46</f>
        <v>0</v>
      </c>
      <c r="C8" s="316">
        <f>'Resource impact over time'!G46</f>
        <v>0</v>
      </c>
      <c r="D8" s="317">
        <f>'Resource impact over time'!L46</f>
        <v>0</v>
      </c>
      <c r="E8" s="304">
        <f t="shared" si="4"/>
        <v>0</v>
      </c>
      <c r="F8" s="237"/>
      <c r="G8" s="318">
        <f t="shared" si="5"/>
        <v>0</v>
      </c>
      <c r="H8" s="319">
        <f t="shared" si="6"/>
        <v>0</v>
      </c>
      <c r="I8" s="320">
        <f t="shared" si="7"/>
        <v>0</v>
      </c>
      <c r="J8" s="514"/>
      <c r="K8" s="513"/>
      <c r="T8" s="513"/>
      <c r="U8" s="513"/>
      <c r="V8" s="513"/>
      <c r="W8" s="511"/>
      <c r="X8" s="511"/>
      <c r="Y8" s="511"/>
      <c r="Z8" s="511"/>
      <c r="AA8" s="511"/>
    </row>
    <row r="9" spans="1:27" s="178" customFormat="1" ht="14.25" x14ac:dyDescent="0.2">
      <c r="A9" s="277" t="str">
        <f>'Resource impact over time'!A47</f>
        <v>People receiving ibrutinib plus venetoclax in year 2</v>
      </c>
      <c r="B9" s="626">
        <f>'Resource impact over time'!B47</f>
        <v>0</v>
      </c>
      <c r="C9" s="316">
        <f>'Resource impact over time'!G47</f>
        <v>0</v>
      </c>
      <c r="D9" s="317">
        <f>'Resource impact over time'!L47</f>
        <v>0</v>
      </c>
      <c r="E9" s="304">
        <f t="shared" si="4"/>
        <v>0</v>
      </c>
      <c r="F9" s="237"/>
      <c r="G9" s="318">
        <f t="shared" si="5"/>
        <v>0</v>
      </c>
      <c r="H9" s="319">
        <f t="shared" si="6"/>
        <v>0</v>
      </c>
      <c r="I9" s="320">
        <f t="shared" si="7"/>
        <v>0</v>
      </c>
      <c r="J9" s="514"/>
      <c r="K9" s="513"/>
      <c r="T9" s="513"/>
      <c r="U9" s="513"/>
      <c r="V9" s="513"/>
      <c r="W9" s="511"/>
      <c r="X9" s="511"/>
      <c r="Y9" s="511"/>
      <c r="Z9" s="511"/>
      <c r="AA9" s="511"/>
    </row>
    <row r="10" spans="1:27" s="178" customFormat="1" ht="14.25" x14ac:dyDescent="0.2">
      <c r="A10" s="277" t="str">
        <f>'Resource impact over time'!A48</f>
        <v xml:space="preserve">People receiving venetoclax plus obinutuzumab </v>
      </c>
      <c r="B10" s="626">
        <f>'Resource impact over time'!B48</f>
        <v>0</v>
      </c>
      <c r="C10" s="316">
        <f>'Resource impact over time'!G48</f>
        <v>0</v>
      </c>
      <c r="D10" s="317">
        <f>'Resource impact over time'!L48</f>
        <v>0</v>
      </c>
      <c r="E10" s="304">
        <f t="shared" si="4"/>
        <v>0</v>
      </c>
      <c r="F10" s="237"/>
      <c r="G10" s="318">
        <f t="shared" si="5"/>
        <v>0</v>
      </c>
      <c r="H10" s="319">
        <f t="shared" si="6"/>
        <v>0</v>
      </c>
      <c r="I10" s="320">
        <f t="shared" si="7"/>
        <v>0</v>
      </c>
      <c r="J10" s="514"/>
      <c r="K10" s="513"/>
      <c r="T10" s="513"/>
      <c r="U10" s="513"/>
      <c r="V10" s="513"/>
      <c r="W10" s="511"/>
      <c r="X10" s="511"/>
      <c r="Y10" s="511"/>
      <c r="Z10" s="511"/>
      <c r="AA10" s="511"/>
    </row>
    <row r="11" spans="1:27" s="178" customFormat="1" x14ac:dyDescent="0.2">
      <c r="A11" s="519" t="s">
        <v>640</v>
      </c>
      <c r="B11" s="549"/>
      <c r="C11" s="316"/>
      <c r="D11" s="317"/>
      <c r="E11" s="304"/>
      <c r="F11" s="237"/>
      <c r="G11" s="318"/>
      <c r="H11" s="319"/>
      <c r="I11" s="320"/>
      <c r="J11" s="514"/>
      <c r="K11" s="513"/>
      <c r="T11" s="513"/>
      <c r="U11" s="513"/>
      <c r="V11" s="513"/>
      <c r="W11" s="511"/>
      <c r="X11" s="511"/>
      <c r="Y11" s="511"/>
      <c r="Z11" s="511"/>
      <c r="AA11" s="511"/>
    </row>
    <row r="12" spans="1:27" s="178" customFormat="1" ht="14.25" x14ac:dyDescent="0.2">
      <c r="A12" s="277" t="str">
        <f>'Resource impact over time'!A50</f>
        <v>People receiving zanubrutinib</v>
      </c>
      <c r="B12" s="626">
        <f>'Resource impact over time'!B50</f>
        <v>0</v>
      </c>
      <c r="C12" s="316">
        <f>'Resource impact over time'!G50</f>
        <v>0</v>
      </c>
      <c r="D12" s="317">
        <f>'Resource impact over time'!L50</f>
        <v>0</v>
      </c>
      <c r="E12" s="304">
        <f t="shared" si="4"/>
        <v>0</v>
      </c>
      <c r="F12" s="237"/>
      <c r="G12" s="318">
        <f t="shared" si="5"/>
        <v>0</v>
      </c>
      <c r="H12" s="319">
        <f t="shared" si="6"/>
        <v>0</v>
      </c>
      <c r="I12" s="320">
        <f t="shared" si="7"/>
        <v>0</v>
      </c>
      <c r="J12" s="514"/>
      <c r="K12" s="513"/>
      <c r="T12" s="513"/>
      <c r="U12" s="513"/>
      <c r="V12" s="513"/>
      <c r="W12" s="511"/>
      <c r="X12" s="511"/>
      <c r="Y12" s="511"/>
      <c r="Z12" s="511"/>
      <c r="AA12" s="511"/>
    </row>
    <row r="13" spans="1:27" s="178" customFormat="1" ht="14.25" x14ac:dyDescent="0.2">
      <c r="A13" s="277" t="str">
        <f>'Resource impact over time'!A51</f>
        <v>People receiving acalabrutinib</v>
      </c>
      <c r="B13" s="626">
        <f>'Resource impact over time'!B51</f>
        <v>0</v>
      </c>
      <c r="C13" s="316">
        <f>'Resource impact over time'!G51</f>
        <v>0</v>
      </c>
      <c r="D13" s="317">
        <f>'Resource impact over time'!L51</f>
        <v>0</v>
      </c>
      <c r="E13" s="304">
        <f t="shared" si="4"/>
        <v>0</v>
      </c>
      <c r="F13" s="237"/>
      <c r="G13" s="318">
        <f t="shared" si="5"/>
        <v>0</v>
      </c>
      <c r="H13" s="319">
        <f t="shared" si="6"/>
        <v>0</v>
      </c>
      <c r="I13" s="320">
        <f t="shared" si="7"/>
        <v>0</v>
      </c>
      <c r="J13" s="514"/>
      <c r="K13" s="513"/>
      <c r="T13" s="513"/>
      <c r="U13" s="513"/>
      <c r="V13" s="513"/>
      <c r="W13" s="511"/>
      <c r="X13" s="511"/>
      <c r="Y13" s="511"/>
      <c r="Z13" s="511"/>
      <c r="AA13" s="511"/>
    </row>
    <row r="14" spans="1:27" s="178" customFormat="1" ht="14.25" x14ac:dyDescent="0.2">
      <c r="A14" s="277" t="str">
        <f>'Resource impact over time'!A52</f>
        <v>People receiving ibrutinib</v>
      </c>
      <c r="B14" s="626">
        <f>'Resource impact over time'!B52</f>
        <v>0</v>
      </c>
      <c r="C14" s="316">
        <f>'Resource impact over time'!G52</f>
        <v>0</v>
      </c>
      <c r="D14" s="317">
        <f>'Resource impact over time'!L52</f>
        <v>0</v>
      </c>
      <c r="E14" s="304">
        <f t="shared" si="4"/>
        <v>0</v>
      </c>
      <c r="F14" s="237"/>
      <c r="G14" s="318">
        <f t="shared" si="5"/>
        <v>0</v>
      </c>
      <c r="H14" s="319">
        <f t="shared" si="6"/>
        <v>0</v>
      </c>
      <c r="I14" s="320">
        <f t="shared" si="7"/>
        <v>0</v>
      </c>
      <c r="J14" s="514"/>
      <c r="K14" s="513"/>
      <c r="T14" s="513"/>
      <c r="U14" s="513"/>
      <c r="V14" s="513"/>
      <c r="W14" s="511"/>
      <c r="X14" s="511"/>
      <c r="Y14" s="511"/>
      <c r="Z14" s="511"/>
      <c r="AA14" s="511"/>
    </row>
    <row r="15" spans="1:27" s="178" customFormat="1" ht="14.25" x14ac:dyDescent="0.2">
      <c r="A15" s="277" t="str">
        <f>'Resource impact over time'!A53</f>
        <v>People receiving ibrutinib plus venetoclax in year 1</v>
      </c>
      <c r="B15" s="626">
        <f>'Resource impact over time'!B53</f>
        <v>0</v>
      </c>
      <c r="C15" s="316">
        <f>'Resource impact over time'!G53</f>
        <v>0</v>
      </c>
      <c r="D15" s="317">
        <f>'Resource impact over time'!L53</f>
        <v>0</v>
      </c>
      <c r="E15" s="304">
        <f t="shared" si="4"/>
        <v>0</v>
      </c>
      <c r="F15" s="237"/>
      <c r="G15" s="318">
        <f t="shared" si="5"/>
        <v>0</v>
      </c>
      <c r="H15" s="319">
        <f t="shared" si="6"/>
        <v>0</v>
      </c>
      <c r="I15" s="320">
        <f t="shared" si="7"/>
        <v>0</v>
      </c>
      <c r="J15" s="514"/>
      <c r="K15" s="513"/>
      <c r="T15" s="513"/>
      <c r="U15" s="513"/>
      <c r="V15" s="513"/>
      <c r="W15" s="511"/>
      <c r="X15" s="511"/>
      <c r="Y15" s="511"/>
      <c r="Z15" s="511"/>
      <c r="AA15" s="511"/>
    </row>
    <row r="16" spans="1:27" s="178" customFormat="1" ht="14.25" x14ac:dyDescent="0.2">
      <c r="A16" s="277" t="str">
        <f>'Resource impact over time'!A54</f>
        <v>People receiving ibrutinib plus venetoclax in year 2</v>
      </c>
      <c r="B16" s="626">
        <f>'Resource impact over time'!B54</f>
        <v>0</v>
      </c>
      <c r="C16" s="316">
        <f>'Resource impact over time'!G54</f>
        <v>0</v>
      </c>
      <c r="D16" s="317">
        <f>'Resource impact over time'!L54</f>
        <v>0</v>
      </c>
      <c r="E16" s="304">
        <f t="shared" si="4"/>
        <v>0</v>
      </c>
      <c r="F16" s="237"/>
      <c r="G16" s="318">
        <f t="shared" si="5"/>
        <v>0</v>
      </c>
      <c r="H16" s="319">
        <f t="shared" si="6"/>
        <v>0</v>
      </c>
      <c r="I16" s="320">
        <f t="shared" si="7"/>
        <v>0</v>
      </c>
      <c r="J16" s="514"/>
      <c r="K16" s="513"/>
      <c r="T16" s="513"/>
      <c r="U16" s="513"/>
      <c r="V16" s="513"/>
      <c r="W16" s="511"/>
      <c r="X16" s="511"/>
      <c r="Y16" s="511"/>
      <c r="Z16" s="511"/>
      <c r="AA16" s="511"/>
    </row>
    <row r="17" spans="1:27" s="178" customFormat="1" ht="14.25" x14ac:dyDescent="0.2">
      <c r="A17" s="277" t="str">
        <f>'Resource impact over time'!A55</f>
        <v xml:space="preserve">People receiving venetoclax plus obinutuzumab </v>
      </c>
      <c r="B17" s="626">
        <f>'Resource impact over time'!B55</f>
        <v>0</v>
      </c>
      <c r="C17" s="316">
        <f>'Resource impact over time'!G55</f>
        <v>0</v>
      </c>
      <c r="D17" s="317">
        <f>'Resource impact over time'!L55</f>
        <v>0</v>
      </c>
      <c r="E17" s="304">
        <f t="shared" si="4"/>
        <v>0</v>
      </c>
      <c r="F17" s="237"/>
      <c r="G17" s="318">
        <f t="shared" si="5"/>
        <v>0</v>
      </c>
      <c r="H17" s="319">
        <f t="shared" si="6"/>
        <v>0</v>
      </c>
      <c r="I17" s="320">
        <f t="shared" si="7"/>
        <v>0</v>
      </c>
      <c r="J17" s="514"/>
      <c r="K17" s="513"/>
      <c r="T17" s="513"/>
      <c r="U17" s="513"/>
      <c r="V17" s="513"/>
      <c r="W17" s="511"/>
      <c r="X17" s="511"/>
      <c r="Y17" s="511"/>
      <c r="Z17" s="511"/>
      <c r="AA17" s="511"/>
    </row>
    <row r="18" spans="1:27" s="178" customFormat="1" x14ac:dyDescent="0.2">
      <c r="A18" s="427" t="s">
        <v>642</v>
      </c>
      <c r="B18" s="549"/>
      <c r="C18" s="316"/>
      <c r="D18" s="317"/>
      <c r="E18" s="304"/>
      <c r="F18" s="237"/>
      <c r="G18" s="318"/>
      <c r="H18" s="319"/>
      <c r="I18" s="320"/>
      <c r="J18" s="514"/>
      <c r="K18" s="513"/>
      <c r="T18" s="511"/>
      <c r="U18" s="511"/>
      <c r="V18" s="511"/>
      <c r="W18" s="511"/>
      <c r="X18" s="511"/>
      <c r="Y18" s="511"/>
      <c r="Z18" s="511"/>
      <c r="AA18" s="511"/>
    </row>
    <row r="19" spans="1:27" s="178" customFormat="1" x14ac:dyDescent="0.25">
      <c r="A19" s="277" t="str">
        <f>'Resource impact over time'!A57</f>
        <v>People receiving zanubrutinib</v>
      </c>
      <c r="B19" s="626">
        <f>'Resource impact over time'!B57</f>
        <v>0</v>
      </c>
      <c r="C19" s="316">
        <f>'Resource impact over time'!G57</f>
        <v>0</v>
      </c>
      <c r="D19" s="317">
        <f>'Resource impact over time'!L57</f>
        <v>0</v>
      </c>
      <c r="E19" s="304">
        <f t="shared" si="4"/>
        <v>0</v>
      </c>
      <c r="F19" s="237"/>
      <c r="G19" s="318">
        <f t="shared" si="5"/>
        <v>0</v>
      </c>
      <c r="H19" s="319">
        <f t="shared" si="6"/>
        <v>0</v>
      </c>
      <c r="I19" s="320">
        <f t="shared" si="7"/>
        <v>0</v>
      </c>
      <c r="J19" s="514"/>
      <c r="K19" s="515"/>
      <c r="T19" s="511"/>
      <c r="U19" s="511"/>
      <c r="V19" s="511"/>
      <c r="W19" s="511"/>
      <c r="X19" s="511"/>
      <c r="Y19" s="511"/>
      <c r="Z19" s="511"/>
      <c r="AA19" s="511"/>
    </row>
    <row r="20" spans="1:27" s="178" customFormat="1" ht="14.25" x14ac:dyDescent="0.2">
      <c r="A20" s="277" t="str">
        <f>'Resource impact over time'!A58</f>
        <v>People receiving acalabrutinib</v>
      </c>
      <c r="B20" s="626">
        <f>'Resource impact over time'!B58</f>
        <v>0</v>
      </c>
      <c r="C20" s="316">
        <f>'Resource impact over time'!G58</f>
        <v>0</v>
      </c>
      <c r="D20" s="317">
        <f>'Resource impact over time'!L58</f>
        <v>0</v>
      </c>
      <c r="E20" s="304">
        <f t="shared" si="4"/>
        <v>0</v>
      </c>
      <c r="F20" s="237"/>
      <c r="G20" s="318">
        <f t="shared" si="5"/>
        <v>0</v>
      </c>
      <c r="H20" s="319">
        <f t="shared" si="6"/>
        <v>0</v>
      </c>
      <c r="I20" s="320">
        <f t="shared" si="7"/>
        <v>0</v>
      </c>
      <c r="J20" s="514"/>
      <c r="K20" s="359"/>
      <c r="T20" s="511"/>
      <c r="U20" s="511"/>
      <c r="V20" s="511"/>
      <c r="W20" s="511"/>
      <c r="X20" s="511"/>
      <c r="Y20" s="511"/>
      <c r="Z20" s="511"/>
      <c r="AA20" s="511"/>
    </row>
    <row r="21" spans="1:27" s="178" customFormat="1" ht="14.25" x14ac:dyDescent="0.2">
      <c r="A21" s="277" t="str">
        <f>'Resource impact over time'!A59</f>
        <v>People receiving ibrutinib</v>
      </c>
      <c r="B21" s="626">
        <f>'Resource impact over time'!B59</f>
        <v>0</v>
      </c>
      <c r="C21" s="316">
        <f>'Resource impact over time'!G59</f>
        <v>0</v>
      </c>
      <c r="D21" s="317">
        <f>'Resource impact over time'!L59</f>
        <v>0</v>
      </c>
      <c r="E21" s="304">
        <f t="shared" si="4"/>
        <v>0</v>
      </c>
      <c r="F21" s="237"/>
      <c r="G21" s="318">
        <f t="shared" si="5"/>
        <v>0</v>
      </c>
      <c r="H21" s="319">
        <f t="shared" si="6"/>
        <v>0</v>
      </c>
      <c r="I21" s="320">
        <f t="shared" si="7"/>
        <v>0</v>
      </c>
      <c r="J21" s="514"/>
      <c r="K21" s="359"/>
      <c r="T21" s="511"/>
      <c r="U21" s="511"/>
      <c r="V21" s="511"/>
      <c r="W21" s="511"/>
      <c r="X21" s="511"/>
      <c r="Y21" s="511"/>
      <c r="Z21" s="511"/>
      <c r="AA21" s="511"/>
    </row>
    <row r="22" spans="1:27" s="178" customFormat="1" ht="14.25" x14ac:dyDescent="0.2">
      <c r="A22" s="277" t="str">
        <f>'Resource impact over time'!A60</f>
        <v>People receiving venetoclax plus rituximab</v>
      </c>
      <c r="B22" s="626">
        <f>'Resource impact over time'!B60</f>
        <v>0</v>
      </c>
      <c r="C22" s="316">
        <f>'Resource impact over time'!G60</f>
        <v>0</v>
      </c>
      <c r="D22" s="317">
        <f>'Resource impact over time'!L60</f>
        <v>0</v>
      </c>
      <c r="E22" s="304">
        <f t="shared" si="4"/>
        <v>0</v>
      </c>
      <c r="F22" s="237"/>
      <c r="G22" s="318">
        <f t="shared" si="5"/>
        <v>0</v>
      </c>
      <c r="H22" s="319">
        <f t="shared" si="6"/>
        <v>0</v>
      </c>
      <c r="I22" s="320">
        <f t="shared" si="7"/>
        <v>0</v>
      </c>
      <c r="J22" s="514"/>
      <c r="K22" s="359"/>
      <c r="T22" s="511"/>
      <c r="U22" s="511"/>
      <c r="V22" s="511"/>
      <c r="W22" s="511"/>
      <c r="X22" s="511"/>
      <c r="Y22" s="511"/>
      <c r="Z22" s="511"/>
      <c r="AA22" s="511"/>
    </row>
    <row r="23" spans="1:27" s="178" customFormat="1" x14ac:dyDescent="0.2">
      <c r="A23" s="551" t="str">
        <f>'Assumptions input'!A49</f>
        <v>Population 4 - untreated, FCR suitable</v>
      </c>
      <c r="B23" s="550"/>
      <c r="C23" s="547"/>
      <c r="D23" s="548"/>
      <c r="E23" s="304"/>
      <c r="F23" s="237"/>
      <c r="G23" s="318"/>
      <c r="H23" s="319"/>
      <c r="I23" s="320"/>
      <c r="J23" s="514"/>
      <c r="K23" s="359"/>
      <c r="T23" s="511"/>
      <c r="U23" s="511"/>
      <c r="V23" s="511"/>
      <c r="W23" s="511"/>
      <c r="X23" s="511"/>
      <c r="Y23" s="511"/>
      <c r="Z23" s="511"/>
      <c r="AA23" s="511"/>
    </row>
    <row r="24" spans="1:27" s="178" customFormat="1" ht="14.25" x14ac:dyDescent="0.2">
      <c r="A24" s="552" t="str">
        <f>A15</f>
        <v>People receiving ibrutinib plus venetoclax in year 1</v>
      </c>
      <c r="B24" s="627">
        <f>'Resource impact over time'!B62</f>
        <v>0</v>
      </c>
      <c r="C24" s="547">
        <f>'Resource impact over time'!G62</f>
        <v>0</v>
      </c>
      <c r="D24" s="548">
        <f>'Resource impact over time'!L62</f>
        <v>0</v>
      </c>
      <c r="E24" s="304">
        <f t="shared" si="4"/>
        <v>0</v>
      </c>
      <c r="F24" s="237"/>
      <c r="G24" s="318">
        <f t="shared" si="5"/>
        <v>0</v>
      </c>
      <c r="H24" s="319">
        <f t="shared" si="6"/>
        <v>0</v>
      </c>
      <c r="I24" s="320">
        <f t="shared" si="7"/>
        <v>0</v>
      </c>
      <c r="J24" s="514"/>
      <c r="K24" s="359"/>
      <c r="T24" s="511"/>
      <c r="U24" s="511"/>
      <c r="V24" s="511"/>
      <c r="W24" s="511"/>
      <c r="X24" s="511"/>
      <c r="Y24" s="511"/>
      <c r="Z24" s="511"/>
      <c r="AA24" s="511"/>
    </row>
    <row r="25" spans="1:27" s="178" customFormat="1" ht="14.25" x14ac:dyDescent="0.2">
      <c r="A25" s="552" t="str">
        <f>A16</f>
        <v>People receiving ibrutinib plus venetoclax in year 2</v>
      </c>
      <c r="B25" s="627">
        <f>'Resource impact over time'!B63</f>
        <v>0</v>
      </c>
      <c r="C25" s="547">
        <f>'Resource impact over time'!G63</f>
        <v>0</v>
      </c>
      <c r="D25" s="548">
        <f>'Resource impact over time'!L63</f>
        <v>0</v>
      </c>
      <c r="E25" s="304">
        <f t="shared" si="4"/>
        <v>0</v>
      </c>
      <c r="F25" s="237"/>
      <c r="G25" s="318">
        <f t="shared" si="5"/>
        <v>0</v>
      </c>
      <c r="H25" s="319">
        <f t="shared" si="6"/>
        <v>0</v>
      </c>
      <c r="I25" s="320">
        <f t="shared" si="7"/>
        <v>0</v>
      </c>
      <c r="J25" s="514"/>
      <c r="K25" s="359"/>
      <c r="T25" s="511"/>
      <c r="U25" s="511"/>
      <c r="V25" s="511"/>
      <c r="W25" s="511"/>
      <c r="X25" s="511"/>
      <c r="Y25" s="511"/>
      <c r="Z25" s="511"/>
      <c r="AA25" s="511"/>
    </row>
    <row r="26" spans="1:27" s="178" customFormat="1" ht="14.25" x14ac:dyDescent="0.2">
      <c r="A26" s="552" t="str">
        <f>'Assumptions input'!A51</f>
        <v>People receiving fludarabine, cyclophosphamide and rituximab</v>
      </c>
      <c r="B26" s="627">
        <f>'Resource impact over time'!B64</f>
        <v>0</v>
      </c>
      <c r="C26" s="547">
        <f>'Resource impact over time'!G64</f>
        <v>0</v>
      </c>
      <c r="D26" s="548">
        <f>'Resource impact over time'!L64</f>
        <v>0</v>
      </c>
      <c r="E26" s="304">
        <f t="shared" si="4"/>
        <v>0</v>
      </c>
      <c r="F26" s="237"/>
      <c r="G26" s="318">
        <f t="shared" si="5"/>
        <v>0</v>
      </c>
      <c r="H26" s="319">
        <f t="shared" si="6"/>
        <v>0</v>
      </c>
      <c r="I26" s="320">
        <f t="shared" si="7"/>
        <v>0</v>
      </c>
      <c r="J26" s="514"/>
      <c r="K26" s="359"/>
      <c r="T26" s="511"/>
      <c r="U26" s="511"/>
      <c r="V26" s="511"/>
      <c r="W26" s="511"/>
      <c r="X26" s="511"/>
      <c r="Y26" s="511"/>
      <c r="Z26" s="511"/>
      <c r="AA26" s="511"/>
    </row>
    <row r="27" spans="1:27" s="178" customFormat="1" ht="14.25" x14ac:dyDescent="0.2">
      <c r="A27" s="277" t="str">
        <f>'Assumptions input'!A52</f>
        <v>People receiving venetoclax and obinutuzumab</v>
      </c>
      <c r="B27" s="627">
        <f>'Resource impact over time'!B65</f>
        <v>0</v>
      </c>
      <c r="C27" s="547">
        <f>'Resource impact over time'!G65</f>
        <v>0</v>
      </c>
      <c r="D27" s="548">
        <f>'Resource impact over time'!L65</f>
        <v>0</v>
      </c>
      <c r="E27" s="304">
        <f t="shared" si="4"/>
        <v>0</v>
      </c>
      <c r="F27" s="237"/>
      <c r="G27" s="318">
        <f t="shared" si="5"/>
        <v>0</v>
      </c>
      <c r="H27" s="319">
        <f t="shared" si="6"/>
        <v>0</v>
      </c>
      <c r="I27" s="320">
        <f t="shared" si="7"/>
        <v>0</v>
      </c>
      <c r="J27" s="514"/>
      <c r="K27" s="359"/>
      <c r="T27" s="511"/>
      <c r="U27" s="511"/>
      <c r="V27" s="511"/>
      <c r="W27" s="511"/>
      <c r="X27" s="511"/>
      <c r="Y27" s="511"/>
      <c r="Z27" s="511"/>
      <c r="AA27" s="511"/>
    </row>
    <row r="28" spans="1:27" ht="15.75" thickBot="1" x14ac:dyDescent="0.3">
      <c r="A28" s="187" t="s">
        <v>761</v>
      </c>
      <c r="B28" s="234"/>
      <c r="C28" s="235"/>
      <c r="D28" s="282"/>
      <c r="E28" s="278"/>
      <c r="F28" s="233"/>
      <c r="G28" s="236">
        <f>SUM(G5:G27)</f>
        <v>0</v>
      </c>
      <c r="H28" s="280">
        <f>SUM(H5:H27)</f>
        <v>0</v>
      </c>
      <c r="I28" s="236">
        <f>SUM(I5:I27)</f>
        <v>0</v>
      </c>
      <c r="J28" s="512"/>
      <c r="K28" s="513"/>
      <c r="T28" s="513"/>
      <c r="U28" s="513"/>
      <c r="V28" s="513"/>
      <c r="W28" s="513"/>
      <c r="X28" s="513"/>
      <c r="Y28" s="513"/>
      <c r="Z28" s="513"/>
      <c r="AA28" s="513"/>
    </row>
    <row r="29" spans="1:27" x14ac:dyDescent="0.25">
      <c r="A29" s="241"/>
      <c r="C29" s="71"/>
      <c r="G29" s="321"/>
      <c r="H29" s="321"/>
      <c r="I29" s="321"/>
      <c r="J29" s="513"/>
      <c r="K29" s="513"/>
      <c r="T29" s="513"/>
      <c r="U29" s="513"/>
      <c r="V29" s="513"/>
      <c r="W29" s="513"/>
      <c r="X29" s="513"/>
      <c r="Y29" s="513"/>
      <c r="Z29" s="513"/>
      <c r="AA29" s="513"/>
    </row>
    <row r="30" spans="1:27" thickBot="1" x14ac:dyDescent="0.25">
      <c r="A30" s="212" t="s">
        <v>1</v>
      </c>
      <c r="B30" s="231" t="s">
        <v>1</v>
      </c>
      <c r="C30" s="212" t="s">
        <v>1</v>
      </c>
      <c r="D30" s="227" t="s">
        <v>1</v>
      </c>
      <c r="E30" s="227" t="s">
        <v>1</v>
      </c>
      <c r="F30" s="227" t="s">
        <v>1</v>
      </c>
      <c r="G30" s="232" t="s">
        <v>1</v>
      </c>
      <c r="H30" s="232" t="s">
        <v>1</v>
      </c>
      <c r="I30" s="232" t="s">
        <v>1</v>
      </c>
      <c r="J30" s="513"/>
      <c r="K30" s="513"/>
      <c r="Q30" s="513"/>
      <c r="R30" s="513"/>
      <c r="S30" s="513"/>
      <c r="T30" s="513"/>
      <c r="U30" s="513"/>
      <c r="V30" s="511"/>
      <c r="W30" s="511"/>
      <c r="X30" s="511"/>
      <c r="Y30" s="513"/>
      <c r="Z30" s="513"/>
      <c r="AA30" s="513"/>
    </row>
    <row r="31" spans="1:27" ht="45" customHeight="1" x14ac:dyDescent="0.25">
      <c r="A31" s="275" t="s">
        <v>668</v>
      </c>
      <c r="B31" s="279" t="s">
        <v>754</v>
      </c>
      <c r="C31" s="268" t="s">
        <v>755</v>
      </c>
      <c r="D31" s="269" t="s">
        <v>756</v>
      </c>
      <c r="E31" s="276" t="s">
        <v>757</v>
      </c>
      <c r="F31" s="271"/>
      <c r="G31" s="272" t="s">
        <v>758</v>
      </c>
      <c r="H31" s="269" t="s">
        <v>759</v>
      </c>
      <c r="I31" s="270" t="s">
        <v>760</v>
      </c>
      <c r="J31" s="512"/>
      <c r="K31" s="513"/>
      <c r="Q31" s="511"/>
      <c r="R31" s="511"/>
      <c r="S31" s="511"/>
      <c r="T31" s="513"/>
      <c r="U31" s="513"/>
      <c r="V31" s="513"/>
      <c r="W31" s="513"/>
      <c r="X31" s="513"/>
      <c r="Y31" s="513"/>
      <c r="Z31" s="513"/>
      <c r="AA31" s="513"/>
    </row>
    <row r="32" spans="1:27" s="178" customFormat="1" ht="30" x14ac:dyDescent="0.25">
      <c r="A32" s="519" t="s">
        <v>806</v>
      </c>
      <c r="B32" s="549"/>
      <c r="C32" s="316"/>
      <c r="D32" s="317"/>
      <c r="E32" s="304"/>
      <c r="F32" s="237"/>
      <c r="G32" s="318"/>
      <c r="H32" s="319"/>
      <c r="I32" s="320"/>
      <c r="J32" s="514"/>
      <c r="K32" s="511"/>
      <c r="Q32" s="511"/>
      <c r="R32" s="511"/>
      <c r="S32" s="511"/>
      <c r="T32" s="511"/>
      <c r="U32" s="511"/>
      <c r="V32" s="511"/>
      <c r="W32" s="511"/>
      <c r="X32" s="511"/>
      <c r="Y32" s="511"/>
      <c r="Z32" s="511"/>
      <c r="AA32" s="511"/>
    </row>
    <row r="33" spans="1:27" s="178" customFormat="1" ht="14.25" x14ac:dyDescent="0.25">
      <c r="A33" s="277" t="str">
        <f>'Resource impact over time'!A71</f>
        <v>People receiving zanubrutinib</v>
      </c>
      <c r="B33" s="626">
        <f>'Resource impact over time'!B71</f>
        <v>1104</v>
      </c>
      <c r="C33" s="316">
        <f>'Resource impact over time'!G71</f>
        <v>0</v>
      </c>
      <c r="D33" s="317">
        <f>'Resource impact over time'!L71</f>
        <v>0</v>
      </c>
      <c r="E33" s="304">
        <f t="shared" ref="E33:E37" si="8">D33-C33</f>
        <v>0</v>
      </c>
      <c r="F33" s="237"/>
      <c r="G33" s="318">
        <f t="shared" ref="G33:G37" si="9">B33*C33</f>
        <v>0</v>
      </c>
      <c r="H33" s="319">
        <f t="shared" ref="H33:H37" si="10">B33*D33</f>
        <v>0</v>
      </c>
      <c r="I33" s="320">
        <f t="shared" ref="I33:I37" si="11">H33-G33</f>
        <v>0</v>
      </c>
      <c r="J33" s="514"/>
      <c r="K33" s="511"/>
      <c r="Q33" s="511"/>
      <c r="R33" s="511"/>
      <c r="S33" s="511"/>
      <c r="T33" s="511"/>
      <c r="U33" s="511"/>
      <c r="V33" s="511"/>
      <c r="W33" s="511"/>
      <c r="X33" s="511"/>
      <c r="Y33" s="511"/>
      <c r="Z33" s="511"/>
      <c r="AA33" s="511"/>
    </row>
    <row r="34" spans="1:27" s="178" customFormat="1" ht="14.25" x14ac:dyDescent="0.25">
      <c r="A34" s="277" t="str">
        <f>'Resource impact over time'!A72</f>
        <v>People receiving acalabrutinib</v>
      </c>
      <c r="B34" s="626">
        <f>'Resource impact over time'!B72</f>
        <v>1104</v>
      </c>
      <c r="C34" s="316">
        <f>'Resource impact over time'!G72</f>
        <v>0</v>
      </c>
      <c r="D34" s="317">
        <f>'Resource impact over time'!L72</f>
        <v>0</v>
      </c>
      <c r="E34" s="304">
        <f t="shared" si="8"/>
        <v>0</v>
      </c>
      <c r="F34" s="237"/>
      <c r="G34" s="318">
        <f t="shared" si="9"/>
        <v>0</v>
      </c>
      <c r="H34" s="319">
        <f t="shared" si="10"/>
        <v>0</v>
      </c>
      <c r="I34" s="320">
        <f t="shared" si="11"/>
        <v>0</v>
      </c>
      <c r="J34" s="514"/>
      <c r="K34" s="511"/>
      <c r="Q34" s="511"/>
      <c r="R34" s="511"/>
      <c r="S34" s="511"/>
      <c r="T34" s="511"/>
      <c r="U34" s="511"/>
      <c r="V34" s="511"/>
      <c r="W34" s="511"/>
      <c r="X34" s="511"/>
      <c r="Y34" s="511"/>
      <c r="Z34" s="511"/>
      <c r="AA34" s="511"/>
    </row>
    <row r="35" spans="1:27" s="178" customFormat="1" ht="14.25" x14ac:dyDescent="0.25">
      <c r="A35" s="277" t="str">
        <f>'Resource impact over time'!A73</f>
        <v>People receiving ibrutinib plus venetoclax in year 1</v>
      </c>
      <c r="B35" s="626">
        <f>'Resource impact over time'!B73</f>
        <v>1742</v>
      </c>
      <c r="C35" s="316">
        <f>'Resource impact over time'!G73</f>
        <v>0</v>
      </c>
      <c r="D35" s="317">
        <f>'Resource impact over time'!L73</f>
        <v>0</v>
      </c>
      <c r="E35" s="304">
        <f t="shared" si="8"/>
        <v>0</v>
      </c>
      <c r="F35" s="237"/>
      <c r="G35" s="318">
        <f t="shared" si="9"/>
        <v>0</v>
      </c>
      <c r="H35" s="319">
        <f t="shared" si="10"/>
        <v>0</v>
      </c>
      <c r="I35" s="320">
        <f t="shared" si="11"/>
        <v>0</v>
      </c>
      <c r="J35" s="514"/>
      <c r="K35" s="511"/>
      <c r="Q35" s="511"/>
      <c r="R35" s="511"/>
      <c r="S35" s="511"/>
      <c r="T35" s="511"/>
      <c r="U35" s="511"/>
      <c r="V35" s="511"/>
      <c r="W35" s="511"/>
      <c r="X35" s="511"/>
      <c r="Y35" s="511"/>
      <c r="Z35" s="511"/>
      <c r="AA35" s="511"/>
    </row>
    <row r="36" spans="1:27" s="178" customFormat="1" ht="14.25" x14ac:dyDescent="0.25">
      <c r="A36" s="277" t="str">
        <f>'Resource impact over time'!A74</f>
        <v>People receiving ibrutinib plus venetoclax in year 2</v>
      </c>
      <c r="B36" s="626">
        <f>'Resource impact over time'!B74</f>
        <v>268</v>
      </c>
      <c r="C36" s="316">
        <f>'Resource impact over time'!G74</f>
        <v>0</v>
      </c>
      <c r="D36" s="317">
        <f>'Resource impact over time'!L74</f>
        <v>0</v>
      </c>
      <c r="E36" s="304">
        <f t="shared" si="8"/>
        <v>0</v>
      </c>
      <c r="F36" s="237"/>
      <c r="G36" s="318">
        <f t="shared" si="9"/>
        <v>0</v>
      </c>
      <c r="H36" s="319">
        <f t="shared" si="10"/>
        <v>0</v>
      </c>
      <c r="I36" s="320">
        <f t="shared" si="11"/>
        <v>0</v>
      </c>
      <c r="J36" s="514"/>
      <c r="K36" s="511"/>
      <c r="Q36" s="511"/>
      <c r="R36" s="511"/>
      <c r="S36" s="511"/>
      <c r="T36" s="511"/>
      <c r="U36" s="511"/>
      <c r="V36" s="511"/>
      <c r="W36" s="511"/>
      <c r="X36" s="511"/>
      <c r="Y36" s="511"/>
      <c r="Z36" s="511"/>
      <c r="AA36" s="511"/>
    </row>
    <row r="37" spans="1:27" s="178" customFormat="1" ht="14.25" x14ac:dyDescent="0.25">
      <c r="A37" s="277" t="str">
        <f>'Resource impact over time'!A75</f>
        <v xml:space="preserve">People receiving venetoclax plus obinutuzumab </v>
      </c>
      <c r="B37" s="626">
        <f>'Resource impact over time'!B75</f>
        <v>0</v>
      </c>
      <c r="C37" s="316">
        <f>'Resource impact over time'!G75</f>
        <v>0</v>
      </c>
      <c r="D37" s="317">
        <f>'Resource impact over time'!L75</f>
        <v>0</v>
      </c>
      <c r="E37" s="304">
        <f t="shared" si="8"/>
        <v>0</v>
      </c>
      <c r="F37" s="237"/>
      <c r="G37" s="318">
        <f t="shared" si="9"/>
        <v>0</v>
      </c>
      <c r="H37" s="319">
        <f t="shared" si="10"/>
        <v>0</v>
      </c>
      <c r="I37" s="320">
        <f t="shared" si="11"/>
        <v>0</v>
      </c>
      <c r="J37" s="514"/>
      <c r="K37" s="511"/>
      <c r="Q37" s="511"/>
      <c r="R37" s="511"/>
      <c r="S37" s="511"/>
      <c r="T37" s="511"/>
      <c r="U37" s="511"/>
      <c r="V37" s="511"/>
      <c r="W37" s="511"/>
      <c r="X37" s="511"/>
      <c r="Y37" s="511"/>
      <c r="Z37" s="511"/>
      <c r="AA37" s="511"/>
    </row>
    <row r="38" spans="1:27" s="178" customFormat="1" x14ac:dyDescent="0.25">
      <c r="A38" s="519" t="s">
        <v>640</v>
      </c>
      <c r="B38" s="549"/>
      <c r="C38" s="316"/>
      <c r="D38" s="317"/>
      <c r="E38" s="304"/>
      <c r="F38" s="237"/>
      <c r="G38" s="318"/>
      <c r="H38" s="319"/>
      <c r="I38" s="320"/>
      <c r="J38" s="514"/>
      <c r="K38" s="511"/>
      <c r="Q38" s="511"/>
      <c r="R38" s="511"/>
      <c r="S38" s="511"/>
      <c r="T38" s="511"/>
      <c r="U38" s="511"/>
      <c r="V38" s="511"/>
      <c r="W38" s="511"/>
      <c r="X38" s="511"/>
      <c r="Y38" s="511"/>
      <c r="Z38" s="511"/>
      <c r="AA38" s="511"/>
    </row>
    <row r="39" spans="1:27" s="178" customFormat="1" ht="14.25" x14ac:dyDescent="0.25">
      <c r="A39" s="277" t="str">
        <f>'Resource impact over time'!A77</f>
        <v>People receiving zanubrutinib</v>
      </c>
      <c r="B39" s="626">
        <f>'Resource impact over time'!B77</f>
        <v>1104</v>
      </c>
      <c r="C39" s="316">
        <f>'Resource impact over time'!G77</f>
        <v>0</v>
      </c>
      <c r="D39" s="317">
        <f>'Resource impact over time'!L77</f>
        <v>0</v>
      </c>
      <c r="E39" s="304">
        <f t="shared" ref="E39:E44" si="12">D39-C39</f>
        <v>0</v>
      </c>
      <c r="F39" s="237"/>
      <c r="G39" s="318">
        <f t="shared" ref="G39:G44" si="13">B39*C39</f>
        <v>0</v>
      </c>
      <c r="H39" s="319">
        <f t="shared" ref="H39:H44" si="14">B39*D39</f>
        <v>0</v>
      </c>
      <c r="I39" s="320">
        <f t="shared" ref="I39:I44" si="15">H39-G39</f>
        <v>0</v>
      </c>
      <c r="J39" s="514"/>
      <c r="K39" s="511"/>
      <c r="Q39" s="511"/>
      <c r="R39" s="511"/>
      <c r="S39" s="511"/>
      <c r="T39" s="511"/>
      <c r="U39" s="511"/>
      <c r="V39" s="511"/>
      <c r="W39" s="511"/>
      <c r="X39" s="511"/>
      <c r="Y39" s="511"/>
      <c r="Z39" s="511"/>
      <c r="AA39" s="511"/>
    </row>
    <row r="40" spans="1:27" s="178" customFormat="1" ht="14.25" x14ac:dyDescent="0.25">
      <c r="A40" s="277" t="str">
        <f>'Resource impact over time'!A78</f>
        <v>People receiving acalabrutinib</v>
      </c>
      <c r="B40" s="626">
        <f>'Resource impact over time'!B78</f>
        <v>1104</v>
      </c>
      <c r="C40" s="316">
        <f>'Resource impact over time'!G78</f>
        <v>0</v>
      </c>
      <c r="D40" s="317">
        <f>'Resource impact over time'!L78</f>
        <v>0</v>
      </c>
      <c r="E40" s="304">
        <f t="shared" si="12"/>
        <v>0</v>
      </c>
      <c r="F40" s="237"/>
      <c r="G40" s="318">
        <f t="shared" si="13"/>
        <v>0</v>
      </c>
      <c r="H40" s="319">
        <f t="shared" si="14"/>
        <v>0</v>
      </c>
      <c r="I40" s="320">
        <f t="shared" si="15"/>
        <v>0</v>
      </c>
      <c r="J40" s="514"/>
      <c r="K40" s="511"/>
      <c r="Q40" s="511"/>
      <c r="R40" s="511"/>
      <c r="S40" s="511"/>
      <c r="T40" s="511"/>
      <c r="U40" s="511"/>
      <c r="V40" s="511"/>
      <c r="W40" s="511"/>
      <c r="X40" s="511"/>
      <c r="Y40" s="511"/>
      <c r="Z40" s="511"/>
      <c r="AA40" s="511"/>
    </row>
    <row r="41" spans="1:27" s="178" customFormat="1" ht="14.25" x14ac:dyDescent="0.25">
      <c r="A41" s="277" t="str">
        <f>'Resource impact over time'!A79</f>
        <v>People receiving ibrutinib</v>
      </c>
      <c r="B41" s="626">
        <f>'Resource impact over time'!B79</f>
        <v>1104</v>
      </c>
      <c r="C41" s="316">
        <f>'Resource impact over time'!G79</f>
        <v>0</v>
      </c>
      <c r="D41" s="317">
        <f>'Resource impact over time'!L79</f>
        <v>0</v>
      </c>
      <c r="E41" s="304">
        <f t="shared" si="12"/>
        <v>0</v>
      </c>
      <c r="F41" s="237"/>
      <c r="G41" s="318">
        <f t="shared" si="13"/>
        <v>0</v>
      </c>
      <c r="H41" s="319">
        <f t="shared" si="14"/>
        <v>0</v>
      </c>
      <c r="I41" s="320">
        <f t="shared" si="15"/>
        <v>0</v>
      </c>
      <c r="J41" s="514"/>
      <c r="K41" s="511"/>
      <c r="Q41" s="511"/>
      <c r="R41" s="511"/>
      <c r="S41" s="511"/>
      <c r="T41" s="511"/>
      <c r="U41" s="511"/>
      <c r="V41" s="511"/>
      <c r="W41" s="511"/>
      <c r="X41" s="511"/>
      <c r="Y41" s="511"/>
      <c r="Z41" s="511"/>
      <c r="AA41" s="511"/>
    </row>
    <row r="42" spans="1:27" s="178" customFormat="1" ht="14.25" x14ac:dyDescent="0.25">
      <c r="A42" s="277" t="str">
        <f>'Resource impact over time'!A80</f>
        <v>People receiving ibrutinib plus venetoclax in year 1</v>
      </c>
      <c r="B42" s="626">
        <f>'Resource impact over time'!B80</f>
        <v>1742</v>
      </c>
      <c r="C42" s="316">
        <f>'Resource impact over time'!G80</f>
        <v>0</v>
      </c>
      <c r="D42" s="317">
        <f>'Resource impact over time'!L80</f>
        <v>0</v>
      </c>
      <c r="E42" s="304">
        <f t="shared" si="12"/>
        <v>0</v>
      </c>
      <c r="F42" s="237"/>
      <c r="G42" s="318">
        <f t="shared" si="13"/>
        <v>0</v>
      </c>
      <c r="H42" s="319">
        <f t="shared" si="14"/>
        <v>0</v>
      </c>
      <c r="I42" s="320">
        <f t="shared" si="15"/>
        <v>0</v>
      </c>
      <c r="J42" s="514"/>
      <c r="K42" s="511"/>
      <c r="Q42" s="511"/>
      <c r="R42" s="511"/>
      <c r="S42" s="511"/>
      <c r="T42" s="511"/>
      <c r="U42" s="511"/>
      <c r="V42" s="511"/>
      <c r="W42" s="511"/>
      <c r="X42" s="511"/>
      <c r="Y42" s="511"/>
      <c r="Z42" s="511"/>
      <c r="AA42" s="511"/>
    </row>
    <row r="43" spans="1:27" s="178" customFormat="1" ht="14.25" x14ac:dyDescent="0.25">
      <c r="A43" s="277" t="str">
        <f>'Resource impact over time'!A81</f>
        <v>People receiving ibrutinib plus venetoclax in year 2</v>
      </c>
      <c r="B43" s="626">
        <f>'Resource impact over time'!B81</f>
        <v>268</v>
      </c>
      <c r="C43" s="316">
        <f>'Resource impact over time'!G81</f>
        <v>0</v>
      </c>
      <c r="D43" s="317">
        <f>'Resource impact over time'!L81</f>
        <v>0</v>
      </c>
      <c r="E43" s="304">
        <f t="shared" si="12"/>
        <v>0</v>
      </c>
      <c r="F43" s="237"/>
      <c r="G43" s="318">
        <f t="shared" si="13"/>
        <v>0</v>
      </c>
      <c r="H43" s="319">
        <f t="shared" si="14"/>
        <v>0</v>
      </c>
      <c r="I43" s="320">
        <f t="shared" si="15"/>
        <v>0</v>
      </c>
      <c r="J43" s="514"/>
      <c r="K43" s="511"/>
      <c r="Q43" s="511"/>
      <c r="R43" s="511"/>
      <c r="S43" s="511"/>
      <c r="T43" s="511"/>
      <c r="U43" s="511"/>
      <c r="V43" s="511"/>
      <c r="W43" s="511"/>
      <c r="X43" s="511"/>
      <c r="Y43" s="511"/>
      <c r="Z43" s="511"/>
      <c r="AA43" s="511"/>
    </row>
    <row r="44" spans="1:27" s="178" customFormat="1" ht="14.25" x14ac:dyDescent="0.25">
      <c r="A44" s="277" t="str">
        <f>'Resource impact over time'!A82</f>
        <v xml:space="preserve">People receiving venetoclax plus obinutuzumab </v>
      </c>
      <c r="B44" s="626">
        <f>'Resource impact over time'!B82</f>
        <v>0</v>
      </c>
      <c r="C44" s="316">
        <f>'Resource impact over time'!G82</f>
        <v>0</v>
      </c>
      <c r="D44" s="317">
        <f>'Resource impact over time'!L82</f>
        <v>0</v>
      </c>
      <c r="E44" s="304">
        <f t="shared" si="12"/>
        <v>0</v>
      </c>
      <c r="F44" s="237"/>
      <c r="G44" s="318">
        <f t="shared" si="13"/>
        <v>0</v>
      </c>
      <c r="H44" s="319">
        <f t="shared" si="14"/>
        <v>0</v>
      </c>
      <c r="I44" s="320">
        <f t="shared" si="15"/>
        <v>0</v>
      </c>
      <c r="J44" s="514"/>
      <c r="K44" s="511"/>
      <c r="Q44" s="511"/>
      <c r="R44" s="511"/>
      <c r="S44" s="511"/>
      <c r="T44" s="511"/>
      <c r="U44" s="511"/>
      <c r="V44" s="511"/>
      <c r="W44" s="511"/>
      <c r="X44" s="511"/>
      <c r="Y44" s="511"/>
      <c r="Z44" s="511"/>
      <c r="AA44" s="511"/>
    </row>
    <row r="45" spans="1:27" s="178" customFormat="1" x14ac:dyDescent="0.25">
      <c r="A45" s="427" t="s">
        <v>642</v>
      </c>
      <c r="B45" s="549"/>
      <c r="C45" s="316"/>
      <c r="D45" s="317"/>
      <c r="E45" s="304"/>
      <c r="F45" s="237"/>
      <c r="G45" s="318"/>
      <c r="H45" s="319"/>
      <c r="I45" s="320"/>
      <c r="J45" s="514"/>
      <c r="K45" s="511"/>
      <c r="L45" s="511"/>
      <c r="M45" s="511"/>
      <c r="N45" s="511"/>
      <c r="O45" s="511"/>
      <c r="P45" s="511"/>
      <c r="Q45" s="511"/>
      <c r="R45" s="511"/>
      <c r="S45" s="511"/>
      <c r="T45" s="511"/>
      <c r="U45" s="511"/>
      <c r="V45" s="511"/>
      <c r="W45" s="511"/>
      <c r="X45" s="511"/>
      <c r="Y45" s="511"/>
      <c r="Z45" s="511"/>
      <c r="AA45" s="511"/>
    </row>
    <row r="46" spans="1:27" s="178" customFormat="1" x14ac:dyDescent="0.25">
      <c r="A46" s="277" t="str">
        <f>'Resource impact over time'!A84</f>
        <v>People receiving zanubrutinib</v>
      </c>
      <c r="B46" s="626">
        <f>'Resource impact over time'!B84</f>
        <v>1104</v>
      </c>
      <c r="C46" s="316">
        <f>'Resource impact over time'!G84</f>
        <v>0</v>
      </c>
      <c r="D46" s="317">
        <f>'Resource impact over time'!L84</f>
        <v>0</v>
      </c>
      <c r="E46" s="304">
        <f t="shared" ref="E46:E54" si="16">D46-C46</f>
        <v>0</v>
      </c>
      <c r="F46" s="237"/>
      <c r="G46" s="318">
        <f t="shared" ref="G46:G54" si="17">B46*C46</f>
        <v>0</v>
      </c>
      <c r="H46" s="319">
        <f t="shared" ref="H46:H54" si="18">B46*D46</f>
        <v>0</v>
      </c>
      <c r="I46" s="320">
        <f t="shared" ref="I46:I54" si="19">H46-G46</f>
        <v>0</v>
      </c>
      <c r="J46" s="514"/>
      <c r="K46" s="511"/>
      <c r="L46" s="511"/>
      <c r="M46" s="511"/>
      <c r="N46" s="511"/>
      <c r="O46" s="511"/>
      <c r="P46" s="511"/>
      <c r="Q46" s="516"/>
      <c r="R46" s="516"/>
      <c r="S46" s="516"/>
      <c r="T46" s="511"/>
      <c r="U46" s="511"/>
      <c r="V46" s="511"/>
      <c r="W46" s="511"/>
      <c r="X46" s="511"/>
      <c r="Y46" s="511"/>
      <c r="Z46" s="511"/>
      <c r="AA46" s="511"/>
    </row>
    <row r="47" spans="1:27" s="178" customFormat="1" x14ac:dyDescent="0.25">
      <c r="A47" s="277" t="str">
        <f>'Resource impact over time'!A85</f>
        <v>People receiving acalabrutinib</v>
      </c>
      <c r="B47" s="626">
        <f>'Resource impact over time'!B85</f>
        <v>1104</v>
      </c>
      <c r="C47" s="316">
        <f>'Resource impact over time'!G85</f>
        <v>0</v>
      </c>
      <c r="D47" s="317">
        <f>'Resource impact over time'!L85</f>
        <v>0</v>
      </c>
      <c r="E47" s="304">
        <f t="shared" si="16"/>
        <v>0</v>
      </c>
      <c r="F47" s="237"/>
      <c r="G47" s="318">
        <f t="shared" si="17"/>
        <v>0</v>
      </c>
      <c r="H47" s="319">
        <f t="shared" si="18"/>
        <v>0</v>
      </c>
      <c r="I47" s="320">
        <f t="shared" si="19"/>
        <v>0</v>
      </c>
      <c r="J47" s="514"/>
      <c r="K47" s="511"/>
      <c r="L47" s="511"/>
      <c r="M47" s="511"/>
      <c r="N47" s="511"/>
      <c r="O47" s="511"/>
      <c r="P47" s="511"/>
      <c r="Q47" s="516"/>
      <c r="R47" s="516"/>
      <c r="S47" s="516"/>
      <c r="T47" s="511"/>
      <c r="U47" s="511"/>
      <c r="V47" s="511"/>
      <c r="W47" s="511"/>
      <c r="X47" s="511"/>
      <c r="Y47" s="511"/>
      <c r="Z47" s="511"/>
      <c r="AA47" s="511"/>
    </row>
    <row r="48" spans="1:27" s="178" customFormat="1" x14ac:dyDescent="0.25">
      <c r="A48" s="277" t="str">
        <f>'Resource impact over time'!A86</f>
        <v>People receiving ibrutinib</v>
      </c>
      <c r="B48" s="626">
        <f>'Resource impact over time'!B86</f>
        <v>1104</v>
      </c>
      <c r="C48" s="316">
        <f>'Resource impact over time'!G86</f>
        <v>0</v>
      </c>
      <c r="D48" s="317">
        <f>'Resource impact over time'!L86</f>
        <v>0</v>
      </c>
      <c r="E48" s="304">
        <f t="shared" si="16"/>
        <v>0</v>
      </c>
      <c r="F48" s="237"/>
      <c r="G48" s="318">
        <f t="shared" si="17"/>
        <v>0</v>
      </c>
      <c r="H48" s="319">
        <f t="shared" si="18"/>
        <v>0</v>
      </c>
      <c r="I48" s="320">
        <f t="shared" si="19"/>
        <v>0</v>
      </c>
      <c r="J48" s="514"/>
      <c r="K48" s="511"/>
      <c r="L48" s="511"/>
      <c r="M48" s="511"/>
      <c r="N48" s="511"/>
      <c r="O48" s="511"/>
      <c r="P48" s="511"/>
      <c r="Q48" s="516"/>
      <c r="R48" s="516"/>
      <c r="S48" s="516"/>
      <c r="T48" s="511"/>
      <c r="U48" s="511"/>
      <c r="V48" s="511"/>
      <c r="W48" s="511"/>
      <c r="X48" s="511"/>
      <c r="Y48" s="511"/>
      <c r="Z48" s="511"/>
      <c r="AA48" s="511"/>
    </row>
    <row r="49" spans="1:27" s="178" customFormat="1" ht="14.25" x14ac:dyDescent="0.2">
      <c r="A49" s="277" t="str">
        <f>'Resource impact over time'!A87</f>
        <v>People receiving venetoclax plus rituximab</v>
      </c>
      <c r="B49" s="626">
        <f>'Resource impact over time'!B87</f>
        <v>0</v>
      </c>
      <c r="C49" s="316">
        <f>'Resource impact over time'!G87</f>
        <v>0</v>
      </c>
      <c r="D49" s="317">
        <f>'Resource impact over time'!L87</f>
        <v>0</v>
      </c>
      <c r="E49" s="304">
        <f t="shared" si="16"/>
        <v>0</v>
      </c>
      <c r="F49" s="237"/>
      <c r="G49" s="318">
        <f t="shared" si="17"/>
        <v>0</v>
      </c>
      <c r="H49" s="319">
        <f t="shared" si="18"/>
        <v>0</v>
      </c>
      <c r="I49" s="320">
        <f t="shared" si="19"/>
        <v>0</v>
      </c>
      <c r="J49" s="514"/>
      <c r="K49" s="511"/>
      <c r="L49" s="511"/>
      <c r="M49" s="511"/>
      <c r="N49" s="511"/>
      <c r="O49" s="511"/>
      <c r="P49" s="511"/>
      <c r="Q49" s="513"/>
      <c r="R49" s="513"/>
      <c r="S49" s="513"/>
      <c r="T49" s="513"/>
      <c r="U49" s="513"/>
      <c r="V49" s="513"/>
      <c r="W49" s="513"/>
      <c r="X49" s="513"/>
      <c r="Y49" s="511"/>
      <c r="Z49" s="511"/>
      <c r="AA49" s="511"/>
    </row>
    <row r="50" spans="1:27" s="178" customFormat="1" x14ac:dyDescent="0.2">
      <c r="A50" s="551" t="str">
        <f>A23</f>
        <v>Population 4 - untreated, FCR suitable</v>
      </c>
      <c r="B50" s="550"/>
      <c r="C50" s="316"/>
      <c r="D50" s="317"/>
      <c r="E50" s="304"/>
      <c r="F50" s="237"/>
      <c r="G50" s="318"/>
      <c r="H50" s="319"/>
      <c r="I50" s="320"/>
      <c r="J50" s="514"/>
      <c r="K50" s="511"/>
      <c r="L50" s="511"/>
      <c r="M50" s="511"/>
      <c r="N50" s="511"/>
      <c r="O50" s="511"/>
      <c r="P50" s="511"/>
      <c r="Q50" s="513"/>
      <c r="R50" s="513"/>
      <c r="S50" s="513"/>
      <c r="T50" s="513"/>
      <c r="U50" s="513"/>
      <c r="V50" s="513"/>
      <c r="W50" s="513"/>
      <c r="X50" s="513"/>
      <c r="Y50" s="511"/>
      <c r="Z50" s="511"/>
      <c r="AA50" s="511"/>
    </row>
    <row r="51" spans="1:27" s="178" customFormat="1" ht="14.25" x14ac:dyDescent="0.2">
      <c r="A51" s="552" t="str">
        <f>A24</f>
        <v>People receiving ibrutinib plus venetoclax in year 1</v>
      </c>
      <c r="B51" s="627">
        <f>'Resource impact over time'!B89</f>
        <v>1742</v>
      </c>
      <c r="C51" s="316">
        <f>'Resource impact over time'!G89</f>
        <v>0</v>
      </c>
      <c r="D51" s="317">
        <f>'Resource impact over time'!L89</f>
        <v>0</v>
      </c>
      <c r="E51" s="304">
        <f t="shared" si="16"/>
        <v>0</v>
      </c>
      <c r="F51" s="237"/>
      <c r="G51" s="318">
        <f t="shared" si="17"/>
        <v>0</v>
      </c>
      <c r="H51" s="319">
        <f t="shared" si="18"/>
        <v>0</v>
      </c>
      <c r="I51" s="320">
        <f t="shared" si="19"/>
        <v>0</v>
      </c>
      <c r="J51" s="514"/>
      <c r="K51" s="511"/>
      <c r="L51" s="511"/>
      <c r="M51" s="511"/>
      <c r="N51" s="511"/>
      <c r="O51" s="511"/>
      <c r="P51" s="511"/>
      <c r="Q51" s="513"/>
      <c r="R51" s="513"/>
      <c r="S51" s="513"/>
      <c r="T51" s="513"/>
      <c r="U51" s="513"/>
      <c r="V51" s="513"/>
      <c r="W51" s="513"/>
      <c r="X51" s="513"/>
      <c r="Y51" s="511"/>
      <c r="Z51" s="511"/>
      <c r="AA51" s="511"/>
    </row>
    <row r="52" spans="1:27" s="178" customFormat="1" ht="14.25" x14ac:dyDescent="0.2">
      <c r="A52" s="552" t="str">
        <f>A25</f>
        <v>People receiving ibrutinib plus venetoclax in year 2</v>
      </c>
      <c r="B52" s="627">
        <f>'Resource impact over time'!B90</f>
        <v>268</v>
      </c>
      <c r="C52" s="316">
        <f>'Resource impact over time'!G90</f>
        <v>0</v>
      </c>
      <c r="D52" s="317">
        <f>'Resource impact over time'!L90</f>
        <v>0</v>
      </c>
      <c r="E52" s="304">
        <f t="shared" si="16"/>
        <v>0</v>
      </c>
      <c r="F52" s="237"/>
      <c r="G52" s="318">
        <f t="shared" si="17"/>
        <v>0</v>
      </c>
      <c r="H52" s="319">
        <f t="shared" si="18"/>
        <v>0</v>
      </c>
      <c r="I52" s="320">
        <f t="shared" si="19"/>
        <v>0</v>
      </c>
      <c r="J52" s="514"/>
      <c r="K52" s="511"/>
      <c r="L52" s="511"/>
      <c r="M52" s="511"/>
      <c r="N52" s="511"/>
      <c r="O52" s="511"/>
      <c r="P52" s="511"/>
      <c r="Q52" s="513"/>
      <c r="R52" s="513"/>
      <c r="S52" s="513"/>
      <c r="T52" s="513"/>
      <c r="U52" s="513"/>
      <c r="V52" s="513"/>
      <c r="W52" s="513"/>
      <c r="X52" s="513"/>
      <c r="Y52" s="511"/>
      <c r="Z52" s="511"/>
      <c r="AA52" s="511"/>
    </row>
    <row r="53" spans="1:27" s="178" customFormat="1" ht="14.25" x14ac:dyDescent="0.2">
      <c r="A53" s="552" t="str">
        <f t="shared" ref="A53:A54" si="20">A26</f>
        <v>People receiving fludarabine, cyclophosphamide and rituximab</v>
      </c>
      <c r="B53" s="627">
        <f>'Resource impact over time'!B91</f>
        <v>2010</v>
      </c>
      <c r="C53" s="316">
        <f>'Resource impact over time'!G91</f>
        <v>0</v>
      </c>
      <c r="D53" s="317">
        <f>'Resource impact over time'!L91</f>
        <v>0</v>
      </c>
      <c r="E53" s="304">
        <f t="shared" si="16"/>
        <v>0</v>
      </c>
      <c r="F53" s="237"/>
      <c r="G53" s="318">
        <f t="shared" si="17"/>
        <v>0</v>
      </c>
      <c r="H53" s="319">
        <f t="shared" si="18"/>
        <v>0</v>
      </c>
      <c r="I53" s="320">
        <f t="shared" si="19"/>
        <v>0</v>
      </c>
      <c r="J53" s="514"/>
      <c r="K53" s="511"/>
      <c r="L53" s="511"/>
      <c r="M53" s="511"/>
      <c r="N53" s="511"/>
      <c r="O53" s="511"/>
      <c r="P53" s="511"/>
      <c r="Q53" s="513"/>
      <c r="R53" s="513"/>
      <c r="S53" s="513"/>
      <c r="T53" s="513"/>
      <c r="U53" s="513"/>
      <c r="V53" s="513"/>
      <c r="W53" s="513"/>
      <c r="X53" s="513"/>
      <c r="Y53" s="511"/>
      <c r="Z53" s="511"/>
      <c r="AA53" s="511"/>
    </row>
    <row r="54" spans="1:27" s="178" customFormat="1" ht="14.25" x14ac:dyDescent="0.2">
      <c r="A54" s="552" t="str">
        <f t="shared" si="20"/>
        <v>People receiving venetoclax and obinutuzumab</v>
      </c>
      <c r="B54" s="627">
        <f>'Resource impact over time'!B92</f>
        <v>0</v>
      </c>
      <c r="C54" s="316">
        <f>'Resource impact over time'!G92</f>
        <v>0</v>
      </c>
      <c r="D54" s="317">
        <f>'Resource impact over time'!L92</f>
        <v>0</v>
      </c>
      <c r="E54" s="304">
        <f t="shared" si="16"/>
        <v>0</v>
      </c>
      <c r="F54" s="237"/>
      <c r="G54" s="318">
        <f t="shared" si="17"/>
        <v>0</v>
      </c>
      <c r="H54" s="319">
        <f t="shared" si="18"/>
        <v>0</v>
      </c>
      <c r="I54" s="320">
        <f t="shared" si="19"/>
        <v>0</v>
      </c>
      <c r="J54" s="514"/>
      <c r="K54" s="511"/>
      <c r="L54" s="511"/>
      <c r="M54" s="511"/>
      <c r="N54" s="511"/>
      <c r="O54" s="511"/>
      <c r="P54" s="511"/>
      <c r="Q54" s="513"/>
      <c r="R54" s="513"/>
      <c r="S54" s="513"/>
      <c r="T54" s="513"/>
      <c r="U54" s="513"/>
      <c r="V54" s="513"/>
      <c r="W54" s="513"/>
      <c r="X54" s="513"/>
      <c r="Y54" s="511"/>
      <c r="Z54" s="511"/>
      <c r="AA54" s="511"/>
    </row>
    <row r="55" spans="1:27" ht="15.75" thickBot="1" x14ac:dyDescent="0.3">
      <c r="A55" s="187" t="s">
        <v>762</v>
      </c>
      <c r="B55" s="234"/>
      <c r="C55" s="235"/>
      <c r="D55" s="282"/>
      <c r="E55" s="278"/>
      <c r="F55" s="233"/>
      <c r="G55" s="236">
        <f>SUM(G32:G54)</f>
        <v>0</v>
      </c>
      <c r="H55" s="236">
        <f t="shared" ref="H55:I55" si="21">SUM(H32:H54)</f>
        <v>0</v>
      </c>
      <c r="I55" s="236">
        <f t="shared" si="21"/>
        <v>0</v>
      </c>
      <c r="J55" s="512"/>
      <c r="K55" s="513"/>
      <c r="L55" s="513"/>
      <c r="M55" s="513"/>
      <c r="N55" s="513"/>
      <c r="O55" s="513"/>
      <c r="P55" s="513"/>
      <c r="Q55" s="513"/>
      <c r="R55" s="513"/>
      <c r="S55" s="513"/>
      <c r="T55" s="513"/>
      <c r="U55" s="513"/>
      <c r="V55" s="513"/>
      <c r="W55" s="513"/>
      <c r="X55" s="513"/>
      <c r="Y55" s="513"/>
      <c r="Z55" s="513"/>
      <c r="AA55" s="513"/>
    </row>
    <row r="56" spans="1:27" x14ac:dyDescent="0.25">
      <c r="A56" s="241"/>
      <c r="C56" s="71"/>
      <c r="G56" s="321"/>
      <c r="H56" s="321"/>
      <c r="I56" s="321"/>
      <c r="J56" s="513"/>
      <c r="K56" s="513"/>
      <c r="L56" s="513"/>
      <c r="M56" s="513"/>
      <c r="N56" s="513"/>
      <c r="O56" s="513"/>
      <c r="P56" s="513"/>
      <c r="Q56" s="513"/>
      <c r="R56" s="513"/>
      <c r="S56" s="513"/>
      <c r="T56" s="513"/>
      <c r="U56" s="513"/>
      <c r="V56" s="513"/>
      <c r="W56" s="513"/>
      <c r="X56" s="513"/>
      <c r="Y56" s="513"/>
      <c r="Z56" s="513"/>
      <c r="AA56" s="513"/>
    </row>
    <row r="57" spans="1:27" thickBot="1" x14ac:dyDescent="0.25">
      <c r="A57" s="212"/>
      <c r="B57" s="231"/>
      <c r="C57" s="212"/>
      <c r="D57" s="227"/>
      <c r="E57" s="227"/>
      <c r="F57" s="227"/>
      <c r="G57" s="232"/>
      <c r="H57" s="232"/>
      <c r="I57" s="232"/>
      <c r="J57" s="513"/>
      <c r="K57" s="513"/>
      <c r="L57" s="513"/>
      <c r="M57" s="513"/>
      <c r="N57" s="513"/>
      <c r="O57" s="513"/>
      <c r="P57" s="513"/>
      <c r="Q57" s="513"/>
      <c r="R57" s="513"/>
      <c r="S57" s="513"/>
      <c r="T57" s="513"/>
      <c r="U57" s="513"/>
      <c r="V57" s="513"/>
      <c r="W57" s="513"/>
      <c r="X57" s="513"/>
      <c r="Y57" s="513"/>
      <c r="Z57" s="513"/>
      <c r="AA57" s="513"/>
    </row>
    <row r="58" spans="1:27" s="178" customFormat="1" ht="30" customHeight="1" thickBot="1" x14ac:dyDescent="0.3">
      <c r="A58" s="188" t="s">
        <v>763</v>
      </c>
      <c r="B58" s="273" t="s">
        <v>1</v>
      </c>
      <c r="C58" s="274" t="s">
        <v>1</v>
      </c>
      <c r="D58" s="274" t="s">
        <v>1</v>
      </c>
      <c r="E58" s="274" t="s">
        <v>1</v>
      </c>
      <c r="F58" s="238"/>
      <c r="G58" s="239">
        <f>G28+G55</f>
        <v>0</v>
      </c>
      <c r="H58" s="281">
        <f>H28+H55</f>
        <v>0</v>
      </c>
      <c r="I58" s="240">
        <f>I28+I55</f>
        <v>0</v>
      </c>
      <c r="J58" s="511"/>
      <c r="K58" s="511"/>
      <c r="L58" s="511"/>
      <c r="M58" s="511"/>
      <c r="N58" s="511"/>
      <c r="O58" s="511"/>
      <c r="P58" s="511"/>
      <c r="Q58" s="511"/>
      <c r="R58" s="511"/>
      <c r="S58" s="511"/>
      <c r="T58" s="511"/>
      <c r="U58" s="511"/>
      <c r="V58" s="511"/>
      <c r="W58" s="511"/>
      <c r="X58" s="511"/>
      <c r="Y58" s="511"/>
      <c r="Z58" s="511"/>
      <c r="AA58" s="511"/>
    </row>
    <row r="59" spans="1:27" ht="16.5" customHeight="1" thickBot="1" x14ac:dyDescent="0.25">
      <c r="A59" s="212" t="s">
        <v>1</v>
      </c>
      <c r="B59" s="231" t="s">
        <v>1</v>
      </c>
      <c r="C59" s="212" t="s">
        <v>1</v>
      </c>
      <c r="D59" s="227" t="s">
        <v>1</v>
      </c>
      <c r="E59" s="227" t="s">
        <v>1</v>
      </c>
      <c r="F59" s="227" t="s">
        <v>1</v>
      </c>
      <c r="G59" s="232" t="s">
        <v>1</v>
      </c>
      <c r="H59" s="232" t="s">
        <v>1</v>
      </c>
      <c r="I59" s="232" t="s">
        <v>1</v>
      </c>
      <c r="J59" s="513"/>
      <c r="K59" s="513"/>
      <c r="L59" s="513"/>
      <c r="M59" s="513"/>
      <c r="N59" s="513"/>
      <c r="O59" s="513"/>
      <c r="P59" s="513"/>
      <c r="Q59" s="513"/>
      <c r="R59" s="513"/>
      <c r="S59" s="513"/>
      <c r="T59" s="513"/>
      <c r="U59" s="513"/>
      <c r="V59" s="513"/>
      <c r="W59" s="513"/>
      <c r="X59" s="513"/>
      <c r="Y59" s="513"/>
      <c r="Z59" s="513"/>
      <c r="AA59" s="513"/>
    </row>
    <row r="60" spans="1:27" s="178" customFormat="1" ht="30" customHeight="1" thickBot="1" x14ac:dyDescent="0.3">
      <c r="A60" s="188" t="s">
        <v>764</v>
      </c>
      <c r="B60" s="273" t="s">
        <v>1</v>
      </c>
      <c r="C60" s="274" t="s">
        <v>1</v>
      </c>
      <c r="D60" s="274" t="s">
        <v>1</v>
      </c>
      <c r="E60" s="274" t="s">
        <v>1</v>
      </c>
      <c r="F60" s="238"/>
      <c r="G60" s="239">
        <f>G28</f>
        <v>0</v>
      </c>
      <c r="H60" s="281">
        <f>H28</f>
        <v>0</v>
      </c>
      <c r="I60" s="240">
        <f t="shared" ref="I60" si="22">I28</f>
        <v>0</v>
      </c>
      <c r="J60" s="511"/>
      <c r="K60" s="511"/>
      <c r="L60" s="511"/>
      <c r="M60" s="511"/>
      <c r="N60" s="511"/>
      <c r="O60" s="511"/>
      <c r="P60" s="511"/>
      <c r="Q60" s="511"/>
      <c r="R60" s="511"/>
      <c r="S60" s="511"/>
      <c r="T60" s="511"/>
      <c r="U60" s="511"/>
      <c r="V60" s="511"/>
      <c r="W60" s="511"/>
      <c r="X60" s="511"/>
      <c r="Y60" s="511"/>
      <c r="Z60" s="511"/>
      <c r="AA60" s="511"/>
    </row>
    <row r="61" spans="1:27" s="178" customFormat="1" ht="16.5" customHeight="1" thickBot="1" x14ac:dyDescent="0.3">
      <c r="A61" s="211" t="s">
        <v>1</v>
      </c>
      <c r="B61" s="315" t="s">
        <v>1</v>
      </c>
      <c r="C61" s="211" t="s">
        <v>1</v>
      </c>
      <c r="D61" s="230" t="s">
        <v>1</v>
      </c>
      <c r="E61" s="230" t="s">
        <v>1</v>
      </c>
      <c r="F61" s="230" t="s">
        <v>1</v>
      </c>
      <c r="G61" s="322" t="s">
        <v>1</v>
      </c>
      <c r="H61" s="322" t="s">
        <v>1</v>
      </c>
      <c r="I61" s="322" t="s">
        <v>1</v>
      </c>
      <c r="J61" s="511"/>
      <c r="K61" s="511"/>
      <c r="L61" s="511"/>
      <c r="M61" s="511"/>
      <c r="N61" s="511"/>
      <c r="O61" s="511"/>
      <c r="P61" s="511"/>
      <c r="Q61" s="511"/>
      <c r="R61" s="511"/>
      <c r="S61" s="511"/>
      <c r="T61" s="511"/>
      <c r="U61" s="511"/>
      <c r="V61" s="511"/>
      <c r="W61" s="511"/>
      <c r="X61" s="511"/>
      <c r="Y61" s="511"/>
      <c r="Z61" s="511"/>
      <c r="AA61" s="511"/>
    </row>
    <row r="62" spans="1:27" s="178" customFormat="1" ht="30" customHeight="1" thickBot="1" x14ac:dyDescent="0.3">
      <c r="A62" s="188" t="s">
        <v>765</v>
      </c>
      <c r="B62" s="273" t="s">
        <v>1</v>
      </c>
      <c r="C62" s="274" t="s">
        <v>1</v>
      </c>
      <c r="D62" s="274" t="s">
        <v>1</v>
      </c>
      <c r="E62" s="274" t="s">
        <v>1</v>
      </c>
      <c r="F62" s="238"/>
      <c r="G62" s="239">
        <f>G55</f>
        <v>0</v>
      </c>
      <c r="H62" s="281">
        <f>H55</f>
        <v>0</v>
      </c>
      <c r="I62" s="240">
        <f t="shared" ref="I62" si="23">I55</f>
        <v>0</v>
      </c>
      <c r="J62" s="511"/>
      <c r="K62" s="511"/>
      <c r="L62" s="511"/>
      <c r="M62" s="511"/>
      <c r="N62" s="511"/>
      <c r="O62" s="511"/>
      <c r="P62" s="511"/>
      <c r="Q62" s="511"/>
      <c r="R62" s="511"/>
      <c r="S62" s="511"/>
      <c r="T62" s="511"/>
      <c r="U62" s="511"/>
      <c r="V62" s="511"/>
      <c r="W62" s="511"/>
      <c r="X62" s="511"/>
      <c r="Y62" s="511"/>
      <c r="Z62" s="511"/>
      <c r="AA62" s="511"/>
    </row>
    <row r="63" spans="1:27" ht="16.5" customHeight="1" x14ac:dyDescent="0.2">
      <c r="A63" s="212" t="s">
        <v>1</v>
      </c>
      <c r="B63" s="231" t="s">
        <v>1</v>
      </c>
      <c r="C63" s="212" t="s">
        <v>1</v>
      </c>
      <c r="D63" s="227" t="s">
        <v>1</v>
      </c>
      <c r="E63" s="227" t="s">
        <v>1</v>
      </c>
      <c r="F63" s="227" t="s">
        <v>1</v>
      </c>
      <c r="G63" s="232" t="s">
        <v>1</v>
      </c>
      <c r="H63" s="232" t="s">
        <v>1</v>
      </c>
      <c r="I63" s="232" t="s">
        <v>1</v>
      </c>
      <c r="J63" s="513"/>
      <c r="K63" s="513"/>
      <c r="L63" s="513"/>
      <c r="M63" s="513"/>
      <c r="N63" s="513"/>
      <c r="O63" s="513"/>
      <c r="P63" s="513"/>
      <c r="Q63" s="513"/>
      <c r="R63" s="513"/>
      <c r="S63" s="513"/>
      <c r="T63" s="513"/>
      <c r="U63" s="513"/>
      <c r="V63" s="513"/>
      <c r="W63" s="513"/>
      <c r="X63" s="513"/>
      <c r="Y63" s="513"/>
      <c r="Z63" s="513"/>
      <c r="AA63" s="513"/>
    </row>
    <row r="64" spans="1:27" x14ac:dyDescent="0.2">
      <c r="A64" s="189"/>
      <c r="J64" s="513"/>
      <c r="K64" s="513"/>
      <c r="L64" s="513"/>
      <c r="M64" s="513"/>
      <c r="N64" s="513"/>
      <c r="O64" s="513"/>
      <c r="P64" s="513"/>
      <c r="Q64" s="513"/>
      <c r="R64" s="513"/>
      <c r="S64" s="513"/>
      <c r="T64" s="513"/>
      <c r="U64" s="513"/>
      <c r="V64" s="513"/>
      <c r="W64" s="513"/>
      <c r="X64" s="513"/>
      <c r="Y64" s="513"/>
      <c r="Z64" s="513"/>
      <c r="AA64" s="513"/>
    </row>
    <row r="65" spans="1:27" x14ac:dyDescent="0.2">
      <c r="A65" s="189"/>
      <c r="J65" s="513"/>
      <c r="K65" s="513"/>
      <c r="L65" s="513"/>
      <c r="M65" s="513"/>
      <c r="N65" s="513"/>
      <c r="O65" s="513"/>
      <c r="P65" s="513"/>
      <c r="Q65" s="513"/>
      <c r="R65" s="513"/>
      <c r="S65" s="513"/>
      <c r="T65" s="513"/>
      <c r="U65" s="513"/>
      <c r="V65" s="513"/>
      <c r="W65" s="513"/>
      <c r="X65" s="513"/>
      <c r="Y65" s="513"/>
      <c r="Z65" s="513"/>
      <c r="AA65" s="513"/>
    </row>
    <row r="66" spans="1:27" x14ac:dyDescent="0.2">
      <c r="A66" s="189"/>
    </row>
    <row r="67" spans="1:27" x14ac:dyDescent="0.2">
      <c r="A67" s="189"/>
    </row>
    <row r="68" spans="1:27" x14ac:dyDescent="0.2">
      <c r="A68" s="189"/>
    </row>
    <row r="69" spans="1:27" x14ac:dyDescent="0.2">
      <c r="A69" s="189"/>
    </row>
    <row r="70" spans="1:27" x14ac:dyDescent="0.2">
      <c r="A70" s="189"/>
    </row>
    <row r="71" spans="1:27" x14ac:dyDescent="0.2">
      <c r="A71" s="189"/>
    </row>
    <row r="72" spans="1:27" x14ac:dyDescent="0.2">
      <c r="A72" s="189"/>
    </row>
    <row r="73" spans="1:27" x14ac:dyDescent="0.2">
      <c r="A73" s="189"/>
    </row>
    <row r="74" spans="1:27" x14ac:dyDescent="0.2">
      <c r="A74" s="189"/>
    </row>
    <row r="75" spans="1:27" s="242" customFormat="1" x14ac:dyDescent="0.2">
      <c r="A75" s="189"/>
      <c r="B75" s="241"/>
      <c r="C75" s="2"/>
      <c r="D75" s="71"/>
      <c r="E75" s="71"/>
      <c r="F75" s="71"/>
    </row>
    <row r="76" spans="1:27" s="242" customFormat="1" x14ac:dyDescent="0.2">
      <c r="A76" s="189"/>
      <c r="B76" s="241"/>
      <c r="C76" s="2"/>
      <c r="D76" s="71"/>
      <c r="E76" s="71"/>
      <c r="F76" s="71"/>
    </row>
    <row r="77" spans="1:27" s="242" customFormat="1" x14ac:dyDescent="0.2">
      <c r="A77" s="189"/>
      <c r="B77" s="241"/>
      <c r="C77" s="2"/>
      <c r="D77" s="71"/>
      <c r="E77" s="71"/>
      <c r="F77" s="71"/>
    </row>
    <row r="78" spans="1:27" s="242" customFormat="1" x14ac:dyDescent="0.2">
      <c r="A78" s="189"/>
      <c r="B78" s="241"/>
      <c r="C78" s="2"/>
      <c r="D78" s="71"/>
      <c r="E78" s="71"/>
      <c r="F78" s="71"/>
    </row>
    <row r="79" spans="1:27" s="242" customFormat="1" x14ac:dyDescent="0.2">
      <c r="A79" s="189"/>
      <c r="B79" s="241"/>
      <c r="C79" s="2"/>
      <c r="D79" s="71"/>
      <c r="E79" s="71"/>
      <c r="F79" s="71"/>
    </row>
    <row r="80" spans="1:27" s="242" customFormat="1" x14ac:dyDescent="0.2">
      <c r="A80" s="189"/>
      <c r="B80" s="241"/>
      <c r="C80" s="2"/>
      <c r="D80" s="71"/>
      <c r="E80" s="71"/>
      <c r="F80" s="71"/>
    </row>
    <row r="81" spans="1:6" s="242" customFormat="1" x14ac:dyDescent="0.2">
      <c r="A81" s="189"/>
      <c r="B81" s="241"/>
      <c r="C81" s="2"/>
      <c r="D81" s="71"/>
      <c r="E81" s="71"/>
      <c r="F81" s="71"/>
    </row>
    <row r="82" spans="1:6" s="242" customFormat="1" x14ac:dyDescent="0.2">
      <c r="A82" s="189"/>
      <c r="B82" s="241"/>
      <c r="C82" s="2"/>
      <c r="D82" s="71"/>
      <c r="E82" s="71"/>
      <c r="F82" s="71"/>
    </row>
    <row r="83" spans="1:6" s="242" customFormat="1" x14ac:dyDescent="0.2">
      <c r="A83" s="189"/>
      <c r="B83" s="241"/>
      <c r="C83" s="2"/>
      <c r="D83" s="71"/>
      <c r="E83" s="71"/>
      <c r="F83" s="71"/>
    </row>
    <row r="84" spans="1:6" s="242" customFormat="1" x14ac:dyDescent="0.2">
      <c r="A84" s="189"/>
      <c r="B84" s="241"/>
      <c r="C84" s="2"/>
      <c r="D84" s="71"/>
      <c r="E84" s="71"/>
      <c r="F84" s="71"/>
    </row>
    <row r="85" spans="1:6" s="242" customFormat="1" x14ac:dyDescent="0.2">
      <c r="A85" s="189"/>
      <c r="B85" s="241"/>
      <c r="C85" s="2"/>
      <c r="D85" s="71"/>
      <c r="E85" s="71"/>
      <c r="F85" s="71"/>
    </row>
    <row r="86" spans="1:6" s="242" customFormat="1" x14ac:dyDescent="0.2">
      <c r="A86" s="189"/>
      <c r="B86" s="241"/>
      <c r="C86" s="2"/>
      <c r="D86" s="71"/>
      <c r="E86" s="71"/>
      <c r="F86" s="71"/>
    </row>
    <row r="87" spans="1:6" s="242" customFormat="1" x14ac:dyDescent="0.2">
      <c r="A87" s="189"/>
      <c r="B87" s="241"/>
      <c r="C87" s="2"/>
      <c r="D87" s="71"/>
      <c r="E87" s="71"/>
      <c r="F87" s="71"/>
    </row>
    <row r="88" spans="1:6" s="242" customFormat="1" x14ac:dyDescent="0.2">
      <c r="A88" s="189"/>
      <c r="B88" s="241"/>
      <c r="C88" s="2"/>
      <c r="D88" s="71"/>
      <c r="E88" s="71"/>
      <c r="F88" s="71"/>
    </row>
    <row r="89" spans="1:6" s="242" customFormat="1" x14ac:dyDescent="0.2">
      <c r="A89" s="189"/>
      <c r="B89" s="241"/>
      <c r="C89" s="2"/>
      <c r="D89" s="71"/>
      <c r="E89" s="71"/>
      <c r="F89" s="71"/>
    </row>
    <row r="90" spans="1:6" s="242" customFormat="1" x14ac:dyDescent="0.2">
      <c r="A90" s="189"/>
      <c r="B90" s="241"/>
      <c r="C90" s="2"/>
      <c r="D90" s="71"/>
      <c r="E90" s="71"/>
      <c r="F90" s="71"/>
    </row>
    <row r="91" spans="1:6" s="242" customFormat="1" x14ac:dyDescent="0.2">
      <c r="A91" s="189"/>
      <c r="B91" s="241"/>
      <c r="C91" s="2"/>
      <c r="D91" s="71"/>
      <c r="E91" s="71"/>
      <c r="F91" s="71"/>
    </row>
    <row r="92" spans="1:6" s="242" customFormat="1" x14ac:dyDescent="0.2">
      <c r="A92" s="189"/>
      <c r="B92" s="241"/>
      <c r="C92" s="2"/>
      <c r="D92" s="71"/>
      <c r="E92" s="71"/>
      <c r="F92" s="71"/>
    </row>
    <row r="93" spans="1:6" s="242" customFormat="1" x14ac:dyDescent="0.2">
      <c r="A93" s="189"/>
      <c r="B93" s="241"/>
      <c r="C93" s="2"/>
      <c r="D93" s="71"/>
      <c r="E93" s="71"/>
      <c r="F93" s="71"/>
    </row>
    <row r="94" spans="1:6" s="242" customFormat="1" x14ac:dyDescent="0.2">
      <c r="A94" s="189"/>
      <c r="B94" s="241"/>
      <c r="C94" s="2"/>
      <c r="D94" s="71"/>
      <c r="E94" s="71"/>
      <c r="F94" s="71"/>
    </row>
    <row r="95" spans="1:6" s="242" customFormat="1" x14ac:dyDescent="0.2">
      <c r="A95" s="189"/>
      <c r="B95" s="241"/>
      <c r="C95" s="2"/>
      <c r="D95" s="71"/>
      <c r="E95" s="71"/>
      <c r="F95" s="71"/>
    </row>
    <row r="96" spans="1:6" s="242" customFormat="1" x14ac:dyDescent="0.2">
      <c r="A96" s="189"/>
      <c r="B96" s="241"/>
      <c r="C96" s="2"/>
      <c r="D96" s="71"/>
      <c r="E96" s="71"/>
      <c r="F96" s="71"/>
    </row>
    <row r="97" spans="1:6" s="242" customFormat="1" x14ac:dyDescent="0.2">
      <c r="A97" s="189"/>
      <c r="B97" s="241"/>
      <c r="C97" s="2"/>
      <c r="D97" s="71"/>
      <c r="E97" s="71"/>
      <c r="F97" s="71"/>
    </row>
    <row r="98" spans="1:6" s="242" customFormat="1" x14ac:dyDescent="0.2">
      <c r="A98" s="189"/>
      <c r="B98" s="241"/>
      <c r="C98" s="2"/>
      <c r="D98" s="71"/>
      <c r="E98" s="71"/>
      <c r="F98" s="71"/>
    </row>
    <row r="99" spans="1:6" s="242" customFormat="1" x14ac:dyDescent="0.2">
      <c r="A99" s="189"/>
      <c r="B99" s="241"/>
      <c r="C99" s="2"/>
      <c r="D99" s="71"/>
      <c r="E99" s="71"/>
      <c r="F99" s="71"/>
    </row>
    <row r="100" spans="1:6" s="242" customFormat="1" x14ac:dyDescent="0.2">
      <c r="A100" s="189"/>
      <c r="B100" s="241"/>
      <c r="C100" s="2"/>
      <c r="D100" s="71"/>
      <c r="E100" s="71"/>
      <c r="F100" s="71"/>
    </row>
    <row r="101" spans="1:6" s="242" customFormat="1" x14ac:dyDescent="0.2">
      <c r="A101" s="189"/>
      <c r="B101" s="241"/>
      <c r="C101" s="2"/>
      <c r="D101" s="71"/>
      <c r="E101" s="71"/>
      <c r="F101" s="71"/>
    </row>
    <row r="102" spans="1:6" s="242" customFormat="1" x14ac:dyDescent="0.2">
      <c r="A102" s="189"/>
      <c r="B102" s="241"/>
      <c r="C102" s="2"/>
      <c r="D102" s="71"/>
      <c r="E102" s="71"/>
      <c r="F102" s="71"/>
    </row>
    <row r="103" spans="1:6" s="242" customFormat="1" x14ac:dyDescent="0.2">
      <c r="A103" s="189"/>
      <c r="B103" s="241"/>
      <c r="C103" s="2"/>
      <c r="D103" s="71"/>
      <c r="E103" s="71"/>
      <c r="F103" s="71"/>
    </row>
    <row r="104" spans="1:6" s="242" customFormat="1" x14ac:dyDescent="0.2">
      <c r="A104" s="189"/>
      <c r="B104" s="241"/>
      <c r="C104" s="2"/>
      <c r="D104" s="71"/>
      <c r="E104" s="71"/>
      <c r="F104" s="71"/>
    </row>
    <row r="105" spans="1:6" s="242" customFormat="1" x14ac:dyDescent="0.2">
      <c r="A105" s="189"/>
      <c r="B105" s="241"/>
      <c r="C105" s="2"/>
      <c r="D105" s="71"/>
      <c r="E105" s="71"/>
      <c r="F105" s="71"/>
    </row>
    <row r="106" spans="1:6" s="242" customFormat="1" x14ac:dyDescent="0.2">
      <c r="A106" s="189"/>
      <c r="B106" s="241"/>
      <c r="C106" s="2"/>
      <c r="D106" s="71"/>
      <c r="E106" s="71"/>
      <c r="F106" s="71"/>
    </row>
    <row r="107" spans="1:6" s="242" customFormat="1" x14ac:dyDescent="0.2">
      <c r="A107" s="189"/>
      <c r="B107" s="241"/>
      <c r="C107" s="2"/>
      <c r="D107" s="71"/>
      <c r="E107" s="71"/>
      <c r="F107" s="71"/>
    </row>
    <row r="108" spans="1:6" s="242" customFormat="1" x14ac:dyDescent="0.2">
      <c r="A108" s="189"/>
      <c r="B108" s="241"/>
      <c r="C108" s="2"/>
      <c r="D108" s="71"/>
      <c r="E108" s="71"/>
      <c r="F108" s="71"/>
    </row>
    <row r="109" spans="1:6" s="242" customFormat="1" x14ac:dyDescent="0.2">
      <c r="A109" s="189"/>
      <c r="B109" s="241"/>
      <c r="C109" s="2"/>
      <c r="D109" s="71"/>
      <c r="E109" s="71"/>
      <c r="F109" s="71"/>
    </row>
    <row r="110" spans="1:6" s="242" customFormat="1" x14ac:dyDescent="0.2">
      <c r="A110" s="189"/>
      <c r="B110" s="241"/>
      <c r="C110" s="2"/>
      <c r="D110" s="71"/>
      <c r="E110" s="71"/>
      <c r="F110" s="71"/>
    </row>
    <row r="111" spans="1:6" s="242" customFormat="1" x14ac:dyDescent="0.2">
      <c r="A111" s="189"/>
      <c r="B111" s="241"/>
      <c r="C111" s="2"/>
      <c r="D111" s="71"/>
      <c r="E111" s="71"/>
      <c r="F111" s="71"/>
    </row>
    <row r="112" spans="1:6" s="242" customFormat="1" x14ac:dyDescent="0.2">
      <c r="A112" s="189"/>
      <c r="B112" s="241"/>
      <c r="C112" s="2"/>
      <c r="D112" s="71"/>
      <c r="E112" s="71"/>
      <c r="F112" s="71"/>
    </row>
    <row r="113" spans="1:6" s="242" customFormat="1" x14ac:dyDescent="0.2">
      <c r="A113" s="189"/>
      <c r="B113" s="241"/>
      <c r="C113" s="2"/>
      <c r="D113" s="71"/>
      <c r="E113" s="71"/>
      <c r="F113" s="71"/>
    </row>
    <row r="114" spans="1:6" s="242" customFormat="1" x14ac:dyDescent="0.2">
      <c r="A114" s="189"/>
      <c r="B114" s="241"/>
      <c r="C114" s="2"/>
      <c r="D114" s="71"/>
      <c r="E114" s="71"/>
      <c r="F114" s="71"/>
    </row>
    <row r="115" spans="1:6" s="242" customFormat="1" x14ac:dyDescent="0.2">
      <c r="A115" s="189"/>
      <c r="B115" s="241"/>
      <c r="C115" s="2"/>
      <c r="D115" s="71"/>
      <c r="E115" s="71"/>
      <c r="F115" s="71"/>
    </row>
    <row r="116" spans="1:6" s="242" customFormat="1" x14ac:dyDescent="0.2">
      <c r="A116" s="189"/>
      <c r="B116" s="241"/>
      <c r="C116" s="2"/>
      <c r="D116" s="71"/>
      <c r="E116" s="71"/>
      <c r="F116" s="71"/>
    </row>
    <row r="117" spans="1:6" s="242" customFormat="1" x14ac:dyDescent="0.2">
      <c r="A117" s="189"/>
      <c r="B117" s="241"/>
      <c r="C117" s="2"/>
      <c r="D117" s="71"/>
      <c r="E117" s="71"/>
      <c r="F117" s="71"/>
    </row>
    <row r="118" spans="1:6" s="242" customFormat="1" x14ac:dyDescent="0.2">
      <c r="A118" s="189"/>
      <c r="B118" s="241"/>
      <c r="C118" s="2"/>
      <c r="D118" s="71"/>
      <c r="E118" s="71"/>
      <c r="F118" s="71"/>
    </row>
    <row r="119" spans="1:6" s="242" customFormat="1" x14ac:dyDescent="0.2">
      <c r="A119" s="189"/>
      <c r="B119" s="241"/>
      <c r="C119" s="2"/>
      <c r="D119" s="71"/>
      <c r="E119" s="71"/>
      <c r="F119" s="71"/>
    </row>
    <row r="120" spans="1:6" s="242" customFormat="1" x14ac:dyDescent="0.2">
      <c r="A120" s="189"/>
      <c r="B120" s="241"/>
      <c r="C120" s="2"/>
      <c r="D120" s="71"/>
      <c r="E120" s="71"/>
      <c r="F120" s="71"/>
    </row>
    <row r="121" spans="1:6" s="242" customFormat="1" x14ac:dyDescent="0.2">
      <c r="A121" s="189"/>
      <c r="B121" s="241"/>
      <c r="C121" s="2"/>
      <c r="D121" s="71"/>
      <c r="E121" s="71"/>
      <c r="F121" s="71"/>
    </row>
    <row r="122" spans="1:6" s="242" customFormat="1" x14ac:dyDescent="0.2">
      <c r="A122" s="189"/>
      <c r="B122" s="241"/>
      <c r="C122" s="2"/>
      <c r="D122" s="71"/>
      <c r="E122" s="71"/>
      <c r="F122" s="71"/>
    </row>
    <row r="123" spans="1:6" s="242" customFormat="1" x14ac:dyDescent="0.2">
      <c r="A123" s="189"/>
      <c r="B123" s="241"/>
      <c r="C123" s="2"/>
      <c r="D123" s="71"/>
      <c r="E123" s="71"/>
      <c r="F123" s="71"/>
    </row>
    <row r="124" spans="1:6" s="242" customFormat="1" x14ac:dyDescent="0.2">
      <c r="A124" s="189"/>
      <c r="B124" s="241"/>
      <c r="C124" s="2"/>
      <c r="D124" s="71"/>
      <c r="E124" s="71"/>
      <c r="F124" s="71"/>
    </row>
    <row r="125" spans="1:6" s="242" customFormat="1" x14ac:dyDescent="0.2">
      <c r="A125" s="189"/>
      <c r="B125" s="241"/>
      <c r="C125" s="2"/>
      <c r="D125" s="71"/>
      <c r="E125" s="71"/>
      <c r="F125" s="71"/>
    </row>
    <row r="126" spans="1:6" s="242" customFormat="1" x14ac:dyDescent="0.2">
      <c r="A126" s="189"/>
      <c r="B126" s="241"/>
      <c r="C126" s="2"/>
      <c r="D126" s="71"/>
      <c r="E126" s="71"/>
      <c r="F126" s="71"/>
    </row>
    <row r="127" spans="1:6" s="242" customFormat="1" x14ac:dyDescent="0.2">
      <c r="A127" s="189"/>
      <c r="B127" s="241"/>
      <c r="C127" s="2"/>
      <c r="D127" s="71"/>
      <c r="E127" s="71"/>
      <c r="F127" s="71"/>
    </row>
    <row r="128" spans="1:6" s="242" customFormat="1" x14ac:dyDescent="0.2">
      <c r="A128" s="189"/>
      <c r="B128" s="241"/>
      <c r="C128" s="2"/>
      <c r="D128" s="71"/>
      <c r="E128" s="71"/>
      <c r="F128" s="71"/>
    </row>
    <row r="129" spans="1:6" s="242" customFormat="1" x14ac:dyDescent="0.2">
      <c r="A129" s="189"/>
      <c r="B129" s="241"/>
      <c r="C129" s="2"/>
      <c r="D129" s="71"/>
      <c r="E129" s="71"/>
      <c r="F129" s="71"/>
    </row>
    <row r="130" spans="1:6" s="242" customFormat="1" x14ac:dyDescent="0.2">
      <c r="A130" s="189"/>
      <c r="B130" s="241"/>
      <c r="C130" s="2"/>
      <c r="D130" s="71"/>
      <c r="E130" s="71"/>
      <c r="F130" s="71"/>
    </row>
    <row r="131" spans="1:6" s="242" customFormat="1" x14ac:dyDescent="0.2">
      <c r="A131" s="189"/>
      <c r="B131" s="241"/>
      <c r="C131" s="2"/>
      <c r="D131" s="71"/>
      <c r="E131" s="71"/>
      <c r="F131" s="71"/>
    </row>
    <row r="132" spans="1:6" s="242" customFormat="1" x14ac:dyDescent="0.2">
      <c r="A132" s="189"/>
      <c r="B132" s="241"/>
      <c r="C132" s="2"/>
      <c r="D132" s="71"/>
      <c r="E132" s="71"/>
      <c r="F132" s="71"/>
    </row>
    <row r="133" spans="1:6" s="242" customFormat="1" x14ac:dyDescent="0.2">
      <c r="A133" s="189"/>
      <c r="B133" s="241"/>
      <c r="C133" s="2"/>
      <c r="D133" s="71"/>
      <c r="E133" s="71"/>
      <c r="F133" s="71"/>
    </row>
    <row r="134" spans="1:6" s="242" customFormat="1" x14ac:dyDescent="0.2">
      <c r="A134" s="189"/>
      <c r="B134" s="241"/>
      <c r="C134" s="2"/>
      <c r="D134" s="71"/>
      <c r="E134" s="71"/>
      <c r="F134" s="71"/>
    </row>
    <row r="135" spans="1:6" s="242" customFormat="1" x14ac:dyDescent="0.2">
      <c r="A135" s="189"/>
      <c r="B135" s="241"/>
      <c r="C135" s="2"/>
      <c r="D135" s="71"/>
      <c r="E135" s="71"/>
      <c r="F135" s="71"/>
    </row>
    <row r="136" spans="1:6" s="242" customFormat="1" x14ac:dyDescent="0.2">
      <c r="A136" s="189"/>
      <c r="B136" s="241"/>
      <c r="C136" s="2"/>
      <c r="D136" s="71"/>
      <c r="E136" s="71"/>
      <c r="F136" s="71"/>
    </row>
    <row r="137" spans="1:6" s="242" customFormat="1" x14ac:dyDescent="0.2">
      <c r="A137" s="189"/>
      <c r="B137" s="241"/>
      <c r="C137" s="2"/>
      <c r="D137" s="71"/>
      <c r="E137" s="71"/>
      <c r="F137" s="71"/>
    </row>
    <row r="138" spans="1:6" s="242" customFormat="1" x14ac:dyDescent="0.2">
      <c r="A138" s="189"/>
      <c r="B138" s="241"/>
      <c r="C138" s="2"/>
      <c r="D138" s="71"/>
      <c r="E138" s="71"/>
      <c r="F138" s="71"/>
    </row>
    <row r="139" spans="1:6" s="242" customFormat="1" x14ac:dyDescent="0.2">
      <c r="A139" s="189"/>
      <c r="B139" s="241"/>
      <c r="C139" s="2"/>
      <c r="D139" s="71"/>
      <c r="E139" s="71"/>
      <c r="F139" s="71"/>
    </row>
    <row r="140" spans="1:6" s="242" customFormat="1" x14ac:dyDescent="0.2">
      <c r="A140" s="189"/>
      <c r="B140" s="241"/>
      <c r="C140" s="2"/>
      <c r="D140" s="71"/>
      <c r="E140" s="71"/>
      <c r="F140" s="71"/>
    </row>
    <row r="141" spans="1:6" s="242" customFormat="1" x14ac:dyDescent="0.2">
      <c r="A141" s="189"/>
      <c r="B141" s="241"/>
      <c r="C141" s="2"/>
      <c r="D141" s="71"/>
      <c r="E141" s="71"/>
      <c r="F141" s="71"/>
    </row>
    <row r="142" spans="1:6" s="242" customFormat="1" x14ac:dyDescent="0.2">
      <c r="A142" s="189"/>
      <c r="B142" s="241"/>
      <c r="C142" s="2"/>
      <c r="D142" s="71"/>
      <c r="E142" s="71"/>
      <c r="F142" s="71"/>
    </row>
    <row r="143" spans="1:6" s="242" customFormat="1" x14ac:dyDescent="0.2">
      <c r="A143" s="189"/>
      <c r="B143" s="241"/>
      <c r="C143" s="2"/>
      <c r="D143" s="71"/>
      <c r="E143" s="71"/>
      <c r="F143" s="71"/>
    </row>
    <row r="144" spans="1:6" s="242" customFormat="1" x14ac:dyDescent="0.2">
      <c r="A144" s="189"/>
      <c r="B144" s="241"/>
      <c r="C144" s="2"/>
      <c r="D144" s="71"/>
      <c r="E144" s="71"/>
      <c r="F144" s="71"/>
    </row>
    <row r="145" spans="1:6" s="242" customFormat="1" x14ac:dyDescent="0.2">
      <c r="A145" s="189"/>
      <c r="B145" s="241"/>
      <c r="C145" s="2"/>
      <c r="D145" s="71"/>
      <c r="E145" s="71"/>
      <c r="F145" s="71"/>
    </row>
    <row r="146" spans="1:6" s="242" customFormat="1" x14ac:dyDescent="0.2">
      <c r="A146" s="189"/>
      <c r="B146" s="241"/>
      <c r="C146" s="2"/>
      <c r="D146" s="71"/>
      <c r="E146" s="71"/>
      <c r="F146" s="71"/>
    </row>
    <row r="147" spans="1:6" s="242" customFormat="1" x14ac:dyDescent="0.2">
      <c r="A147" s="189"/>
      <c r="B147" s="241"/>
      <c r="C147" s="2"/>
      <c r="D147" s="71"/>
      <c r="E147" s="71"/>
      <c r="F147" s="71"/>
    </row>
    <row r="148" spans="1:6" s="242" customFormat="1" x14ac:dyDescent="0.2">
      <c r="A148" s="189"/>
      <c r="B148" s="241"/>
      <c r="C148" s="2"/>
      <c r="D148" s="71"/>
      <c r="E148" s="71"/>
      <c r="F148" s="71"/>
    </row>
    <row r="149" spans="1:6" s="242" customFormat="1" x14ac:dyDescent="0.2">
      <c r="A149" s="189"/>
      <c r="B149" s="241"/>
      <c r="C149" s="2"/>
      <c r="D149" s="71"/>
      <c r="E149" s="71"/>
      <c r="F149" s="71"/>
    </row>
    <row r="150" spans="1:6" s="242" customFormat="1" x14ac:dyDescent="0.2">
      <c r="A150" s="189"/>
      <c r="B150" s="241"/>
      <c r="C150" s="2"/>
      <c r="D150" s="71"/>
      <c r="E150" s="71"/>
      <c r="F150" s="71"/>
    </row>
    <row r="151" spans="1:6" s="242" customFormat="1" x14ac:dyDescent="0.2">
      <c r="A151" s="189"/>
      <c r="B151" s="241"/>
      <c r="C151" s="2"/>
      <c r="D151" s="71"/>
      <c r="E151" s="71"/>
      <c r="F151" s="71"/>
    </row>
    <row r="152" spans="1:6" s="242" customFormat="1" x14ac:dyDescent="0.2">
      <c r="A152" s="189"/>
      <c r="B152" s="241"/>
      <c r="C152" s="2"/>
      <c r="D152" s="71"/>
      <c r="E152" s="71"/>
      <c r="F152" s="71"/>
    </row>
    <row r="153" spans="1:6" s="242" customFormat="1" x14ac:dyDescent="0.2">
      <c r="A153" s="189"/>
      <c r="B153" s="241"/>
      <c r="C153" s="2"/>
      <c r="D153" s="71"/>
      <c r="E153" s="71"/>
      <c r="F153" s="71"/>
    </row>
    <row r="154" spans="1:6" s="242" customFormat="1" x14ac:dyDescent="0.2">
      <c r="A154" s="189"/>
      <c r="B154" s="241"/>
      <c r="C154" s="2"/>
      <c r="D154" s="71"/>
      <c r="E154" s="71"/>
      <c r="F154" s="71"/>
    </row>
    <row r="155" spans="1:6" s="242" customFormat="1" x14ac:dyDescent="0.2">
      <c r="A155" s="189"/>
      <c r="B155" s="241"/>
      <c r="C155" s="2"/>
      <c r="D155" s="71"/>
      <c r="E155" s="71"/>
      <c r="F155" s="71"/>
    </row>
    <row r="156" spans="1:6" s="242" customFormat="1" x14ac:dyDescent="0.2">
      <c r="A156" s="189"/>
      <c r="B156" s="241"/>
      <c r="C156" s="2"/>
      <c r="D156" s="71"/>
      <c r="E156" s="71"/>
      <c r="F156" s="71"/>
    </row>
    <row r="157" spans="1:6" s="242" customFormat="1" x14ac:dyDescent="0.2">
      <c r="A157" s="189"/>
      <c r="B157" s="241"/>
      <c r="C157" s="2"/>
      <c r="D157" s="71"/>
      <c r="E157" s="71"/>
      <c r="F157" s="71"/>
    </row>
    <row r="158" spans="1:6" s="242" customFormat="1" x14ac:dyDescent="0.2">
      <c r="A158" s="189"/>
      <c r="B158" s="241"/>
      <c r="C158" s="2"/>
      <c r="D158" s="71"/>
      <c r="E158" s="71"/>
      <c r="F158" s="71"/>
    </row>
    <row r="159" spans="1:6" s="242" customFormat="1" x14ac:dyDescent="0.2">
      <c r="A159" s="189"/>
      <c r="B159" s="241"/>
      <c r="C159" s="2"/>
      <c r="D159" s="71"/>
      <c r="E159" s="71"/>
      <c r="F159" s="71"/>
    </row>
    <row r="160" spans="1:6" s="242" customFormat="1" x14ac:dyDescent="0.2">
      <c r="A160" s="189"/>
      <c r="B160" s="241"/>
      <c r="C160" s="2"/>
      <c r="D160" s="71"/>
      <c r="E160" s="71"/>
      <c r="F160" s="71"/>
    </row>
    <row r="161" spans="1:6" s="242" customFormat="1" x14ac:dyDescent="0.2">
      <c r="A161" s="189"/>
      <c r="B161" s="241"/>
      <c r="C161" s="2"/>
      <c r="D161" s="71"/>
      <c r="E161" s="71"/>
      <c r="F161" s="71"/>
    </row>
    <row r="162" spans="1:6" s="242" customFormat="1" x14ac:dyDescent="0.2">
      <c r="A162" s="189"/>
      <c r="B162" s="241"/>
      <c r="C162" s="2"/>
      <c r="D162" s="71"/>
      <c r="E162" s="71"/>
      <c r="F162" s="71"/>
    </row>
    <row r="163" spans="1:6" s="242" customFormat="1" x14ac:dyDescent="0.2">
      <c r="A163" s="189"/>
      <c r="B163" s="241"/>
      <c r="C163" s="2"/>
      <c r="D163" s="71"/>
      <c r="E163" s="71"/>
      <c r="F163" s="71"/>
    </row>
    <row r="164" spans="1:6" s="242" customFormat="1" x14ac:dyDescent="0.2">
      <c r="A164" s="189"/>
      <c r="B164" s="241"/>
      <c r="C164" s="2"/>
      <c r="D164" s="71"/>
      <c r="E164" s="71"/>
      <c r="F164" s="71"/>
    </row>
    <row r="165" spans="1:6" s="242" customFormat="1" x14ac:dyDescent="0.2">
      <c r="A165" s="189"/>
      <c r="B165" s="241"/>
      <c r="C165" s="2"/>
      <c r="D165" s="71"/>
      <c r="E165" s="71"/>
      <c r="F165" s="71"/>
    </row>
    <row r="166" spans="1:6" s="242" customFormat="1" x14ac:dyDescent="0.2">
      <c r="A166" s="189"/>
      <c r="B166" s="241"/>
      <c r="C166" s="2"/>
      <c r="D166" s="71"/>
      <c r="E166" s="71"/>
      <c r="F166" s="71"/>
    </row>
    <row r="167" spans="1:6" s="242" customFormat="1" x14ac:dyDescent="0.2">
      <c r="A167" s="189"/>
      <c r="B167" s="241"/>
      <c r="C167" s="2"/>
      <c r="D167" s="71"/>
      <c r="E167" s="71"/>
      <c r="F167" s="71"/>
    </row>
    <row r="168" spans="1:6" s="242" customFormat="1" x14ac:dyDescent="0.2">
      <c r="A168" s="189"/>
      <c r="B168" s="241"/>
      <c r="C168" s="2"/>
      <c r="D168" s="71"/>
      <c r="E168" s="71"/>
      <c r="F168" s="71"/>
    </row>
    <row r="169" spans="1:6" s="242" customFormat="1" x14ac:dyDescent="0.2">
      <c r="A169" s="189"/>
      <c r="B169" s="241"/>
      <c r="C169" s="2"/>
      <c r="D169" s="71"/>
      <c r="E169" s="71"/>
      <c r="F169" s="71"/>
    </row>
    <row r="170" spans="1:6" s="242" customFormat="1" x14ac:dyDescent="0.2">
      <c r="A170" s="189"/>
      <c r="B170" s="241"/>
      <c r="C170" s="2"/>
      <c r="D170" s="71"/>
      <c r="E170" s="71"/>
      <c r="F170" s="71"/>
    </row>
    <row r="171" spans="1:6" s="242" customFormat="1" x14ac:dyDescent="0.2">
      <c r="A171" s="189"/>
      <c r="B171" s="241"/>
      <c r="C171" s="2"/>
      <c r="D171" s="71"/>
      <c r="E171" s="71"/>
      <c r="F171" s="71"/>
    </row>
    <row r="172" spans="1:6" s="242" customFormat="1" x14ac:dyDescent="0.2">
      <c r="A172" s="189"/>
      <c r="B172" s="241"/>
      <c r="C172" s="2"/>
      <c r="D172" s="71"/>
      <c r="E172" s="71"/>
      <c r="F172" s="71"/>
    </row>
    <row r="173" spans="1:6" s="242" customFormat="1" x14ac:dyDescent="0.2">
      <c r="A173" s="189"/>
      <c r="B173" s="241"/>
      <c r="C173" s="2"/>
      <c r="D173" s="71"/>
      <c r="E173" s="71"/>
      <c r="F173" s="71"/>
    </row>
    <row r="174" spans="1:6" s="242" customFormat="1" x14ac:dyDescent="0.2">
      <c r="A174" s="189"/>
      <c r="B174" s="241"/>
      <c r="C174" s="2"/>
      <c r="D174" s="71"/>
      <c r="E174" s="71"/>
      <c r="F174" s="71"/>
    </row>
    <row r="175" spans="1:6" s="242" customFormat="1" x14ac:dyDescent="0.2">
      <c r="A175" s="189"/>
      <c r="B175" s="241"/>
      <c r="C175" s="2"/>
      <c r="D175" s="71"/>
      <c r="E175" s="71"/>
      <c r="F175" s="71"/>
    </row>
    <row r="176" spans="1:6" s="242" customFormat="1" x14ac:dyDescent="0.2">
      <c r="A176" s="189"/>
      <c r="B176" s="241"/>
      <c r="C176" s="2"/>
      <c r="D176" s="71"/>
      <c r="E176" s="71"/>
      <c r="F176" s="71"/>
    </row>
    <row r="177" spans="1:6" s="242" customFormat="1" x14ac:dyDescent="0.2">
      <c r="A177" s="189"/>
      <c r="B177" s="241"/>
      <c r="C177" s="2"/>
      <c r="D177" s="71"/>
      <c r="E177" s="71"/>
      <c r="F177" s="71"/>
    </row>
    <row r="178" spans="1:6" s="242" customFormat="1" x14ac:dyDescent="0.2">
      <c r="A178" s="189"/>
      <c r="B178" s="241"/>
      <c r="C178" s="2"/>
      <c r="D178" s="71"/>
      <c r="E178" s="71"/>
      <c r="F178" s="71"/>
    </row>
    <row r="179" spans="1:6" s="242" customFormat="1" x14ac:dyDescent="0.2">
      <c r="A179" s="189"/>
      <c r="B179" s="241"/>
      <c r="C179" s="2"/>
      <c r="D179" s="71"/>
      <c r="E179" s="71"/>
      <c r="F179" s="71"/>
    </row>
    <row r="180" spans="1:6" s="242" customFormat="1" x14ac:dyDescent="0.2">
      <c r="A180" s="189"/>
      <c r="B180" s="241"/>
      <c r="C180" s="2"/>
      <c r="D180" s="71"/>
      <c r="E180" s="71"/>
      <c r="F180" s="71"/>
    </row>
    <row r="181" spans="1:6" s="242" customFormat="1" x14ac:dyDescent="0.2">
      <c r="A181" s="189"/>
      <c r="B181" s="241"/>
      <c r="C181" s="2"/>
      <c r="D181" s="71"/>
      <c r="E181" s="71"/>
      <c r="F181" s="71"/>
    </row>
    <row r="182" spans="1:6" s="242" customFormat="1" x14ac:dyDescent="0.2">
      <c r="A182" s="189"/>
      <c r="B182" s="241"/>
      <c r="C182" s="2"/>
      <c r="D182" s="71"/>
      <c r="E182" s="71"/>
      <c r="F182" s="71"/>
    </row>
    <row r="183" spans="1:6" s="242" customFormat="1" x14ac:dyDescent="0.2">
      <c r="A183" s="189"/>
      <c r="B183" s="241"/>
      <c r="C183" s="2"/>
      <c r="D183" s="71"/>
      <c r="E183" s="71"/>
      <c r="F183" s="71"/>
    </row>
    <row r="184" spans="1:6" s="242" customFormat="1" x14ac:dyDescent="0.2">
      <c r="A184" s="189"/>
      <c r="B184" s="241"/>
      <c r="C184" s="2"/>
      <c r="D184" s="71"/>
      <c r="E184" s="71"/>
      <c r="F184" s="71"/>
    </row>
    <row r="185" spans="1:6" s="242" customFormat="1" x14ac:dyDescent="0.2">
      <c r="A185" s="189"/>
      <c r="B185" s="241"/>
      <c r="C185" s="2"/>
      <c r="D185" s="71"/>
      <c r="E185" s="71"/>
      <c r="F185" s="71"/>
    </row>
    <row r="186" spans="1:6" s="242" customFormat="1" x14ac:dyDescent="0.2">
      <c r="A186" s="189"/>
      <c r="B186" s="241"/>
      <c r="C186" s="2"/>
      <c r="D186" s="71"/>
      <c r="E186" s="71"/>
      <c r="F186" s="71"/>
    </row>
    <row r="187" spans="1:6" s="242" customFormat="1" x14ac:dyDescent="0.2">
      <c r="A187" s="189"/>
      <c r="B187" s="241"/>
      <c r="C187" s="2"/>
      <c r="D187" s="71"/>
      <c r="E187" s="71"/>
      <c r="F187" s="71"/>
    </row>
    <row r="188" spans="1:6" s="242" customFormat="1" x14ac:dyDescent="0.2">
      <c r="A188" s="189"/>
      <c r="B188" s="241"/>
      <c r="C188" s="2"/>
      <c r="D188" s="71"/>
      <c r="E188" s="71"/>
      <c r="F188" s="71"/>
    </row>
    <row r="189" spans="1:6" s="242" customFormat="1" x14ac:dyDescent="0.2">
      <c r="A189" s="189"/>
      <c r="B189" s="241"/>
      <c r="C189" s="2"/>
      <c r="D189" s="71"/>
      <c r="E189" s="71"/>
      <c r="F189" s="71"/>
    </row>
    <row r="190" spans="1:6" s="242" customFormat="1" x14ac:dyDescent="0.2">
      <c r="A190" s="189"/>
      <c r="B190" s="241"/>
      <c r="C190" s="2"/>
      <c r="D190" s="71"/>
      <c r="E190" s="71"/>
      <c r="F190" s="71"/>
    </row>
    <row r="191" spans="1:6" s="242" customFormat="1" x14ac:dyDescent="0.2">
      <c r="A191" s="189"/>
      <c r="B191" s="241"/>
      <c r="C191" s="2"/>
      <c r="D191" s="71"/>
      <c r="E191" s="71"/>
      <c r="F191" s="71"/>
    </row>
    <row r="192" spans="1:6" s="242" customFormat="1" x14ac:dyDescent="0.2">
      <c r="A192" s="189"/>
      <c r="B192" s="241"/>
      <c r="C192" s="2"/>
      <c r="D192" s="71"/>
      <c r="E192" s="71"/>
      <c r="F192" s="71"/>
    </row>
    <row r="193" spans="1:6" s="242" customFormat="1" x14ac:dyDescent="0.2">
      <c r="A193" s="189"/>
      <c r="B193" s="241"/>
      <c r="C193" s="2"/>
      <c r="D193" s="71"/>
      <c r="E193" s="71"/>
      <c r="F193" s="71"/>
    </row>
    <row r="194" spans="1:6" s="242" customFormat="1" x14ac:dyDescent="0.2">
      <c r="A194" s="189"/>
      <c r="B194" s="241"/>
      <c r="C194" s="2"/>
      <c r="D194" s="71"/>
      <c r="E194" s="71"/>
      <c r="F194" s="71"/>
    </row>
    <row r="195" spans="1:6" s="242" customFormat="1" x14ac:dyDescent="0.2">
      <c r="A195" s="189"/>
      <c r="B195" s="241"/>
      <c r="C195" s="2"/>
      <c r="D195" s="71"/>
      <c r="E195" s="71"/>
      <c r="F195" s="71"/>
    </row>
    <row r="196" spans="1:6" s="242" customFormat="1" x14ac:dyDescent="0.2">
      <c r="A196" s="189"/>
      <c r="B196" s="241"/>
      <c r="C196" s="2"/>
      <c r="D196" s="71"/>
      <c r="E196" s="71"/>
      <c r="F196" s="71"/>
    </row>
    <row r="197" spans="1:6" s="242" customFormat="1" x14ac:dyDescent="0.2">
      <c r="A197" s="189"/>
      <c r="B197" s="241"/>
      <c r="C197" s="2"/>
      <c r="D197" s="71"/>
      <c r="E197" s="71"/>
      <c r="F197" s="71"/>
    </row>
    <row r="198" spans="1:6" s="242" customFormat="1" x14ac:dyDescent="0.2">
      <c r="A198" s="189"/>
      <c r="B198" s="241"/>
      <c r="C198" s="2"/>
      <c r="D198" s="71"/>
      <c r="E198" s="71"/>
      <c r="F198" s="71"/>
    </row>
    <row r="199" spans="1:6" s="242" customFormat="1" x14ac:dyDescent="0.2">
      <c r="A199" s="189"/>
      <c r="B199" s="241"/>
      <c r="C199" s="2"/>
      <c r="D199" s="71"/>
      <c r="E199" s="71"/>
      <c r="F199" s="71"/>
    </row>
    <row r="200" spans="1:6" s="242" customFormat="1" x14ac:dyDescent="0.2">
      <c r="A200" s="189"/>
      <c r="B200" s="241"/>
      <c r="C200" s="2"/>
      <c r="D200" s="71"/>
      <c r="E200" s="71"/>
      <c r="F200" s="71"/>
    </row>
    <row r="201" spans="1:6" s="242" customFormat="1" x14ac:dyDescent="0.2">
      <c r="A201" s="189"/>
      <c r="B201" s="241"/>
      <c r="C201" s="2"/>
      <c r="D201" s="71"/>
      <c r="E201" s="71"/>
      <c r="F201" s="71"/>
    </row>
    <row r="202" spans="1:6" s="242" customFormat="1" x14ac:dyDescent="0.2">
      <c r="A202" s="189"/>
      <c r="B202" s="241"/>
      <c r="C202" s="2"/>
      <c r="D202" s="71"/>
      <c r="E202" s="71"/>
      <c r="F202" s="71"/>
    </row>
    <row r="203" spans="1:6" s="242" customFormat="1" x14ac:dyDescent="0.2">
      <c r="A203" s="189"/>
      <c r="B203" s="241"/>
      <c r="C203" s="2"/>
      <c r="D203" s="71"/>
      <c r="E203" s="71"/>
      <c r="F203" s="71"/>
    </row>
    <row r="204" spans="1:6" s="242" customFormat="1" x14ac:dyDescent="0.2">
      <c r="A204" s="189"/>
      <c r="B204" s="241"/>
      <c r="C204" s="2"/>
      <c r="D204" s="71"/>
      <c r="E204" s="71"/>
      <c r="F204" s="71"/>
    </row>
    <row r="205" spans="1:6" s="242" customFormat="1" x14ac:dyDescent="0.2">
      <c r="A205" s="189"/>
      <c r="B205" s="241"/>
      <c r="C205" s="2"/>
      <c r="D205" s="71"/>
      <c r="E205" s="71"/>
      <c r="F205" s="71"/>
    </row>
    <row r="206" spans="1:6" s="242" customFormat="1" x14ac:dyDescent="0.2">
      <c r="A206" s="189"/>
      <c r="B206" s="241"/>
      <c r="C206" s="2"/>
      <c r="D206" s="71"/>
      <c r="E206" s="71"/>
      <c r="F206" s="71"/>
    </row>
    <row r="207" spans="1:6" s="242" customFormat="1" x14ac:dyDescent="0.2">
      <c r="A207" s="189"/>
      <c r="B207" s="241"/>
      <c r="C207" s="2"/>
      <c r="D207" s="71"/>
      <c r="E207" s="71"/>
      <c r="F207" s="71"/>
    </row>
    <row r="208" spans="1:6" s="242" customFormat="1" x14ac:dyDescent="0.2">
      <c r="A208" s="189"/>
      <c r="B208" s="241"/>
      <c r="C208" s="2"/>
      <c r="D208" s="71"/>
      <c r="E208" s="71"/>
      <c r="F208" s="71"/>
    </row>
    <row r="209" spans="1:6" s="242" customFormat="1" x14ac:dyDescent="0.2">
      <c r="A209" s="189"/>
      <c r="B209" s="241"/>
      <c r="C209" s="2"/>
      <c r="D209" s="71"/>
      <c r="E209" s="71"/>
      <c r="F209" s="71"/>
    </row>
    <row r="210" spans="1:6" s="242" customFormat="1" x14ac:dyDescent="0.2">
      <c r="A210" s="189"/>
      <c r="B210" s="241"/>
      <c r="C210" s="2"/>
      <c r="D210" s="71"/>
      <c r="E210" s="71"/>
      <c r="F210" s="71"/>
    </row>
    <row r="211" spans="1:6" s="242" customFormat="1" x14ac:dyDescent="0.2">
      <c r="A211" s="189"/>
      <c r="B211" s="241"/>
      <c r="C211" s="2"/>
      <c r="D211" s="71"/>
      <c r="E211" s="71"/>
      <c r="F211" s="71"/>
    </row>
    <row r="212" spans="1:6" s="242" customFormat="1" x14ac:dyDescent="0.2">
      <c r="A212" s="189"/>
      <c r="B212" s="241"/>
      <c r="C212" s="2"/>
      <c r="D212" s="71"/>
      <c r="E212" s="71"/>
      <c r="F212" s="71"/>
    </row>
    <row r="213" spans="1:6" s="242" customFormat="1" x14ac:dyDescent="0.2">
      <c r="A213" s="189"/>
      <c r="B213" s="241"/>
      <c r="C213" s="2"/>
      <c r="D213" s="71"/>
      <c r="E213" s="71"/>
      <c r="F213" s="71"/>
    </row>
    <row r="214" spans="1:6" s="242" customFormat="1" x14ac:dyDescent="0.2">
      <c r="A214" s="189"/>
      <c r="B214" s="241"/>
      <c r="C214" s="2"/>
      <c r="D214" s="71"/>
      <c r="E214" s="71"/>
      <c r="F214" s="71"/>
    </row>
    <row r="215" spans="1:6" s="242" customFormat="1" x14ac:dyDescent="0.2">
      <c r="A215" s="189"/>
      <c r="B215" s="241"/>
      <c r="C215" s="2"/>
      <c r="D215" s="71"/>
      <c r="E215" s="71"/>
      <c r="F215" s="71"/>
    </row>
    <row r="216" spans="1:6" s="242" customFormat="1" x14ac:dyDescent="0.2">
      <c r="A216" s="189"/>
      <c r="B216" s="241"/>
      <c r="C216" s="2"/>
      <c r="D216" s="71"/>
      <c r="E216" s="71"/>
      <c r="F216" s="71"/>
    </row>
    <row r="217" spans="1:6" s="242" customFormat="1" x14ac:dyDescent="0.2">
      <c r="A217" s="189"/>
      <c r="B217" s="241"/>
      <c r="C217" s="2"/>
      <c r="D217" s="71"/>
      <c r="E217" s="71"/>
      <c r="F217" s="71"/>
    </row>
    <row r="218" spans="1:6" s="242" customFormat="1" x14ac:dyDescent="0.2">
      <c r="A218" s="189"/>
      <c r="B218" s="241"/>
      <c r="C218" s="2"/>
      <c r="D218" s="71"/>
      <c r="E218" s="71"/>
      <c r="F218" s="71"/>
    </row>
    <row r="219" spans="1:6" s="242" customFormat="1" x14ac:dyDescent="0.2">
      <c r="A219" s="189"/>
      <c r="B219" s="241"/>
      <c r="C219" s="2"/>
      <c r="D219" s="71"/>
      <c r="E219" s="71"/>
      <c r="F219" s="71"/>
    </row>
    <row r="220" spans="1:6" s="242" customFormat="1" x14ac:dyDescent="0.2">
      <c r="A220" s="189"/>
      <c r="B220" s="241"/>
      <c r="C220" s="2"/>
      <c r="D220" s="71"/>
      <c r="E220" s="71"/>
      <c r="F220" s="71"/>
    </row>
    <row r="221" spans="1:6" s="242" customFormat="1" x14ac:dyDescent="0.2">
      <c r="A221" s="189"/>
      <c r="B221" s="241"/>
      <c r="C221" s="2"/>
      <c r="D221" s="71"/>
      <c r="E221" s="71"/>
      <c r="F221" s="71"/>
    </row>
    <row r="222" spans="1:6" s="242" customFormat="1" x14ac:dyDescent="0.2">
      <c r="A222" s="189"/>
      <c r="B222" s="241"/>
      <c r="C222" s="2"/>
      <c r="D222" s="71"/>
      <c r="E222" s="71"/>
      <c r="F222" s="71"/>
    </row>
    <row r="223" spans="1:6" s="242" customFormat="1" x14ac:dyDescent="0.2">
      <c r="A223" s="189"/>
      <c r="B223" s="241"/>
      <c r="C223" s="2"/>
      <c r="D223" s="71"/>
      <c r="E223" s="71"/>
      <c r="F223" s="71"/>
    </row>
    <row r="224" spans="1:6" s="242" customFormat="1" x14ac:dyDescent="0.2">
      <c r="A224" s="189"/>
      <c r="B224" s="241"/>
      <c r="C224" s="2"/>
      <c r="D224" s="71"/>
      <c r="E224" s="71"/>
      <c r="F224" s="71"/>
    </row>
    <row r="225" spans="1:6" s="242" customFormat="1" x14ac:dyDescent="0.2">
      <c r="A225" s="189"/>
      <c r="B225" s="241"/>
      <c r="C225" s="2"/>
      <c r="D225" s="71"/>
      <c r="E225" s="71"/>
      <c r="F225" s="71"/>
    </row>
    <row r="226" spans="1:6" s="242" customFormat="1" x14ac:dyDescent="0.2">
      <c r="A226" s="189"/>
      <c r="B226" s="241"/>
      <c r="C226" s="2"/>
      <c r="D226" s="71"/>
      <c r="E226" s="71"/>
      <c r="F226" s="71"/>
    </row>
    <row r="227" spans="1:6" s="242" customFormat="1" x14ac:dyDescent="0.2">
      <c r="A227" s="189"/>
      <c r="B227" s="241"/>
      <c r="C227" s="2"/>
      <c r="D227" s="71"/>
      <c r="E227" s="71"/>
      <c r="F227" s="71"/>
    </row>
    <row r="228" spans="1:6" s="242" customFormat="1" x14ac:dyDescent="0.2">
      <c r="A228" s="189"/>
      <c r="B228" s="241"/>
      <c r="C228" s="2"/>
      <c r="D228" s="71"/>
      <c r="E228" s="71"/>
      <c r="F228" s="71"/>
    </row>
    <row r="229" spans="1:6" s="242" customFormat="1" x14ac:dyDescent="0.2">
      <c r="A229" s="189"/>
      <c r="B229" s="241"/>
      <c r="C229" s="2"/>
      <c r="D229" s="71"/>
      <c r="E229" s="71"/>
      <c r="F229" s="71"/>
    </row>
    <row r="230" spans="1:6" s="242" customFormat="1" x14ac:dyDescent="0.2">
      <c r="A230" s="189"/>
      <c r="B230" s="241"/>
      <c r="C230" s="2"/>
      <c r="D230" s="71"/>
      <c r="E230" s="71"/>
      <c r="F230" s="71"/>
    </row>
    <row r="231" spans="1:6" s="242" customFormat="1" x14ac:dyDescent="0.2">
      <c r="A231" s="189"/>
      <c r="B231" s="241"/>
      <c r="C231" s="2"/>
      <c r="D231" s="71"/>
      <c r="E231" s="71"/>
      <c r="F231" s="71"/>
    </row>
    <row r="232" spans="1:6" s="242" customFormat="1" x14ac:dyDescent="0.2">
      <c r="A232" s="189"/>
      <c r="B232" s="241"/>
      <c r="C232" s="2"/>
      <c r="D232" s="71"/>
      <c r="E232" s="71"/>
      <c r="F232" s="71"/>
    </row>
    <row r="233" spans="1:6" s="242" customFormat="1" x14ac:dyDescent="0.2">
      <c r="A233" s="189"/>
      <c r="B233" s="241"/>
      <c r="C233" s="2"/>
      <c r="D233" s="71"/>
      <c r="E233" s="71"/>
      <c r="F233" s="71"/>
    </row>
    <row r="234" spans="1:6" s="242" customFormat="1" x14ac:dyDescent="0.2">
      <c r="A234" s="189"/>
      <c r="B234" s="241"/>
      <c r="C234" s="2"/>
      <c r="D234" s="71"/>
      <c r="E234" s="71"/>
      <c r="F234" s="71"/>
    </row>
    <row r="235" spans="1:6" s="242" customFormat="1" x14ac:dyDescent="0.2">
      <c r="A235" s="189"/>
      <c r="B235" s="241"/>
      <c r="C235" s="2"/>
      <c r="D235" s="71"/>
      <c r="E235" s="71"/>
      <c r="F235" s="71"/>
    </row>
    <row r="236" spans="1:6" s="242" customFormat="1" x14ac:dyDescent="0.2">
      <c r="A236" s="189"/>
      <c r="B236" s="241"/>
      <c r="C236" s="2"/>
      <c r="D236" s="71"/>
      <c r="E236" s="71"/>
      <c r="F236" s="71"/>
    </row>
    <row r="237" spans="1:6" s="242" customFormat="1" x14ac:dyDescent="0.2">
      <c r="A237" s="189"/>
      <c r="B237" s="241"/>
      <c r="C237" s="2"/>
      <c r="D237" s="71"/>
      <c r="E237" s="71"/>
      <c r="F237" s="71"/>
    </row>
    <row r="238" spans="1:6" s="242" customFormat="1" x14ac:dyDescent="0.2">
      <c r="A238" s="189"/>
      <c r="B238" s="241"/>
      <c r="C238" s="2"/>
      <c r="D238" s="71"/>
      <c r="E238" s="71"/>
      <c r="F238" s="71"/>
    </row>
    <row r="239" spans="1:6" s="242" customFormat="1" x14ac:dyDescent="0.2">
      <c r="A239" s="189"/>
      <c r="B239" s="241"/>
      <c r="C239" s="2"/>
      <c r="D239" s="71"/>
      <c r="E239" s="71"/>
      <c r="F239" s="71"/>
    </row>
    <row r="240" spans="1:6" s="242" customFormat="1" x14ac:dyDescent="0.2">
      <c r="A240" s="189"/>
      <c r="B240" s="241"/>
      <c r="C240" s="2"/>
      <c r="D240" s="71"/>
      <c r="E240" s="71"/>
      <c r="F240" s="71"/>
    </row>
    <row r="241" spans="1:6" s="242" customFormat="1" x14ac:dyDescent="0.2">
      <c r="A241" s="189"/>
      <c r="B241" s="241"/>
      <c r="C241" s="2"/>
      <c r="D241" s="71"/>
      <c r="E241" s="71"/>
      <c r="F241" s="71"/>
    </row>
    <row r="242" spans="1:6" s="242" customFormat="1" x14ac:dyDescent="0.2">
      <c r="A242" s="189"/>
      <c r="B242" s="241"/>
      <c r="C242" s="2"/>
      <c r="D242" s="71"/>
      <c r="E242" s="71"/>
      <c r="F242" s="71"/>
    </row>
    <row r="243" spans="1:6" s="242" customFormat="1" x14ac:dyDescent="0.2">
      <c r="A243" s="189"/>
      <c r="B243" s="241"/>
      <c r="C243" s="2"/>
      <c r="D243" s="71"/>
      <c r="E243" s="71"/>
      <c r="F243" s="71"/>
    </row>
    <row r="244" spans="1:6" s="242" customFormat="1" x14ac:dyDescent="0.2">
      <c r="A244" s="189"/>
      <c r="B244" s="241"/>
      <c r="C244" s="2"/>
      <c r="D244" s="71"/>
      <c r="E244" s="71"/>
      <c r="F244" s="71"/>
    </row>
    <row r="245" spans="1:6" s="242" customFormat="1" x14ac:dyDescent="0.2">
      <c r="A245" s="189"/>
      <c r="B245" s="241"/>
      <c r="C245" s="2"/>
      <c r="D245" s="71"/>
      <c r="E245" s="71"/>
      <c r="F245" s="71"/>
    </row>
    <row r="246" spans="1:6" s="242" customFormat="1" x14ac:dyDescent="0.2">
      <c r="A246" s="189"/>
      <c r="B246" s="241"/>
      <c r="C246" s="2"/>
      <c r="D246" s="71"/>
      <c r="E246" s="71"/>
      <c r="F246" s="71"/>
    </row>
    <row r="247" spans="1:6" s="242" customFormat="1" x14ac:dyDescent="0.2">
      <c r="A247" s="189"/>
      <c r="B247" s="241"/>
      <c r="C247" s="2"/>
      <c r="D247" s="71"/>
      <c r="E247" s="71"/>
      <c r="F247" s="71"/>
    </row>
    <row r="248" spans="1:6" s="242" customFormat="1" x14ac:dyDescent="0.2">
      <c r="A248" s="189"/>
      <c r="B248" s="241"/>
      <c r="C248" s="2"/>
      <c r="D248" s="71"/>
      <c r="E248" s="71"/>
      <c r="F248" s="71"/>
    </row>
    <row r="249" spans="1:6" s="242" customFormat="1" x14ac:dyDescent="0.2">
      <c r="A249" s="189"/>
      <c r="B249" s="241"/>
      <c r="C249" s="2"/>
      <c r="D249" s="71"/>
      <c r="E249" s="71"/>
      <c r="F249" s="71"/>
    </row>
    <row r="250" spans="1:6" s="242" customFormat="1" x14ac:dyDescent="0.2">
      <c r="A250" s="189"/>
      <c r="B250" s="241"/>
      <c r="C250" s="2"/>
      <c r="D250" s="71"/>
      <c r="E250" s="71"/>
      <c r="F250" s="71"/>
    </row>
    <row r="251" spans="1:6" s="242" customFormat="1" x14ac:dyDescent="0.2">
      <c r="A251" s="189"/>
      <c r="B251" s="241"/>
      <c r="C251" s="2"/>
      <c r="D251" s="71"/>
      <c r="E251" s="71"/>
      <c r="F251" s="71"/>
    </row>
    <row r="252" spans="1:6" s="242" customFormat="1" x14ac:dyDescent="0.2">
      <c r="A252" s="189"/>
      <c r="B252" s="241"/>
      <c r="C252" s="2"/>
      <c r="D252" s="71"/>
      <c r="E252" s="71"/>
      <c r="F252" s="71"/>
    </row>
    <row r="253" spans="1:6" s="242" customFormat="1" x14ac:dyDescent="0.2">
      <c r="A253" s="189"/>
      <c r="B253" s="241"/>
      <c r="C253" s="2"/>
      <c r="D253" s="71"/>
      <c r="E253" s="71"/>
      <c r="F253" s="71"/>
    </row>
    <row r="254" spans="1:6" s="242" customFormat="1" x14ac:dyDescent="0.2">
      <c r="A254" s="189"/>
      <c r="B254" s="241"/>
      <c r="C254" s="2"/>
      <c r="D254" s="71"/>
      <c r="E254" s="71"/>
      <c r="F254" s="71"/>
    </row>
    <row r="255" spans="1:6" s="242" customFormat="1" x14ac:dyDescent="0.2">
      <c r="A255" s="189"/>
      <c r="B255" s="241"/>
      <c r="C255" s="2"/>
      <c r="D255" s="71"/>
      <c r="E255" s="71"/>
      <c r="F255" s="71"/>
    </row>
    <row r="256" spans="1:6" s="242" customFormat="1" x14ac:dyDescent="0.2">
      <c r="A256" s="189"/>
      <c r="B256" s="241"/>
      <c r="C256" s="2"/>
      <c r="D256" s="71"/>
      <c r="E256" s="71"/>
      <c r="F256" s="71"/>
    </row>
    <row r="257" spans="1:6" s="242" customFormat="1" x14ac:dyDescent="0.2">
      <c r="A257" s="189"/>
      <c r="B257" s="241"/>
      <c r="C257" s="2"/>
      <c r="D257" s="71"/>
      <c r="E257" s="71"/>
      <c r="F257" s="71"/>
    </row>
    <row r="258" spans="1:6" s="242" customFormat="1" x14ac:dyDescent="0.2">
      <c r="A258" s="189"/>
      <c r="B258" s="241"/>
      <c r="C258" s="2"/>
      <c r="D258" s="71"/>
      <c r="E258" s="71"/>
      <c r="F258" s="71"/>
    </row>
    <row r="259" spans="1:6" s="242" customFormat="1" x14ac:dyDescent="0.2">
      <c r="A259" s="189"/>
      <c r="B259" s="241"/>
      <c r="C259" s="2"/>
      <c r="D259" s="71"/>
      <c r="E259" s="71"/>
      <c r="F259" s="71"/>
    </row>
    <row r="260" spans="1:6" s="242" customFormat="1" x14ac:dyDescent="0.2">
      <c r="A260" s="189"/>
      <c r="B260" s="241"/>
      <c r="C260" s="2"/>
      <c r="D260" s="71"/>
      <c r="E260" s="71"/>
      <c r="F260" s="71"/>
    </row>
    <row r="261" spans="1:6" s="242" customFormat="1" x14ac:dyDescent="0.2">
      <c r="A261" s="189"/>
      <c r="B261" s="241"/>
      <c r="C261" s="2"/>
      <c r="D261" s="71"/>
      <c r="E261" s="71"/>
      <c r="F261" s="71"/>
    </row>
    <row r="262" spans="1:6" s="242" customFormat="1" x14ac:dyDescent="0.2">
      <c r="A262" s="189"/>
      <c r="B262" s="241"/>
      <c r="C262" s="2"/>
      <c r="D262" s="71"/>
      <c r="E262" s="71"/>
      <c r="F262" s="71"/>
    </row>
    <row r="263" spans="1:6" s="242" customFormat="1" x14ac:dyDescent="0.2">
      <c r="A263" s="189"/>
      <c r="B263" s="241"/>
      <c r="C263" s="2"/>
      <c r="D263" s="71"/>
      <c r="E263" s="71"/>
      <c r="F263" s="71"/>
    </row>
    <row r="264" spans="1:6" s="242" customFormat="1" x14ac:dyDescent="0.2">
      <c r="A264" s="189"/>
      <c r="B264" s="241"/>
      <c r="C264" s="2"/>
      <c r="D264" s="71"/>
      <c r="E264" s="71"/>
      <c r="F264" s="71"/>
    </row>
    <row r="265" spans="1:6" s="242" customFormat="1" x14ac:dyDescent="0.2">
      <c r="A265" s="189"/>
      <c r="B265" s="241"/>
      <c r="C265" s="2"/>
      <c r="D265" s="71"/>
      <c r="E265" s="71"/>
      <c r="F265" s="71"/>
    </row>
    <row r="266" spans="1:6" s="242" customFormat="1" x14ac:dyDescent="0.2">
      <c r="A266" s="189"/>
      <c r="B266" s="241"/>
      <c r="C266" s="2"/>
      <c r="D266" s="71"/>
      <c r="E266" s="71"/>
      <c r="F266" s="71"/>
    </row>
    <row r="267" spans="1:6" s="242" customFormat="1" x14ac:dyDescent="0.2">
      <c r="A267" s="189"/>
      <c r="B267" s="241"/>
      <c r="C267" s="2"/>
      <c r="D267" s="71"/>
      <c r="E267" s="71"/>
      <c r="F267" s="71"/>
    </row>
    <row r="268" spans="1:6" s="242" customFormat="1" x14ac:dyDescent="0.2">
      <c r="A268" s="189"/>
      <c r="B268" s="241"/>
      <c r="C268" s="2"/>
      <c r="D268" s="71"/>
      <c r="E268" s="71"/>
      <c r="F268" s="71"/>
    </row>
    <row r="269" spans="1:6" s="242" customFormat="1" x14ac:dyDescent="0.2">
      <c r="A269" s="189"/>
      <c r="B269" s="241"/>
      <c r="C269" s="2"/>
      <c r="D269" s="71"/>
      <c r="E269" s="71"/>
      <c r="F269" s="71"/>
    </row>
    <row r="270" spans="1:6" s="242" customFormat="1" x14ac:dyDescent="0.2">
      <c r="A270" s="189"/>
      <c r="B270" s="241"/>
      <c r="C270" s="2"/>
      <c r="D270" s="71"/>
      <c r="E270" s="71"/>
      <c r="F270" s="71"/>
    </row>
    <row r="271" spans="1:6" s="242" customFormat="1" x14ac:dyDescent="0.2">
      <c r="A271" s="189"/>
      <c r="B271" s="241"/>
      <c r="C271" s="2"/>
      <c r="D271" s="71"/>
      <c r="E271" s="71"/>
      <c r="F271" s="71"/>
    </row>
    <row r="272" spans="1:6" s="242" customFormat="1" x14ac:dyDescent="0.2">
      <c r="A272" s="189"/>
      <c r="B272" s="241"/>
      <c r="C272" s="2"/>
      <c r="D272" s="71"/>
      <c r="E272" s="71"/>
      <c r="F272" s="71"/>
    </row>
    <row r="273" spans="1:6" s="242" customFormat="1" x14ac:dyDescent="0.2">
      <c r="A273" s="189"/>
      <c r="B273" s="241"/>
      <c r="C273" s="2"/>
      <c r="D273" s="71"/>
      <c r="E273" s="71"/>
      <c r="F273" s="71"/>
    </row>
    <row r="274" spans="1:6" s="242" customFormat="1" x14ac:dyDescent="0.2">
      <c r="A274" s="189"/>
      <c r="B274" s="241"/>
      <c r="C274" s="2"/>
      <c r="D274" s="71"/>
      <c r="E274" s="71"/>
      <c r="F274" s="71"/>
    </row>
    <row r="275" spans="1:6" s="242" customFormat="1" x14ac:dyDescent="0.2">
      <c r="A275" s="189"/>
      <c r="B275" s="241"/>
      <c r="C275" s="2"/>
      <c r="D275" s="71"/>
      <c r="E275" s="71"/>
      <c r="F275" s="71"/>
    </row>
    <row r="276" spans="1:6" s="242" customFormat="1" x14ac:dyDescent="0.2">
      <c r="A276" s="189"/>
      <c r="B276" s="241"/>
      <c r="C276" s="2"/>
      <c r="D276" s="71"/>
      <c r="E276" s="71"/>
      <c r="F276" s="71"/>
    </row>
    <row r="277" spans="1:6" s="242" customFormat="1" x14ac:dyDescent="0.2">
      <c r="A277" s="189"/>
      <c r="B277" s="241"/>
      <c r="C277" s="2"/>
      <c r="D277" s="71"/>
      <c r="E277" s="71"/>
      <c r="F277" s="71"/>
    </row>
    <row r="278" spans="1:6" s="242" customFormat="1" x14ac:dyDescent="0.2">
      <c r="A278" s="189"/>
      <c r="B278" s="241"/>
      <c r="C278" s="2"/>
      <c r="D278" s="71"/>
      <c r="E278" s="71"/>
      <c r="F278" s="71"/>
    </row>
    <row r="279" spans="1:6" s="242" customFormat="1" x14ac:dyDescent="0.2">
      <c r="A279" s="189"/>
      <c r="B279" s="241"/>
      <c r="C279" s="2"/>
      <c r="D279" s="71"/>
      <c r="E279" s="71"/>
      <c r="F279" s="71"/>
    </row>
    <row r="280" spans="1:6" s="242" customFormat="1" x14ac:dyDescent="0.2">
      <c r="A280" s="189"/>
      <c r="B280" s="241"/>
      <c r="C280" s="2"/>
      <c r="D280" s="71"/>
      <c r="E280" s="71"/>
      <c r="F280" s="71"/>
    </row>
    <row r="281" spans="1:6" s="242" customFormat="1" x14ac:dyDescent="0.2">
      <c r="A281" s="189"/>
      <c r="B281" s="241"/>
      <c r="C281" s="2"/>
      <c r="D281" s="71"/>
      <c r="E281" s="71"/>
      <c r="F281" s="71"/>
    </row>
    <row r="282" spans="1:6" s="242" customFormat="1" x14ac:dyDescent="0.2">
      <c r="A282" s="189"/>
      <c r="B282" s="241"/>
      <c r="C282" s="2"/>
      <c r="D282" s="71"/>
      <c r="E282" s="71"/>
      <c r="F282" s="71"/>
    </row>
    <row r="283" spans="1:6" s="242" customFormat="1" x14ac:dyDescent="0.2">
      <c r="A283" s="189"/>
      <c r="B283" s="241"/>
      <c r="C283" s="2"/>
      <c r="D283" s="71"/>
      <c r="E283" s="71"/>
      <c r="F283" s="71"/>
    </row>
    <row r="284" spans="1:6" s="242" customFormat="1" x14ac:dyDescent="0.2">
      <c r="A284" s="189"/>
      <c r="B284" s="241"/>
      <c r="C284" s="2"/>
      <c r="D284" s="71"/>
      <c r="E284" s="71"/>
      <c r="F284" s="71"/>
    </row>
    <row r="285" spans="1:6" s="242" customFormat="1" x14ac:dyDescent="0.2">
      <c r="A285" s="189"/>
      <c r="B285" s="241"/>
      <c r="C285" s="2"/>
      <c r="D285" s="71"/>
      <c r="E285" s="71"/>
      <c r="F285" s="71"/>
    </row>
    <row r="286" spans="1:6" s="242" customFormat="1" x14ac:dyDescent="0.2">
      <c r="A286" s="189"/>
      <c r="B286" s="241"/>
      <c r="C286" s="2"/>
      <c r="D286" s="71"/>
      <c r="E286" s="71"/>
      <c r="F286" s="71"/>
    </row>
    <row r="287" spans="1:6" s="242" customFormat="1" x14ac:dyDescent="0.2">
      <c r="A287" s="189"/>
      <c r="B287" s="241"/>
      <c r="C287" s="2"/>
      <c r="D287" s="71"/>
      <c r="E287" s="71"/>
      <c r="F287" s="71"/>
    </row>
    <row r="288" spans="1:6" s="242" customFormat="1" x14ac:dyDescent="0.2">
      <c r="A288" s="189"/>
      <c r="B288" s="241"/>
      <c r="C288" s="2"/>
      <c r="D288" s="71"/>
      <c r="E288" s="71"/>
      <c r="F288" s="71"/>
    </row>
    <row r="289" spans="1:6" s="242" customFormat="1" x14ac:dyDescent="0.2">
      <c r="A289" s="189"/>
      <c r="B289" s="241"/>
      <c r="C289" s="2"/>
      <c r="D289" s="71"/>
      <c r="E289" s="71"/>
      <c r="F289" s="71"/>
    </row>
    <row r="290" spans="1:6" s="242" customFormat="1" x14ac:dyDescent="0.2">
      <c r="A290" s="189"/>
      <c r="B290" s="241"/>
      <c r="C290" s="2"/>
      <c r="D290" s="71"/>
      <c r="E290" s="71"/>
      <c r="F290" s="71"/>
    </row>
    <row r="291" spans="1:6" s="242" customFormat="1" x14ac:dyDescent="0.2">
      <c r="A291" s="189"/>
      <c r="B291" s="241"/>
      <c r="C291" s="2"/>
      <c r="D291" s="71"/>
      <c r="E291" s="71"/>
      <c r="F291" s="71"/>
    </row>
    <row r="292" spans="1:6" s="242" customFormat="1" x14ac:dyDescent="0.2">
      <c r="A292" s="189"/>
      <c r="B292" s="241"/>
      <c r="C292" s="2"/>
      <c r="D292" s="71"/>
      <c r="E292" s="71"/>
      <c r="F292" s="71"/>
    </row>
    <row r="293" spans="1:6" s="242" customFormat="1" x14ac:dyDescent="0.2">
      <c r="A293" s="189"/>
      <c r="B293" s="241"/>
      <c r="C293" s="2"/>
      <c r="D293" s="71"/>
      <c r="E293" s="71"/>
      <c r="F293" s="71"/>
    </row>
    <row r="294" spans="1:6" s="242" customFormat="1" x14ac:dyDescent="0.2">
      <c r="A294" s="189"/>
      <c r="B294" s="241"/>
      <c r="C294" s="2"/>
      <c r="D294" s="71"/>
      <c r="E294" s="71"/>
      <c r="F294" s="71"/>
    </row>
    <row r="295" spans="1:6" s="242" customFormat="1" x14ac:dyDescent="0.2">
      <c r="A295" s="189"/>
      <c r="B295" s="241"/>
      <c r="C295" s="2"/>
      <c r="D295" s="71"/>
      <c r="E295" s="71"/>
      <c r="F295" s="71"/>
    </row>
    <row r="296" spans="1:6" s="242" customFormat="1" x14ac:dyDescent="0.2">
      <c r="A296" s="189"/>
      <c r="B296" s="241"/>
      <c r="C296" s="2"/>
      <c r="D296" s="71"/>
      <c r="E296" s="71"/>
      <c r="F296" s="71"/>
    </row>
    <row r="297" spans="1:6" s="242" customFormat="1" x14ac:dyDescent="0.2">
      <c r="A297" s="189"/>
      <c r="B297" s="241"/>
      <c r="C297" s="2"/>
      <c r="D297" s="71"/>
      <c r="E297" s="71"/>
      <c r="F297" s="71"/>
    </row>
    <row r="298" spans="1:6" s="242" customFormat="1" x14ac:dyDescent="0.2">
      <c r="A298" s="189"/>
      <c r="B298" s="241"/>
      <c r="C298" s="2"/>
      <c r="D298" s="71"/>
      <c r="E298" s="71"/>
      <c r="F298" s="71"/>
    </row>
    <row r="299" spans="1:6" s="242" customFormat="1" x14ac:dyDescent="0.2">
      <c r="A299" s="189"/>
      <c r="B299" s="241"/>
      <c r="C299" s="2"/>
      <c r="D299" s="71"/>
      <c r="E299" s="71"/>
      <c r="F299" s="71"/>
    </row>
    <row r="300" spans="1:6" s="242" customFormat="1" x14ac:dyDescent="0.2">
      <c r="A300" s="189"/>
      <c r="B300" s="241"/>
      <c r="C300" s="2"/>
      <c r="D300" s="71"/>
      <c r="E300" s="71"/>
      <c r="F300" s="71"/>
    </row>
    <row r="301" spans="1:6" s="242" customFormat="1" x14ac:dyDescent="0.2">
      <c r="A301" s="189"/>
      <c r="B301" s="241"/>
      <c r="C301" s="2"/>
      <c r="D301" s="71"/>
      <c r="E301" s="71"/>
      <c r="F301" s="71"/>
    </row>
    <row r="302" spans="1:6" s="242" customFormat="1" x14ac:dyDescent="0.2">
      <c r="A302" s="189"/>
      <c r="B302" s="241"/>
      <c r="C302" s="2"/>
      <c r="D302" s="71"/>
      <c r="E302" s="71"/>
      <c r="F302" s="71"/>
    </row>
    <row r="303" spans="1:6" s="242" customFormat="1" x14ac:dyDescent="0.2">
      <c r="A303" s="189"/>
      <c r="B303" s="241"/>
      <c r="C303" s="2"/>
      <c r="D303" s="71"/>
      <c r="E303" s="71"/>
      <c r="F303" s="71"/>
    </row>
    <row r="304" spans="1:6" s="242" customFormat="1" x14ac:dyDescent="0.2">
      <c r="A304" s="189"/>
      <c r="B304" s="241"/>
      <c r="C304" s="2"/>
      <c r="D304" s="71"/>
      <c r="E304" s="71"/>
      <c r="F304" s="71"/>
    </row>
    <row r="305" spans="1:6" s="242" customFormat="1" x14ac:dyDescent="0.2">
      <c r="A305" s="189"/>
      <c r="B305" s="241"/>
      <c r="C305" s="2"/>
      <c r="D305" s="71"/>
      <c r="E305" s="71"/>
      <c r="F305" s="71"/>
    </row>
    <row r="306" spans="1:6" s="242" customFormat="1" x14ac:dyDescent="0.2">
      <c r="A306" s="189"/>
      <c r="B306" s="241"/>
      <c r="C306" s="2"/>
      <c r="D306" s="71"/>
      <c r="E306" s="71"/>
      <c r="F306" s="71"/>
    </row>
    <row r="307" spans="1:6" s="242" customFormat="1" x14ac:dyDescent="0.2">
      <c r="A307" s="189"/>
      <c r="B307" s="241"/>
      <c r="C307" s="2"/>
      <c r="D307" s="71"/>
      <c r="E307" s="71"/>
      <c r="F307" s="71"/>
    </row>
    <row r="308" spans="1:6" s="242" customFormat="1" x14ac:dyDescent="0.2">
      <c r="A308" s="189"/>
      <c r="B308" s="241"/>
      <c r="C308" s="2"/>
      <c r="D308" s="71"/>
      <c r="E308" s="71"/>
      <c r="F308" s="71"/>
    </row>
    <row r="309" spans="1:6" s="242" customFormat="1" x14ac:dyDescent="0.2">
      <c r="A309" s="189"/>
      <c r="B309" s="241"/>
      <c r="C309" s="2"/>
      <c r="D309" s="71"/>
      <c r="E309" s="71"/>
      <c r="F309" s="71"/>
    </row>
    <row r="310" spans="1:6" s="242" customFormat="1" x14ac:dyDescent="0.2">
      <c r="A310" s="189"/>
      <c r="B310" s="241"/>
      <c r="C310" s="2"/>
      <c r="D310" s="71"/>
      <c r="E310" s="71"/>
      <c r="F310" s="71"/>
    </row>
    <row r="311" spans="1:6" s="242" customFormat="1" x14ac:dyDescent="0.2">
      <c r="A311" s="189"/>
      <c r="B311" s="241"/>
      <c r="C311" s="2"/>
      <c r="D311" s="71"/>
      <c r="E311" s="71"/>
      <c r="F311" s="71"/>
    </row>
    <row r="312" spans="1:6" s="242" customFormat="1" x14ac:dyDescent="0.2">
      <c r="A312" s="189"/>
      <c r="B312" s="241"/>
      <c r="C312" s="2"/>
      <c r="D312" s="71"/>
      <c r="E312" s="71"/>
      <c r="F312" s="71"/>
    </row>
    <row r="313" spans="1:6" s="242" customFormat="1" x14ac:dyDescent="0.2">
      <c r="A313" s="189"/>
      <c r="B313" s="241"/>
      <c r="C313" s="2"/>
      <c r="D313" s="71"/>
      <c r="E313" s="71"/>
      <c r="F313" s="71"/>
    </row>
    <row r="314" spans="1:6" s="242" customFormat="1" x14ac:dyDescent="0.2">
      <c r="A314" s="189"/>
      <c r="B314" s="241"/>
      <c r="C314" s="2"/>
      <c r="D314" s="71"/>
      <c r="E314" s="71"/>
      <c r="F314" s="71"/>
    </row>
    <row r="315" spans="1:6" s="242" customFormat="1" x14ac:dyDescent="0.2">
      <c r="A315" s="189"/>
      <c r="B315" s="241"/>
      <c r="C315" s="2"/>
      <c r="D315" s="71"/>
      <c r="E315" s="71"/>
      <c r="F315" s="71"/>
    </row>
    <row r="316" spans="1:6" s="242" customFormat="1" x14ac:dyDescent="0.2">
      <c r="A316" s="189"/>
      <c r="B316" s="241"/>
      <c r="C316" s="2"/>
      <c r="D316" s="71"/>
      <c r="E316" s="71"/>
      <c r="F316" s="71"/>
    </row>
    <row r="317" spans="1:6" s="242" customFormat="1" x14ac:dyDescent="0.2">
      <c r="A317" s="189"/>
      <c r="B317" s="241"/>
      <c r="C317" s="2"/>
      <c r="D317" s="71"/>
      <c r="E317" s="71"/>
      <c r="F317" s="71"/>
    </row>
    <row r="318" spans="1:6" s="242" customFormat="1" x14ac:dyDescent="0.2">
      <c r="A318" s="189"/>
      <c r="B318" s="241"/>
      <c r="C318" s="2"/>
      <c r="D318" s="71"/>
      <c r="E318" s="71"/>
      <c r="F318" s="71"/>
    </row>
    <row r="319" spans="1:6" s="242" customFormat="1" x14ac:dyDescent="0.2">
      <c r="A319" s="189"/>
      <c r="B319" s="241"/>
      <c r="C319" s="2"/>
      <c r="D319" s="71"/>
      <c r="E319" s="71"/>
      <c r="F319" s="71"/>
    </row>
    <row r="320" spans="1:6" s="242" customFormat="1" x14ac:dyDescent="0.2">
      <c r="A320" s="189"/>
      <c r="B320" s="241"/>
      <c r="C320" s="2"/>
      <c r="D320" s="71"/>
      <c r="E320" s="71"/>
      <c r="F320" s="71"/>
    </row>
    <row r="321" spans="1:6" s="242" customFormat="1" x14ac:dyDescent="0.2">
      <c r="A321" s="189"/>
      <c r="B321" s="241"/>
      <c r="C321" s="2"/>
      <c r="D321" s="71"/>
      <c r="E321" s="71"/>
      <c r="F321" s="71"/>
    </row>
    <row r="322" spans="1:6" s="242" customFormat="1" x14ac:dyDescent="0.2">
      <c r="A322" s="189"/>
      <c r="B322" s="241"/>
      <c r="C322" s="2"/>
      <c r="D322" s="71"/>
      <c r="E322" s="71"/>
      <c r="F322" s="71"/>
    </row>
    <row r="323" spans="1:6" s="242" customFormat="1" x14ac:dyDescent="0.2">
      <c r="A323" s="189"/>
      <c r="B323" s="241"/>
      <c r="C323" s="2"/>
      <c r="D323" s="71"/>
      <c r="E323" s="71"/>
      <c r="F323" s="71"/>
    </row>
    <row r="324" spans="1:6" s="242" customFormat="1" x14ac:dyDescent="0.2">
      <c r="A324" s="189"/>
      <c r="B324" s="241"/>
      <c r="C324" s="2"/>
      <c r="D324" s="71"/>
      <c r="E324" s="71"/>
      <c r="F324" s="71"/>
    </row>
    <row r="325" spans="1:6" s="242" customFormat="1" x14ac:dyDescent="0.2">
      <c r="A325" s="189"/>
      <c r="B325" s="241"/>
      <c r="C325" s="2"/>
      <c r="D325" s="71"/>
      <c r="E325" s="71"/>
      <c r="F325" s="71"/>
    </row>
    <row r="326" spans="1:6" s="242" customFormat="1" x14ac:dyDescent="0.2">
      <c r="A326" s="189"/>
      <c r="B326" s="241"/>
      <c r="C326" s="2"/>
      <c r="D326" s="71"/>
      <c r="E326" s="71"/>
      <c r="F326" s="71"/>
    </row>
    <row r="327" spans="1:6" s="242" customFormat="1" x14ac:dyDescent="0.2">
      <c r="A327" s="189"/>
      <c r="B327" s="241"/>
      <c r="C327" s="2"/>
      <c r="D327" s="71"/>
      <c r="E327" s="71"/>
      <c r="F327" s="71"/>
    </row>
    <row r="328" spans="1:6" s="242" customFormat="1" x14ac:dyDescent="0.2">
      <c r="A328" s="189"/>
      <c r="B328" s="241"/>
      <c r="C328" s="2"/>
      <c r="D328" s="71"/>
      <c r="E328" s="71"/>
      <c r="F328" s="71"/>
    </row>
    <row r="329" spans="1:6" s="242" customFormat="1" x14ac:dyDescent="0.2">
      <c r="A329" s="189"/>
      <c r="B329" s="241"/>
      <c r="C329" s="2"/>
      <c r="D329" s="71"/>
      <c r="E329" s="71"/>
      <c r="F329" s="71"/>
    </row>
    <row r="330" spans="1:6" s="242" customFormat="1" x14ac:dyDescent="0.2">
      <c r="A330" s="189"/>
      <c r="B330" s="241"/>
      <c r="C330" s="2"/>
      <c r="D330" s="71"/>
      <c r="E330" s="71"/>
      <c r="F330" s="71"/>
    </row>
    <row r="331" spans="1:6" s="242" customFormat="1" x14ac:dyDescent="0.2">
      <c r="A331" s="189"/>
      <c r="B331" s="241"/>
      <c r="C331" s="2"/>
      <c r="D331" s="71"/>
      <c r="E331" s="71"/>
      <c r="F331" s="71"/>
    </row>
    <row r="332" spans="1:6" s="242" customFormat="1" x14ac:dyDescent="0.2">
      <c r="A332" s="189"/>
      <c r="B332" s="241"/>
      <c r="C332" s="2"/>
      <c r="D332" s="71"/>
      <c r="E332" s="71"/>
      <c r="F332" s="71"/>
    </row>
    <row r="333" spans="1:6" s="242" customFormat="1" x14ac:dyDescent="0.2">
      <c r="A333" s="189"/>
      <c r="B333" s="241"/>
      <c r="C333" s="2"/>
      <c r="D333" s="71"/>
      <c r="E333" s="71"/>
      <c r="F333" s="71"/>
    </row>
    <row r="334" spans="1:6" s="242" customFormat="1" x14ac:dyDescent="0.2">
      <c r="A334" s="189"/>
      <c r="B334" s="241"/>
      <c r="C334" s="2"/>
      <c r="D334" s="71"/>
      <c r="E334" s="71"/>
      <c r="F334" s="71"/>
    </row>
    <row r="335" spans="1:6" s="242" customFormat="1" x14ac:dyDescent="0.2">
      <c r="A335" s="189"/>
      <c r="B335" s="241"/>
      <c r="C335" s="2"/>
      <c r="D335" s="71"/>
      <c r="E335" s="71"/>
      <c r="F335" s="71"/>
    </row>
    <row r="336" spans="1:6" s="242" customFormat="1" x14ac:dyDescent="0.2">
      <c r="A336" s="189"/>
      <c r="B336" s="241"/>
      <c r="C336" s="2"/>
      <c r="D336" s="71"/>
      <c r="E336" s="71"/>
      <c r="F336" s="71"/>
    </row>
    <row r="337" spans="1:6" s="242" customFormat="1" x14ac:dyDescent="0.2">
      <c r="A337" s="189"/>
      <c r="B337" s="241"/>
      <c r="C337" s="2"/>
      <c r="D337" s="71"/>
      <c r="E337" s="71"/>
      <c r="F337" s="71"/>
    </row>
    <row r="338" spans="1:6" s="242" customFormat="1" x14ac:dyDescent="0.2">
      <c r="A338" s="189"/>
      <c r="B338" s="241"/>
      <c r="C338" s="2"/>
      <c r="D338" s="71"/>
      <c r="E338" s="71"/>
      <c r="F338" s="71"/>
    </row>
    <row r="339" spans="1:6" s="242" customFormat="1" x14ac:dyDescent="0.2">
      <c r="A339" s="189"/>
      <c r="B339" s="241"/>
      <c r="C339" s="2"/>
      <c r="D339" s="71"/>
      <c r="E339" s="71"/>
      <c r="F339" s="71"/>
    </row>
    <row r="340" spans="1:6" s="242" customFormat="1" x14ac:dyDescent="0.2">
      <c r="A340" s="189"/>
      <c r="B340" s="241"/>
      <c r="C340" s="2"/>
      <c r="D340" s="71"/>
      <c r="E340" s="71"/>
      <c r="F340" s="71"/>
    </row>
    <row r="341" spans="1:6" s="242" customFormat="1" x14ac:dyDescent="0.2">
      <c r="A341" s="189"/>
      <c r="B341" s="241"/>
      <c r="C341" s="2"/>
      <c r="D341" s="71"/>
      <c r="E341" s="71"/>
      <c r="F341" s="71"/>
    </row>
    <row r="342" spans="1:6" s="242" customFormat="1" x14ac:dyDescent="0.2">
      <c r="A342" s="189"/>
      <c r="B342" s="241"/>
      <c r="C342" s="2"/>
      <c r="D342" s="71"/>
      <c r="E342" s="71"/>
      <c r="F342" s="71"/>
    </row>
    <row r="343" spans="1:6" s="242" customFormat="1" x14ac:dyDescent="0.2">
      <c r="A343" s="189"/>
      <c r="B343" s="241"/>
      <c r="C343" s="2"/>
      <c r="D343" s="71"/>
      <c r="E343" s="71"/>
      <c r="F343" s="71"/>
    </row>
    <row r="344" spans="1:6" s="242" customFormat="1" x14ac:dyDescent="0.2">
      <c r="A344" s="189"/>
      <c r="B344" s="241"/>
      <c r="C344" s="2"/>
      <c r="D344" s="71"/>
      <c r="E344" s="71"/>
      <c r="F344" s="71"/>
    </row>
    <row r="345" spans="1:6" s="242" customFormat="1" x14ac:dyDescent="0.2">
      <c r="A345" s="189"/>
      <c r="B345" s="241"/>
      <c r="C345" s="2"/>
      <c r="D345" s="71"/>
      <c r="E345" s="71"/>
      <c r="F345" s="71"/>
    </row>
    <row r="346" spans="1:6" s="242" customFormat="1" x14ac:dyDescent="0.2">
      <c r="A346" s="189"/>
      <c r="B346" s="241"/>
      <c r="C346" s="2"/>
      <c r="D346" s="71"/>
      <c r="E346" s="71"/>
      <c r="F346" s="71"/>
    </row>
    <row r="347" spans="1:6" s="242" customFormat="1" x14ac:dyDescent="0.2">
      <c r="A347" s="189"/>
      <c r="B347" s="241"/>
      <c r="C347" s="2"/>
      <c r="D347" s="71"/>
      <c r="E347" s="71"/>
      <c r="F347" s="71"/>
    </row>
    <row r="348" spans="1:6" s="242" customFormat="1" x14ac:dyDescent="0.2">
      <c r="A348" s="189"/>
      <c r="B348" s="241"/>
      <c r="C348" s="2"/>
      <c r="D348" s="71"/>
      <c r="E348" s="71"/>
      <c r="F348" s="71"/>
    </row>
    <row r="349" spans="1:6" s="242" customFormat="1" x14ac:dyDescent="0.2">
      <c r="A349" s="189"/>
      <c r="B349" s="241"/>
      <c r="C349" s="2"/>
      <c r="D349" s="71"/>
      <c r="E349" s="71"/>
      <c r="F349" s="71"/>
    </row>
    <row r="350" spans="1:6" s="242" customFormat="1" x14ac:dyDescent="0.2">
      <c r="A350" s="189"/>
      <c r="B350" s="241"/>
      <c r="C350" s="2"/>
      <c r="D350" s="71"/>
      <c r="E350" s="71"/>
      <c r="F350" s="71"/>
    </row>
    <row r="351" spans="1:6" s="242" customFormat="1" x14ac:dyDescent="0.2">
      <c r="A351" s="189"/>
      <c r="B351" s="241"/>
      <c r="C351" s="2"/>
      <c r="D351" s="71"/>
      <c r="E351" s="71"/>
      <c r="F351" s="71"/>
    </row>
    <row r="352" spans="1:6" s="242" customFormat="1" x14ac:dyDescent="0.2">
      <c r="A352" s="189"/>
      <c r="B352" s="241"/>
      <c r="C352" s="2"/>
      <c r="D352" s="71"/>
      <c r="E352" s="71"/>
      <c r="F352" s="71"/>
    </row>
    <row r="353" spans="1:6" s="242" customFormat="1" x14ac:dyDescent="0.2">
      <c r="A353" s="189"/>
      <c r="B353" s="241"/>
      <c r="C353" s="2"/>
      <c r="D353" s="71"/>
      <c r="E353" s="71"/>
      <c r="F353" s="71"/>
    </row>
    <row r="354" spans="1:6" s="242" customFormat="1" x14ac:dyDescent="0.2">
      <c r="A354" s="189"/>
      <c r="B354" s="241"/>
      <c r="C354" s="2"/>
      <c r="D354" s="71"/>
      <c r="E354" s="71"/>
      <c r="F354" s="71"/>
    </row>
    <row r="355" spans="1:6" s="242" customFormat="1" x14ac:dyDescent="0.2">
      <c r="A355" s="189"/>
      <c r="B355" s="241"/>
      <c r="C355" s="2"/>
      <c r="D355" s="71"/>
      <c r="E355" s="71"/>
      <c r="F355" s="71"/>
    </row>
    <row r="356" spans="1:6" s="242" customFormat="1" x14ac:dyDescent="0.2">
      <c r="A356" s="189"/>
      <c r="B356" s="241"/>
      <c r="C356" s="2"/>
      <c r="D356" s="71"/>
      <c r="E356" s="71"/>
      <c r="F356" s="71"/>
    </row>
    <row r="357" spans="1:6" s="242" customFormat="1" x14ac:dyDescent="0.2">
      <c r="A357" s="189"/>
      <c r="B357" s="241"/>
      <c r="C357" s="2"/>
      <c r="D357" s="71"/>
      <c r="E357" s="71"/>
      <c r="F357" s="71"/>
    </row>
    <row r="358" spans="1:6" s="242" customFormat="1" x14ac:dyDescent="0.2">
      <c r="A358" s="189"/>
      <c r="B358" s="241"/>
      <c r="C358" s="2"/>
      <c r="D358" s="71"/>
      <c r="E358" s="71"/>
      <c r="F358" s="71"/>
    </row>
    <row r="359" spans="1:6" s="242" customFormat="1" x14ac:dyDescent="0.2">
      <c r="A359" s="189"/>
      <c r="B359" s="241"/>
      <c r="C359" s="2"/>
      <c r="D359" s="71"/>
      <c r="E359" s="71"/>
      <c r="F359" s="71"/>
    </row>
    <row r="360" spans="1:6" s="242" customFormat="1" x14ac:dyDescent="0.2">
      <c r="A360" s="189"/>
      <c r="B360" s="241"/>
      <c r="C360" s="2"/>
      <c r="D360" s="71"/>
      <c r="E360" s="71"/>
      <c r="F360" s="71"/>
    </row>
    <row r="361" spans="1:6" s="242" customFormat="1" x14ac:dyDescent="0.2">
      <c r="A361" s="189"/>
      <c r="B361" s="241"/>
      <c r="C361" s="2"/>
      <c r="D361" s="71"/>
      <c r="E361" s="71"/>
      <c r="F361" s="71"/>
    </row>
    <row r="362" spans="1:6" s="242" customFormat="1" x14ac:dyDescent="0.2">
      <c r="A362" s="189"/>
      <c r="B362" s="241"/>
      <c r="C362" s="2"/>
      <c r="D362" s="71"/>
      <c r="E362" s="71"/>
      <c r="F362" s="71"/>
    </row>
    <row r="363" spans="1:6" s="242" customFormat="1" x14ac:dyDescent="0.2">
      <c r="A363" s="189"/>
      <c r="B363" s="241"/>
      <c r="C363" s="2"/>
      <c r="D363" s="71"/>
      <c r="E363" s="71"/>
      <c r="F363" s="71"/>
    </row>
    <row r="364" spans="1:6" s="242" customFormat="1" x14ac:dyDescent="0.2">
      <c r="A364" s="189"/>
      <c r="B364" s="241"/>
      <c r="C364" s="2"/>
      <c r="D364" s="71"/>
      <c r="E364" s="71"/>
      <c r="F364" s="71"/>
    </row>
    <row r="365" spans="1:6" s="242" customFormat="1" x14ac:dyDescent="0.2">
      <c r="A365" s="189"/>
      <c r="B365" s="241"/>
      <c r="C365" s="2"/>
      <c r="D365" s="71"/>
      <c r="E365" s="71"/>
      <c r="F365" s="71"/>
    </row>
    <row r="366" spans="1:6" s="242" customFormat="1" x14ac:dyDescent="0.2">
      <c r="A366" s="189"/>
      <c r="B366" s="241"/>
      <c r="C366" s="2"/>
      <c r="D366" s="71"/>
      <c r="E366" s="71"/>
      <c r="F366" s="71"/>
    </row>
    <row r="367" spans="1:6" s="242" customFormat="1" x14ac:dyDescent="0.2">
      <c r="A367" s="189"/>
      <c r="B367" s="241"/>
      <c r="C367" s="2"/>
      <c r="D367" s="71"/>
      <c r="E367" s="71"/>
      <c r="F367" s="71"/>
    </row>
    <row r="368" spans="1:6" s="242" customFormat="1" x14ac:dyDescent="0.2">
      <c r="A368" s="189"/>
      <c r="B368" s="241"/>
      <c r="C368" s="2"/>
      <c r="D368" s="71"/>
      <c r="E368" s="71"/>
      <c r="F368" s="71"/>
    </row>
    <row r="369" spans="1:6" s="242" customFormat="1" x14ac:dyDescent="0.2">
      <c r="A369" s="189"/>
      <c r="B369" s="241"/>
      <c r="C369" s="2"/>
      <c r="D369" s="71"/>
      <c r="E369" s="71"/>
      <c r="F369" s="71"/>
    </row>
    <row r="370" spans="1:6" s="242" customFormat="1" x14ac:dyDescent="0.2">
      <c r="A370" s="189"/>
      <c r="B370" s="241"/>
      <c r="C370" s="2"/>
      <c r="D370" s="71"/>
      <c r="E370" s="71"/>
      <c r="F370" s="71"/>
    </row>
    <row r="371" spans="1:6" s="242" customFormat="1" x14ac:dyDescent="0.2">
      <c r="A371" s="189"/>
      <c r="B371" s="241"/>
      <c r="C371" s="2"/>
      <c r="D371" s="71"/>
      <c r="E371" s="71"/>
      <c r="F371" s="71"/>
    </row>
    <row r="372" spans="1:6" s="242" customFormat="1" x14ac:dyDescent="0.2">
      <c r="A372" s="189"/>
      <c r="B372" s="241"/>
      <c r="C372" s="2"/>
      <c r="D372" s="71"/>
      <c r="E372" s="71"/>
      <c r="F372" s="71"/>
    </row>
    <row r="373" spans="1:6" s="242" customFormat="1" x14ac:dyDescent="0.2">
      <c r="A373" s="189"/>
      <c r="B373" s="241"/>
      <c r="C373" s="2"/>
      <c r="D373" s="71"/>
      <c r="E373" s="71"/>
      <c r="F373" s="71"/>
    </row>
    <row r="374" spans="1:6" s="242" customFormat="1" x14ac:dyDescent="0.2">
      <c r="A374" s="189"/>
      <c r="B374" s="241"/>
      <c r="C374" s="2"/>
      <c r="D374" s="71"/>
      <c r="E374" s="71"/>
      <c r="F374" s="71"/>
    </row>
    <row r="375" spans="1:6" s="242" customFormat="1" x14ac:dyDescent="0.2">
      <c r="A375" s="189"/>
      <c r="B375" s="241"/>
      <c r="C375" s="2"/>
      <c r="D375" s="71"/>
      <c r="E375" s="71"/>
      <c r="F375" s="71"/>
    </row>
    <row r="376" spans="1:6" s="242" customFormat="1" x14ac:dyDescent="0.2">
      <c r="A376" s="189"/>
      <c r="B376" s="241"/>
      <c r="C376" s="2"/>
      <c r="D376" s="71"/>
      <c r="E376" s="71"/>
      <c r="F376" s="71"/>
    </row>
    <row r="377" spans="1:6" s="242" customFormat="1" x14ac:dyDescent="0.2">
      <c r="A377" s="189"/>
      <c r="B377" s="241"/>
      <c r="C377" s="2"/>
      <c r="D377" s="71"/>
      <c r="E377" s="71"/>
      <c r="F377" s="71"/>
    </row>
    <row r="378" spans="1:6" s="242" customFormat="1" x14ac:dyDescent="0.2">
      <c r="A378" s="189"/>
      <c r="B378" s="241"/>
      <c r="C378" s="2"/>
      <c r="D378" s="71"/>
      <c r="E378" s="71"/>
      <c r="F378" s="71"/>
    </row>
    <row r="379" spans="1:6" s="242" customFormat="1" x14ac:dyDescent="0.2">
      <c r="A379" s="189"/>
      <c r="B379" s="241"/>
      <c r="C379" s="2"/>
      <c r="D379" s="71"/>
      <c r="E379" s="71"/>
      <c r="F379" s="71"/>
    </row>
    <row r="380" spans="1:6" s="242" customFormat="1" x14ac:dyDescent="0.2">
      <c r="A380" s="189"/>
      <c r="B380" s="241"/>
      <c r="C380" s="2"/>
      <c r="D380" s="71"/>
      <c r="E380" s="71"/>
      <c r="F380" s="71"/>
    </row>
    <row r="381" spans="1:6" s="242" customFormat="1" x14ac:dyDescent="0.2">
      <c r="A381" s="189"/>
      <c r="B381" s="241"/>
      <c r="C381" s="2"/>
      <c r="D381" s="71"/>
      <c r="E381" s="71"/>
      <c r="F381" s="71"/>
    </row>
    <row r="382" spans="1:6" s="242" customFormat="1" x14ac:dyDescent="0.2">
      <c r="A382" s="189"/>
      <c r="B382" s="241"/>
      <c r="C382" s="2"/>
      <c r="D382" s="71"/>
      <c r="E382" s="71"/>
      <c r="F382" s="71"/>
    </row>
    <row r="383" spans="1:6" s="242" customFormat="1" x14ac:dyDescent="0.2">
      <c r="A383" s="189"/>
      <c r="B383" s="241"/>
      <c r="C383" s="2"/>
      <c r="D383" s="71"/>
      <c r="E383" s="71"/>
      <c r="F383" s="71"/>
    </row>
    <row r="384" spans="1:6" s="242" customFormat="1" x14ac:dyDescent="0.2">
      <c r="A384" s="189"/>
      <c r="B384" s="241"/>
      <c r="C384" s="2"/>
      <c r="D384" s="71"/>
      <c r="E384" s="71"/>
      <c r="F384" s="71"/>
    </row>
    <row r="385" spans="1:6" s="242" customFormat="1" x14ac:dyDescent="0.2">
      <c r="A385" s="189"/>
      <c r="B385" s="241"/>
      <c r="C385" s="2"/>
      <c r="D385" s="71"/>
      <c r="E385" s="71"/>
      <c r="F385" s="71"/>
    </row>
    <row r="386" spans="1:6" s="242" customFormat="1" x14ac:dyDescent="0.2">
      <c r="A386" s="189"/>
      <c r="B386" s="241"/>
      <c r="C386" s="2"/>
      <c r="D386" s="71"/>
      <c r="E386" s="71"/>
      <c r="F386" s="71"/>
    </row>
    <row r="387" spans="1:6" s="242" customFormat="1" x14ac:dyDescent="0.2">
      <c r="A387" s="189"/>
      <c r="B387" s="241"/>
      <c r="C387" s="2"/>
      <c r="D387" s="71"/>
      <c r="E387" s="71"/>
      <c r="F387" s="71"/>
    </row>
    <row r="388" spans="1:6" s="242" customFormat="1" x14ac:dyDescent="0.2">
      <c r="A388" s="189"/>
      <c r="B388" s="241"/>
      <c r="C388" s="2"/>
      <c r="D388" s="71"/>
      <c r="E388" s="71"/>
      <c r="F388" s="71"/>
    </row>
    <row r="389" spans="1:6" s="242" customFormat="1" x14ac:dyDescent="0.2">
      <c r="A389" s="189"/>
      <c r="B389" s="241"/>
      <c r="C389" s="2"/>
      <c r="D389" s="71"/>
      <c r="E389" s="71"/>
      <c r="F389" s="71"/>
    </row>
    <row r="390" spans="1:6" s="242" customFormat="1" x14ac:dyDescent="0.2">
      <c r="A390" s="189"/>
      <c r="B390" s="241"/>
      <c r="C390" s="2"/>
      <c r="D390" s="71"/>
      <c r="E390" s="71"/>
      <c r="F390" s="71"/>
    </row>
    <row r="391" spans="1:6" s="242" customFormat="1" x14ac:dyDescent="0.2">
      <c r="A391" s="189"/>
      <c r="B391" s="241"/>
      <c r="C391" s="2"/>
      <c r="D391" s="71"/>
      <c r="E391" s="71"/>
      <c r="F391" s="71"/>
    </row>
    <row r="392" spans="1:6" s="242" customFormat="1" x14ac:dyDescent="0.2">
      <c r="A392" s="189"/>
      <c r="B392" s="241"/>
      <c r="C392" s="2"/>
      <c r="D392" s="71"/>
      <c r="E392" s="71"/>
      <c r="F392" s="71"/>
    </row>
    <row r="393" spans="1:6" s="242" customFormat="1" x14ac:dyDescent="0.2">
      <c r="A393" s="189"/>
      <c r="B393" s="241"/>
      <c r="C393" s="2"/>
      <c r="D393" s="71"/>
      <c r="E393" s="71"/>
      <c r="F393" s="71"/>
    </row>
    <row r="394" spans="1:6" s="242" customFormat="1" x14ac:dyDescent="0.2">
      <c r="A394" s="189"/>
      <c r="B394" s="241"/>
      <c r="C394" s="2"/>
      <c r="D394" s="71"/>
      <c r="E394" s="71"/>
      <c r="F394" s="71"/>
    </row>
    <row r="395" spans="1:6" s="242" customFormat="1" x14ac:dyDescent="0.2">
      <c r="A395" s="189"/>
      <c r="B395" s="241"/>
      <c r="C395" s="2"/>
      <c r="D395" s="71"/>
      <c r="E395" s="71"/>
      <c r="F395" s="71"/>
    </row>
    <row r="396" spans="1:6" s="242" customFormat="1" x14ac:dyDescent="0.2">
      <c r="A396" s="189"/>
      <c r="B396" s="241"/>
      <c r="C396" s="2"/>
      <c r="D396" s="71"/>
      <c r="E396" s="71"/>
      <c r="F396" s="71"/>
    </row>
    <row r="397" spans="1:6" s="242" customFormat="1" x14ac:dyDescent="0.2">
      <c r="A397" s="189"/>
      <c r="B397" s="241"/>
      <c r="C397" s="2"/>
      <c r="D397" s="71"/>
      <c r="E397" s="71"/>
      <c r="F397" s="71"/>
    </row>
    <row r="398" spans="1:6" s="242" customFormat="1" x14ac:dyDescent="0.2">
      <c r="A398" s="189"/>
      <c r="B398" s="241"/>
      <c r="C398" s="2"/>
      <c r="D398" s="71"/>
      <c r="E398" s="71"/>
      <c r="F398" s="71"/>
    </row>
    <row r="399" spans="1:6" s="242" customFormat="1" x14ac:dyDescent="0.2">
      <c r="A399" s="189"/>
      <c r="B399" s="241"/>
      <c r="C399" s="2"/>
      <c r="D399" s="71"/>
      <c r="E399" s="71"/>
      <c r="F399" s="71"/>
    </row>
    <row r="400" spans="1:6" s="242" customFormat="1" x14ac:dyDescent="0.2">
      <c r="A400" s="189"/>
      <c r="B400" s="241"/>
      <c r="C400" s="2"/>
      <c r="D400" s="71"/>
      <c r="E400" s="71"/>
      <c r="F400" s="71"/>
    </row>
    <row r="401" spans="1:6" s="242" customFormat="1" x14ac:dyDescent="0.2">
      <c r="A401" s="189"/>
      <c r="B401" s="241"/>
      <c r="C401" s="2"/>
      <c r="D401" s="71"/>
      <c r="E401" s="71"/>
      <c r="F401" s="71"/>
    </row>
    <row r="402" spans="1:6" s="242" customFormat="1" x14ac:dyDescent="0.2">
      <c r="A402" s="189"/>
      <c r="B402" s="241"/>
      <c r="C402" s="2"/>
      <c r="D402" s="71"/>
      <c r="E402" s="71"/>
      <c r="F402" s="71"/>
    </row>
    <row r="403" spans="1:6" s="242" customFormat="1" x14ac:dyDescent="0.2">
      <c r="A403" s="189"/>
      <c r="B403" s="241"/>
      <c r="C403" s="2"/>
      <c r="D403" s="71"/>
      <c r="E403" s="71"/>
      <c r="F403" s="71"/>
    </row>
    <row r="404" spans="1:6" s="242" customFormat="1" x14ac:dyDescent="0.2">
      <c r="A404" s="189"/>
      <c r="B404" s="241"/>
      <c r="C404" s="2"/>
      <c r="D404" s="71"/>
      <c r="E404" s="71"/>
      <c r="F404" s="71"/>
    </row>
    <row r="405" spans="1:6" s="242" customFormat="1" x14ac:dyDescent="0.2">
      <c r="A405" s="189"/>
      <c r="B405" s="241"/>
      <c r="C405" s="2"/>
      <c r="D405" s="71"/>
      <c r="E405" s="71"/>
      <c r="F405" s="71"/>
    </row>
    <row r="406" spans="1:6" s="242" customFormat="1" x14ac:dyDescent="0.2">
      <c r="A406" s="189"/>
      <c r="B406" s="241"/>
      <c r="C406" s="2"/>
      <c r="D406" s="71"/>
      <c r="E406" s="71"/>
      <c r="F406" s="71"/>
    </row>
    <row r="407" spans="1:6" s="242" customFormat="1" x14ac:dyDescent="0.2">
      <c r="A407" s="189"/>
      <c r="B407" s="241"/>
      <c r="C407" s="2"/>
      <c r="D407" s="71"/>
      <c r="E407" s="71"/>
      <c r="F407" s="71"/>
    </row>
    <row r="408" spans="1:6" s="242" customFormat="1" x14ac:dyDescent="0.2">
      <c r="A408" s="189"/>
      <c r="B408" s="241"/>
      <c r="C408" s="2"/>
      <c r="D408" s="71"/>
      <c r="E408" s="71"/>
      <c r="F408" s="71"/>
    </row>
    <row r="409" spans="1:6" s="242" customFormat="1" x14ac:dyDescent="0.2">
      <c r="A409" s="189"/>
      <c r="B409" s="241"/>
      <c r="C409" s="2"/>
      <c r="D409" s="71"/>
      <c r="E409" s="71"/>
      <c r="F409" s="71"/>
    </row>
    <row r="410" spans="1:6" s="242" customFormat="1" x14ac:dyDescent="0.2">
      <c r="A410" s="189"/>
      <c r="B410" s="241"/>
      <c r="C410" s="2"/>
      <c r="D410" s="71"/>
      <c r="E410" s="71"/>
      <c r="F410" s="71"/>
    </row>
    <row r="411" spans="1:6" s="242" customFormat="1" x14ac:dyDescent="0.2">
      <c r="A411" s="189"/>
      <c r="B411" s="241"/>
      <c r="C411" s="2"/>
      <c r="D411" s="71"/>
      <c r="E411" s="71"/>
      <c r="F411" s="71"/>
    </row>
    <row r="412" spans="1:6" s="242" customFormat="1" x14ac:dyDescent="0.2">
      <c r="A412" s="189"/>
      <c r="B412" s="241"/>
      <c r="C412" s="2"/>
      <c r="D412" s="71"/>
      <c r="E412" s="71"/>
      <c r="F412" s="71"/>
    </row>
    <row r="413" spans="1:6" s="242" customFormat="1" x14ac:dyDescent="0.2">
      <c r="A413" s="189"/>
      <c r="B413" s="241"/>
      <c r="C413" s="2"/>
      <c r="D413" s="71"/>
      <c r="E413" s="71"/>
      <c r="F413" s="71"/>
    </row>
    <row r="414" spans="1:6" s="242" customFormat="1" x14ac:dyDescent="0.2">
      <c r="A414" s="189"/>
      <c r="B414" s="241"/>
      <c r="C414" s="2"/>
      <c r="D414" s="71"/>
      <c r="E414" s="71"/>
      <c r="F414" s="71"/>
    </row>
    <row r="415" spans="1:6" s="242" customFormat="1" x14ac:dyDescent="0.2">
      <c r="A415" s="189"/>
      <c r="B415" s="241"/>
      <c r="C415" s="2"/>
      <c r="D415" s="71"/>
      <c r="E415" s="71"/>
      <c r="F415" s="71"/>
    </row>
    <row r="416" spans="1:6" s="242" customFormat="1" x14ac:dyDescent="0.2">
      <c r="A416" s="189"/>
      <c r="B416" s="241"/>
      <c r="C416" s="2"/>
      <c r="D416" s="71"/>
      <c r="E416" s="71"/>
      <c r="F416" s="71"/>
    </row>
    <row r="417" spans="1:6" s="242" customFormat="1" x14ac:dyDescent="0.2">
      <c r="A417" s="189"/>
      <c r="B417" s="241"/>
      <c r="C417" s="2"/>
      <c r="D417" s="71"/>
      <c r="E417" s="71"/>
      <c r="F417" s="71"/>
    </row>
    <row r="418" spans="1:6" s="242" customFormat="1" x14ac:dyDescent="0.2">
      <c r="A418" s="189"/>
      <c r="B418" s="241"/>
      <c r="C418" s="2"/>
      <c r="D418" s="71"/>
      <c r="E418" s="71"/>
      <c r="F418" s="71"/>
    </row>
    <row r="419" spans="1:6" s="242" customFormat="1" x14ac:dyDescent="0.2">
      <c r="A419" s="189"/>
      <c r="B419" s="241"/>
      <c r="C419" s="2"/>
      <c r="D419" s="71"/>
      <c r="E419" s="71"/>
      <c r="F419" s="71"/>
    </row>
    <row r="420" spans="1:6" s="242" customFormat="1" x14ac:dyDescent="0.2">
      <c r="A420" s="189"/>
      <c r="B420" s="241"/>
      <c r="C420" s="2"/>
      <c r="D420" s="71"/>
      <c r="E420" s="71"/>
      <c r="F420" s="71"/>
    </row>
    <row r="421" spans="1:6" s="242" customFormat="1" x14ac:dyDescent="0.2">
      <c r="A421" s="189"/>
      <c r="B421" s="241"/>
      <c r="C421" s="2"/>
      <c r="D421" s="71"/>
      <c r="E421" s="71"/>
      <c r="F421" s="71"/>
    </row>
    <row r="422" spans="1:6" s="242" customFormat="1" x14ac:dyDescent="0.2">
      <c r="A422" s="189"/>
      <c r="B422" s="241"/>
      <c r="C422" s="2"/>
      <c r="D422" s="71"/>
      <c r="E422" s="71"/>
      <c r="F422" s="71"/>
    </row>
    <row r="423" spans="1:6" s="242" customFormat="1" x14ac:dyDescent="0.2">
      <c r="A423" s="189"/>
      <c r="B423" s="241"/>
      <c r="C423" s="2"/>
      <c r="D423" s="71"/>
      <c r="E423" s="71"/>
      <c r="F423" s="71"/>
    </row>
    <row r="424" spans="1:6" s="242" customFormat="1" x14ac:dyDescent="0.2">
      <c r="A424" s="189"/>
      <c r="B424" s="241"/>
      <c r="C424" s="2"/>
      <c r="D424" s="71"/>
      <c r="E424" s="71"/>
      <c r="F424" s="71"/>
    </row>
    <row r="425" spans="1:6" s="242" customFormat="1" x14ac:dyDescent="0.2">
      <c r="A425" s="189"/>
      <c r="B425" s="241"/>
      <c r="C425" s="2"/>
      <c r="D425" s="71"/>
      <c r="E425" s="71"/>
      <c r="F425" s="71"/>
    </row>
    <row r="426" spans="1:6" s="242" customFormat="1" x14ac:dyDescent="0.2">
      <c r="A426" s="189"/>
      <c r="B426" s="241"/>
      <c r="C426" s="2"/>
      <c r="D426" s="71"/>
      <c r="E426" s="71"/>
      <c r="F426" s="71"/>
    </row>
    <row r="427" spans="1:6" s="242" customFormat="1" x14ac:dyDescent="0.2">
      <c r="A427" s="189"/>
      <c r="B427" s="241"/>
      <c r="C427" s="2"/>
      <c r="D427" s="71"/>
      <c r="E427" s="71"/>
      <c r="F427" s="71"/>
    </row>
    <row r="428" spans="1:6" s="242" customFormat="1" x14ac:dyDescent="0.2">
      <c r="A428" s="189"/>
      <c r="B428" s="241"/>
      <c r="C428" s="2"/>
      <c r="D428" s="71"/>
      <c r="E428" s="71"/>
      <c r="F428" s="71"/>
    </row>
    <row r="429" spans="1:6" s="242" customFormat="1" x14ac:dyDescent="0.2">
      <c r="A429" s="189"/>
      <c r="B429" s="241"/>
      <c r="C429" s="2"/>
      <c r="D429" s="71"/>
      <c r="E429" s="71"/>
      <c r="F429" s="71"/>
    </row>
    <row r="430" spans="1:6" s="242" customFormat="1" x14ac:dyDescent="0.2">
      <c r="A430" s="189"/>
      <c r="B430" s="241"/>
      <c r="C430" s="2"/>
      <c r="D430" s="71"/>
      <c r="E430" s="71"/>
      <c r="F430" s="71"/>
    </row>
    <row r="431" spans="1:6" s="242" customFormat="1" x14ac:dyDescent="0.2">
      <c r="A431" s="189"/>
      <c r="B431" s="241"/>
      <c r="C431" s="2"/>
      <c r="D431" s="71"/>
      <c r="E431" s="71"/>
      <c r="F431" s="71"/>
    </row>
    <row r="432" spans="1:6" s="242" customFormat="1" x14ac:dyDescent="0.2">
      <c r="A432" s="189"/>
      <c r="B432" s="241"/>
      <c r="C432" s="2"/>
      <c r="D432" s="71"/>
      <c r="E432" s="71"/>
      <c r="F432" s="71"/>
    </row>
    <row r="433" spans="1:6" s="242" customFormat="1" x14ac:dyDescent="0.2">
      <c r="A433" s="189"/>
      <c r="B433" s="241"/>
      <c r="C433" s="2"/>
      <c r="D433" s="71"/>
      <c r="E433" s="71"/>
      <c r="F433" s="71"/>
    </row>
    <row r="434" spans="1:6" s="242" customFormat="1" x14ac:dyDescent="0.2">
      <c r="A434" s="189"/>
      <c r="B434" s="241"/>
      <c r="C434" s="2"/>
      <c r="D434" s="71"/>
      <c r="E434" s="71"/>
      <c r="F434" s="71"/>
    </row>
    <row r="435" spans="1:6" s="242" customFormat="1" x14ac:dyDescent="0.2">
      <c r="A435" s="189"/>
      <c r="B435" s="241"/>
      <c r="C435" s="2"/>
      <c r="D435" s="71"/>
      <c r="E435" s="71"/>
      <c r="F435" s="71"/>
    </row>
    <row r="436" spans="1:6" s="242" customFormat="1" x14ac:dyDescent="0.2">
      <c r="A436" s="189"/>
      <c r="B436" s="241"/>
      <c r="C436" s="2"/>
      <c r="D436" s="71"/>
      <c r="E436" s="71"/>
      <c r="F436" s="71"/>
    </row>
    <row r="437" spans="1:6" s="242" customFormat="1" x14ac:dyDescent="0.2">
      <c r="A437" s="189"/>
      <c r="B437" s="241"/>
      <c r="C437" s="2"/>
      <c r="D437" s="71"/>
      <c r="E437" s="71"/>
      <c r="F437" s="71"/>
    </row>
    <row r="438" spans="1:6" s="242" customFormat="1" x14ac:dyDescent="0.2">
      <c r="A438" s="189"/>
      <c r="B438" s="241"/>
      <c r="C438" s="2"/>
      <c r="D438" s="71"/>
      <c r="E438" s="71"/>
      <c r="F438" s="71"/>
    </row>
    <row r="439" spans="1:6" s="242" customFormat="1" x14ac:dyDescent="0.2">
      <c r="A439" s="189"/>
      <c r="B439" s="241"/>
      <c r="C439" s="2"/>
      <c r="D439" s="71"/>
      <c r="E439" s="71"/>
      <c r="F439" s="71"/>
    </row>
    <row r="440" spans="1:6" s="242" customFormat="1" x14ac:dyDescent="0.2">
      <c r="A440" s="189"/>
      <c r="B440" s="241"/>
      <c r="C440" s="2"/>
      <c r="D440" s="71"/>
      <c r="E440" s="71"/>
      <c r="F440" s="71"/>
    </row>
    <row r="441" spans="1:6" s="242" customFormat="1" x14ac:dyDescent="0.2">
      <c r="A441" s="189"/>
      <c r="B441" s="241"/>
      <c r="C441" s="2"/>
      <c r="D441" s="71"/>
      <c r="E441" s="71"/>
      <c r="F441" s="71"/>
    </row>
    <row r="442" spans="1:6" s="242" customFormat="1" x14ac:dyDescent="0.2">
      <c r="A442" s="189"/>
      <c r="B442" s="241"/>
      <c r="C442" s="2"/>
      <c r="D442" s="71"/>
      <c r="E442" s="71"/>
      <c r="F442" s="71"/>
    </row>
    <row r="443" spans="1:6" s="242" customFormat="1" x14ac:dyDescent="0.2">
      <c r="A443" s="189"/>
      <c r="B443" s="241"/>
      <c r="C443" s="2"/>
      <c r="D443" s="71"/>
      <c r="E443" s="71"/>
      <c r="F443" s="71"/>
    </row>
    <row r="444" spans="1:6" s="242" customFormat="1" x14ac:dyDescent="0.2">
      <c r="A444" s="189"/>
      <c r="B444" s="241"/>
      <c r="C444" s="2"/>
      <c r="D444" s="71"/>
      <c r="E444" s="71"/>
      <c r="F444" s="71"/>
    </row>
    <row r="445" spans="1:6" s="242" customFormat="1" x14ac:dyDescent="0.2">
      <c r="A445" s="189"/>
      <c r="B445" s="241"/>
      <c r="C445" s="2"/>
      <c r="D445" s="71"/>
      <c r="E445" s="71"/>
      <c r="F445" s="71"/>
    </row>
    <row r="446" spans="1:6" s="242" customFormat="1" x14ac:dyDescent="0.2">
      <c r="A446" s="189"/>
      <c r="B446" s="241"/>
      <c r="C446" s="2"/>
      <c r="D446" s="71"/>
      <c r="E446" s="71"/>
      <c r="F446" s="71"/>
    </row>
    <row r="447" spans="1:6" s="242" customFormat="1" x14ac:dyDescent="0.2">
      <c r="A447" s="189"/>
      <c r="B447" s="241"/>
      <c r="C447" s="2"/>
      <c r="D447" s="71"/>
      <c r="E447" s="71"/>
      <c r="F447" s="71"/>
    </row>
    <row r="448" spans="1:6" s="242" customFormat="1" x14ac:dyDescent="0.2">
      <c r="A448" s="189"/>
      <c r="B448" s="241"/>
      <c r="C448" s="2"/>
      <c r="D448" s="71"/>
      <c r="E448" s="71"/>
      <c r="F448" s="71"/>
    </row>
    <row r="449" spans="1:6" s="242" customFormat="1" x14ac:dyDescent="0.2">
      <c r="A449" s="189"/>
      <c r="B449" s="241"/>
      <c r="C449" s="2"/>
      <c r="D449" s="71"/>
      <c r="E449" s="71"/>
      <c r="F449" s="71"/>
    </row>
    <row r="450" spans="1:6" s="242" customFormat="1" x14ac:dyDescent="0.2">
      <c r="A450" s="189"/>
      <c r="B450" s="241"/>
      <c r="C450" s="2"/>
      <c r="D450" s="71"/>
      <c r="E450" s="71"/>
      <c r="F450" s="71"/>
    </row>
    <row r="451" spans="1:6" s="242" customFormat="1" x14ac:dyDescent="0.2">
      <c r="A451" s="189"/>
      <c r="B451" s="241"/>
      <c r="C451" s="2"/>
      <c r="D451" s="71"/>
      <c r="E451" s="71"/>
      <c r="F451" s="71"/>
    </row>
    <row r="452" spans="1:6" s="242" customFormat="1" x14ac:dyDescent="0.2">
      <c r="A452" s="189"/>
      <c r="B452" s="241"/>
      <c r="C452" s="2"/>
      <c r="D452" s="71"/>
      <c r="E452" s="71"/>
      <c r="F452" s="71"/>
    </row>
    <row r="453" spans="1:6" s="242" customFormat="1" x14ac:dyDescent="0.2">
      <c r="A453" s="189"/>
      <c r="B453" s="241"/>
      <c r="C453" s="2"/>
      <c r="D453" s="71"/>
      <c r="E453" s="71"/>
      <c r="F453" s="71"/>
    </row>
    <row r="454" spans="1:6" s="242" customFormat="1" x14ac:dyDescent="0.2">
      <c r="A454" s="189"/>
      <c r="B454" s="241"/>
      <c r="C454" s="2"/>
      <c r="D454" s="71"/>
      <c r="E454" s="71"/>
      <c r="F454" s="71"/>
    </row>
    <row r="455" spans="1:6" s="242" customFormat="1" x14ac:dyDescent="0.2">
      <c r="A455" s="189"/>
      <c r="B455" s="241"/>
      <c r="C455" s="2"/>
      <c r="D455" s="71"/>
      <c r="E455" s="71"/>
      <c r="F455" s="71"/>
    </row>
    <row r="456" spans="1:6" s="242" customFormat="1" x14ac:dyDescent="0.2">
      <c r="A456" s="189"/>
      <c r="B456" s="241"/>
      <c r="C456" s="2"/>
      <c r="D456" s="71"/>
      <c r="E456" s="71"/>
      <c r="F456" s="71"/>
    </row>
    <row r="457" spans="1:6" s="242" customFormat="1" x14ac:dyDescent="0.2">
      <c r="A457" s="189"/>
      <c r="B457" s="241"/>
      <c r="C457" s="2"/>
      <c r="D457" s="71"/>
      <c r="E457" s="71"/>
      <c r="F457" s="71"/>
    </row>
    <row r="458" spans="1:6" s="242" customFormat="1" x14ac:dyDescent="0.2">
      <c r="A458" s="189"/>
      <c r="B458" s="241"/>
      <c r="C458" s="2"/>
      <c r="D458" s="71"/>
      <c r="E458" s="71"/>
      <c r="F458" s="71"/>
    </row>
    <row r="459" spans="1:6" s="242" customFormat="1" x14ac:dyDescent="0.2">
      <c r="A459" s="189"/>
      <c r="B459" s="241"/>
      <c r="C459" s="2"/>
      <c r="D459" s="71"/>
      <c r="E459" s="71"/>
      <c r="F459" s="71"/>
    </row>
    <row r="460" spans="1:6" s="242" customFormat="1" x14ac:dyDescent="0.2">
      <c r="A460" s="189"/>
      <c r="B460" s="241"/>
      <c r="C460" s="2"/>
      <c r="D460" s="71"/>
      <c r="E460" s="71"/>
      <c r="F460" s="71"/>
    </row>
    <row r="461" spans="1:6" s="242" customFormat="1" x14ac:dyDescent="0.2">
      <c r="A461" s="189"/>
      <c r="B461" s="241"/>
      <c r="C461" s="2"/>
      <c r="D461" s="71"/>
      <c r="E461" s="71"/>
      <c r="F461" s="71"/>
    </row>
    <row r="462" spans="1:6" s="242" customFormat="1" x14ac:dyDescent="0.2">
      <c r="A462" s="189"/>
      <c r="B462" s="241"/>
      <c r="C462" s="2"/>
      <c r="D462" s="71"/>
      <c r="E462" s="71"/>
      <c r="F462" s="71"/>
    </row>
    <row r="463" spans="1:6" s="242" customFormat="1" x14ac:dyDescent="0.2">
      <c r="A463" s="189"/>
      <c r="B463" s="241"/>
      <c r="C463" s="2"/>
      <c r="D463" s="71"/>
      <c r="E463" s="71"/>
      <c r="F463" s="71"/>
    </row>
    <row r="464" spans="1:6" s="242" customFormat="1" x14ac:dyDescent="0.2">
      <c r="A464" s="189"/>
      <c r="B464" s="241"/>
      <c r="C464" s="2"/>
      <c r="D464" s="71"/>
      <c r="E464" s="71"/>
      <c r="F464" s="71"/>
    </row>
    <row r="465" spans="1:6" s="242" customFormat="1" x14ac:dyDescent="0.2">
      <c r="A465" s="189"/>
      <c r="B465" s="241"/>
      <c r="C465" s="2"/>
      <c r="D465" s="71"/>
      <c r="E465" s="71"/>
      <c r="F465" s="71"/>
    </row>
    <row r="466" spans="1:6" s="242" customFormat="1" x14ac:dyDescent="0.2">
      <c r="A466" s="189"/>
      <c r="B466" s="241"/>
      <c r="C466" s="2"/>
      <c r="D466" s="71"/>
      <c r="E466" s="71"/>
      <c r="F466" s="71"/>
    </row>
    <row r="467" spans="1:6" s="242" customFormat="1" x14ac:dyDescent="0.2">
      <c r="A467" s="189"/>
      <c r="B467" s="241"/>
      <c r="C467" s="2"/>
      <c r="D467" s="71"/>
      <c r="E467" s="71"/>
      <c r="F467" s="71"/>
    </row>
    <row r="468" spans="1:6" s="242" customFormat="1" x14ac:dyDescent="0.2">
      <c r="A468" s="189"/>
      <c r="B468" s="241"/>
      <c r="C468" s="2"/>
      <c r="D468" s="71"/>
      <c r="E468" s="71"/>
      <c r="F468" s="71"/>
    </row>
    <row r="469" spans="1:6" s="242" customFormat="1" x14ac:dyDescent="0.2">
      <c r="A469" s="189"/>
      <c r="B469" s="241"/>
      <c r="C469" s="2"/>
      <c r="D469" s="71"/>
      <c r="E469" s="71"/>
      <c r="F469" s="71"/>
    </row>
    <row r="470" spans="1:6" s="242" customFormat="1" x14ac:dyDescent="0.2">
      <c r="A470" s="189"/>
      <c r="B470" s="241"/>
      <c r="C470" s="2"/>
      <c r="D470" s="71"/>
      <c r="E470" s="71"/>
      <c r="F470" s="71"/>
    </row>
    <row r="471" spans="1:6" s="242" customFormat="1" x14ac:dyDescent="0.2">
      <c r="A471" s="189"/>
      <c r="B471" s="241"/>
      <c r="C471" s="2"/>
      <c r="D471" s="71"/>
      <c r="E471" s="71"/>
      <c r="F471" s="71"/>
    </row>
    <row r="472" spans="1:6" s="242" customFormat="1" x14ac:dyDescent="0.2">
      <c r="A472" s="189"/>
      <c r="B472" s="241"/>
      <c r="C472" s="2"/>
      <c r="D472" s="71"/>
      <c r="E472" s="71"/>
      <c r="F472" s="71"/>
    </row>
    <row r="473" spans="1:6" s="242" customFormat="1" x14ac:dyDescent="0.2">
      <c r="A473" s="189"/>
      <c r="B473" s="241"/>
      <c r="C473" s="2"/>
      <c r="D473" s="71"/>
      <c r="E473" s="71"/>
      <c r="F473" s="71"/>
    </row>
    <row r="474" spans="1:6" s="242" customFormat="1" x14ac:dyDescent="0.2">
      <c r="A474" s="189"/>
      <c r="B474" s="241"/>
      <c r="C474" s="2"/>
      <c r="D474" s="71"/>
      <c r="E474" s="71"/>
      <c r="F474" s="71"/>
    </row>
    <row r="475" spans="1:6" s="242" customFormat="1" x14ac:dyDescent="0.2">
      <c r="A475" s="189"/>
      <c r="B475" s="241"/>
      <c r="C475" s="2"/>
      <c r="D475" s="71"/>
      <c r="E475" s="71"/>
      <c r="F475" s="71"/>
    </row>
    <row r="476" spans="1:6" s="242" customFormat="1" x14ac:dyDescent="0.2">
      <c r="A476" s="189"/>
      <c r="B476" s="241"/>
      <c r="C476" s="2"/>
      <c r="D476" s="71"/>
      <c r="E476" s="71"/>
      <c r="F476" s="71"/>
    </row>
    <row r="477" spans="1:6" s="242" customFormat="1" x14ac:dyDescent="0.2">
      <c r="A477" s="189"/>
      <c r="B477" s="241"/>
      <c r="C477" s="2"/>
      <c r="D477" s="71"/>
      <c r="E477" s="71"/>
      <c r="F477" s="71"/>
    </row>
    <row r="478" spans="1:6" s="242" customFormat="1" x14ac:dyDescent="0.2">
      <c r="A478" s="189"/>
      <c r="B478" s="241"/>
      <c r="C478" s="2"/>
      <c r="D478" s="71"/>
      <c r="E478" s="71"/>
      <c r="F478" s="71"/>
    </row>
    <row r="479" spans="1:6" s="242" customFormat="1" x14ac:dyDescent="0.2">
      <c r="A479" s="189"/>
      <c r="B479" s="241"/>
      <c r="C479" s="2"/>
      <c r="D479" s="71"/>
      <c r="E479" s="71"/>
      <c r="F479" s="71"/>
    </row>
    <row r="480" spans="1:6" s="242" customFormat="1" x14ac:dyDescent="0.2">
      <c r="A480" s="189"/>
      <c r="B480" s="241"/>
      <c r="C480" s="2"/>
      <c r="D480" s="71"/>
      <c r="E480" s="71"/>
      <c r="F480" s="71"/>
    </row>
    <row r="481" spans="1:6" s="242" customFormat="1" x14ac:dyDescent="0.2">
      <c r="A481" s="189"/>
      <c r="B481" s="241"/>
      <c r="C481" s="2"/>
      <c r="D481" s="71"/>
      <c r="E481" s="71"/>
      <c r="F481" s="71"/>
    </row>
    <row r="482" spans="1:6" s="242" customFormat="1" x14ac:dyDescent="0.2">
      <c r="A482" s="189"/>
      <c r="B482" s="241"/>
      <c r="C482" s="2"/>
      <c r="D482" s="71"/>
      <c r="E482" s="71"/>
      <c r="F482" s="71"/>
    </row>
    <row r="483" spans="1:6" s="242" customFormat="1" x14ac:dyDescent="0.2">
      <c r="A483" s="189"/>
      <c r="B483" s="241"/>
      <c r="C483" s="2"/>
      <c r="D483" s="71"/>
      <c r="E483" s="71"/>
      <c r="F483" s="71"/>
    </row>
    <row r="484" spans="1:6" s="242" customFormat="1" x14ac:dyDescent="0.2">
      <c r="A484" s="189"/>
      <c r="B484" s="241"/>
      <c r="C484" s="2"/>
      <c r="D484" s="71"/>
      <c r="E484" s="71"/>
      <c r="F484" s="71"/>
    </row>
    <row r="485" spans="1:6" s="242" customFormat="1" x14ac:dyDescent="0.2">
      <c r="A485" s="189"/>
      <c r="B485" s="241"/>
      <c r="C485" s="2"/>
      <c r="D485" s="71"/>
      <c r="E485" s="71"/>
      <c r="F485" s="71"/>
    </row>
    <row r="486" spans="1:6" s="242" customFormat="1" x14ac:dyDescent="0.2">
      <c r="A486" s="189"/>
      <c r="B486" s="241"/>
      <c r="C486" s="2"/>
      <c r="D486" s="71"/>
      <c r="E486" s="71"/>
      <c r="F486" s="71"/>
    </row>
    <row r="487" spans="1:6" s="242" customFormat="1" x14ac:dyDescent="0.2">
      <c r="A487" s="189"/>
      <c r="B487" s="241"/>
      <c r="C487" s="2"/>
      <c r="D487" s="71"/>
      <c r="E487" s="71"/>
      <c r="F487" s="71"/>
    </row>
    <row r="488" spans="1:6" s="242" customFormat="1" x14ac:dyDescent="0.2">
      <c r="A488" s="189"/>
      <c r="B488" s="241"/>
      <c r="C488" s="2"/>
      <c r="D488" s="71"/>
      <c r="E488" s="71"/>
      <c r="F488" s="71"/>
    </row>
    <row r="489" spans="1:6" s="242" customFormat="1" x14ac:dyDescent="0.2">
      <c r="A489" s="189"/>
      <c r="B489" s="241"/>
      <c r="C489" s="2"/>
      <c r="D489" s="71"/>
      <c r="E489" s="71"/>
      <c r="F489" s="71"/>
    </row>
    <row r="490" spans="1:6" s="242" customFormat="1" x14ac:dyDescent="0.2">
      <c r="A490" s="189"/>
      <c r="B490" s="241"/>
      <c r="C490" s="2"/>
      <c r="D490" s="71"/>
      <c r="E490" s="71"/>
      <c r="F490" s="71"/>
    </row>
    <row r="491" spans="1:6" s="242" customFormat="1" x14ac:dyDescent="0.2">
      <c r="A491" s="189"/>
      <c r="B491" s="241"/>
      <c r="C491" s="2"/>
      <c r="D491" s="71"/>
      <c r="E491" s="71"/>
      <c r="F491" s="71"/>
    </row>
    <row r="492" spans="1:6" s="242" customFormat="1" x14ac:dyDescent="0.2">
      <c r="A492" s="189"/>
      <c r="B492" s="241"/>
      <c r="C492" s="2"/>
      <c r="D492" s="71"/>
      <c r="E492" s="71"/>
      <c r="F492" s="71"/>
    </row>
    <row r="493" spans="1:6" s="242" customFormat="1" x14ac:dyDescent="0.2">
      <c r="A493" s="189"/>
      <c r="B493" s="241"/>
      <c r="C493" s="2"/>
      <c r="D493" s="71"/>
      <c r="E493" s="71"/>
      <c r="F493" s="71"/>
    </row>
    <row r="494" spans="1:6" s="242" customFormat="1" x14ac:dyDescent="0.2">
      <c r="A494" s="189"/>
      <c r="B494" s="241"/>
      <c r="C494" s="2"/>
      <c r="D494" s="71"/>
      <c r="E494" s="71"/>
      <c r="F494" s="71"/>
    </row>
    <row r="495" spans="1:6" s="242" customFormat="1" x14ac:dyDescent="0.2">
      <c r="A495" s="189"/>
      <c r="B495" s="241"/>
      <c r="C495" s="2"/>
      <c r="D495" s="71"/>
      <c r="E495" s="71"/>
      <c r="F495" s="71"/>
    </row>
    <row r="496" spans="1:6" s="242" customFormat="1" x14ac:dyDescent="0.2">
      <c r="A496" s="189"/>
      <c r="B496" s="241"/>
      <c r="C496" s="2"/>
      <c r="D496" s="71"/>
      <c r="E496" s="71"/>
      <c r="F496" s="71"/>
    </row>
    <row r="497" spans="1:6" s="242" customFormat="1" x14ac:dyDescent="0.2">
      <c r="A497" s="189"/>
      <c r="B497" s="241"/>
      <c r="C497" s="2"/>
      <c r="D497" s="71"/>
      <c r="E497" s="71"/>
      <c r="F497" s="71"/>
    </row>
    <row r="498" spans="1:6" s="242" customFormat="1" x14ac:dyDescent="0.2">
      <c r="A498" s="189"/>
      <c r="B498" s="241"/>
      <c r="C498" s="2"/>
      <c r="D498" s="71"/>
      <c r="E498" s="71"/>
      <c r="F498" s="71"/>
    </row>
    <row r="499" spans="1:6" s="242" customFormat="1" x14ac:dyDescent="0.2">
      <c r="A499" s="189"/>
      <c r="B499" s="241"/>
      <c r="C499" s="2"/>
      <c r="D499" s="71"/>
      <c r="E499" s="71"/>
      <c r="F499" s="71"/>
    </row>
    <row r="500" spans="1:6" s="242" customFormat="1" x14ac:dyDescent="0.2">
      <c r="A500" s="189"/>
      <c r="B500" s="241"/>
      <c r="C500" s="2"/>
      <c r="D500" s="71"/>
      <c r="E500" s="71"/>
      <c r="F500" s="71"/>
    </row>
    <row r="501" spans="1:6" s="242" customFormat="1" x14ac:dyDescent="0.2">
      <c r="A501" s="189"/>
      <c r="B501" s="241"/>
      <c r="C501" s="2"/>
      <c r="D501" s="71"/>
      <c r="E501" s="71"/>
      <c r="F501" s="71"/>
    </row>
    <row r="502" spans="1:6" s="242" customFormat="1" x14ac:dyDescent="0.2">
      <c r="A502" s="189"/>
      <c r="B502" s="241"/>
      <c r="C502" s="2"/>
      <c r="D502" s="71"/>
      <c r="E502" s="71"/>
      <c r="F502" s="71"/>
    </row>
    <row r="503" spans="1:6" s="242" customFormat="1" x14ac:dyDescent="0.2">
      <c r="A503" s="189"/>
      <c r="B503" s="241"/>
      <c r="C503" s="2"/>
      <c r="D503" s="71"/>
      <c r="E503" s="71"/>
      <c r="F503" s="71"/>
    </row>
    <row r="504" spans="1:6" s="242" customFormat="1" x14ac:dyDescent="0.2">
      <c r="A504" s="189"/>
      <c r="B504" s="241"/>
      <c r="C504" s="2"/>
      <c r="D504" s="71"/>
      <c r="E504" s="71"/>
      <c r="F504" s="71"/>
    </row>
    <row r="505" spans="1:6" s="242" customFormat="1" x14ac:dyDescent="0.2">
      <c r="A505" s="189"/>
      <c r="B505" s="241"/>
      <c r="C505" s="2"/>
      <c r="D505" s="71"/>
      <c r="E505" s="71"/>
      <c r="F505" s="71"/>
    </row>
    <row r="506" spans="1:6" s="242" customFormat="1" x14ac:dyDescent="0.2">
      <c r="A506" s="189"/>
      <c r="B506" s="241"/>
      <c r="C506" s="2"/>
      <c r="D506" s="71"/>
      <c r="E506" s="71"/>
      <c r="F506" s="71"/>
    </row>
    <row r="507" spans="1:6" s="242" customFormat="1" x14ac:dyDescent="0.2">
      <c r="A507" s="189"/>
      <c r="B507" s="241"/>
      <c r="C507" s="2"/>
      <c r="D507" s="71"/>
      <c r="E507" s="71"/>
      <c r="F507" s="71"/>
    </row>
    <row r="508" spans="1:6" s="242" customFormat="1" x14ac:dyDescent="0.2">
      <c r="A508" s="189"/>
      <c r="B508" s="241"/>
      <c r="C508" s="2"/>
      <c r="D508" s="71"/>
      <c r="E508" s="71"/>
      <c r="F508" s="71"/>
    </row>
    <row r="509" spans="1:6" s="242" customFormat="1" x14ac:dyDescent="0.2">
      <c r="A509" s="189"/>
      <c r="B509" s="241"/>
      <c r="C509" s="2"/>
      <c r="D509" s="71"/>
      <c r="E509" s="71"/>
      <c r="F509" s="71"/>
    </row>
    <row r="510" spans="1:6" s="242" customFormat="1" x14ac:dyDescent="0.2">
      <c r="A510" s="189"/>
      <c r="B510" s="241"/>
      <c r="C510" s="2"/>
      <c r="D510" s="71"/>
      <c r="E510" s="71"/>
      <c r="F510" s="71"/>
    </row>
    <row r="511" spans="1:6" s="242" customFormat="1" x14ac:dyDescent="0.2">
      <c r="A511" s="189"/>
      <c r="B511" s="241"/>
      <c r="C511" s="2"/>
      <c r="D511" s="71"/>
      <c r="E511" s="71"/>
      <c r="F511" s="71"/>
    </row>
    <row r="512" spans="1:6" s="242" customFormat="1" x14ac:dyDescent="0.2">
      <c r="A512" s="189"/>
      <c r="B512" s="241"/>
      <c r="C512" s="2"/>
      <c r="D512" s="71"/>
      <c r="E512" s="71"/>
      <c r="F512" s="71"/>
    </row>
    <row r="513" spans="1:6" s="242" customFormat="1" x14ac:dyDescent="0.2">
      <c r="A513" s="189"/>
      <c r="B513" s="241"/>
      <c r="C513" s="2"/>
      <c r="D513" s="71"/>
      <c r="E513" s="71"/>
      <c r="F513" s="71"/>
    </row>
    <row r="514" spans="1:6" s="242" customFormat="1" x14ac:dyDescent="0.2">
      <c r="A514" s="189"/>
      <c r="B514" s="241"/>
      <c r="C514" s="2"/>
      <c r="D514" s="71"/>
      <c r="E514" s="71"/>
      <c r="F514" s="71"/>
    </row>
    <row r="515" spans="1:6" s="242" customFormat="1" x14ac:dyDescent="0.2">
      <c r="A515" s="189"/>
      <c r="B515" s="241"/>
      <c r="C515" s="2"/>
      <c r="D515" s="71"/>
      <c r="E515" s="71"/>
      <c r="F515" s="71"/>
    </row>
    <row r="516" spans="1:6" s="242" customFormat="1" x14ac:dyDescent="0.2">
      <c r="A516" s="189"/>
      <c r="B516" s="241"/>
      <c r="C516" s="2"/>
      <c r="D516" s="71"/>
      <c r="E516" s="71"/>
      <c r="F516" s="71"/>
    </row>
    <row r="517" spans="1:6" s="242" customFormat="1" x14ac:dyDescent="0.2">
      <c r="A517" s="189"/>
      <c r="B517" s="241"/>
      <c r="C517" s="2"/>
      <c r="D517" s="71"/>
      <c r="E517" s="71"/>
      <c r="F517" s="71"/>
    </row>
    <row r="518" spans="1:6" s="242" customFormat="1" x14ac:dyDescent="0.2">
      <c r="A518" s="189"/>
      <c r="B518" s="241"/>
      <c r="C518" s="2"/>
      <c r="D518" s="71"/>
      <c r="E518" s="71"/>
      <c r="F518" s="71"/>
    </row>
    <row r="519" spans="1:6" s="242" customFormat="1" x14ac:dyDescent="0.2">
      <c r="A519" s="189"/>
      <c r="B519" s="241"/>
      <c r="C519" s="2"/>
      <c r="D519" s="71"/>
      <c r="E519" s="71"/>
      <c r="F519" s="71"/>
    </row>
    <row r="520" spans="1:6" s="242" customFormat="1" x14ac:dyDescent="0.2">
      <c r="A520" s="189"/>
      <c r="B520" s="241"/>
      <c r="C520" s="2"/>
      <c r="D520" s="71"/>
      <c r="E520" s="71"/>
      <c r="F520" s="71"/>
    </row>
    <row r="521" spans="1:6" s="242" customFormat="1" x14ac:dyDescent="0.2">
      <c r="A521" s="189"/>
      <c r="B521" s="241"/>
      <c r="C521" s="2"/>
      <c r="D521" s="71"/>
      <c r="E521" s="71"/>
      <c r="F521" s="71"/>
    </row>
    <row r="522" spans="1:6" s="242" customFormat="1" x14ac:dyDescent="0.2">
      <c r="A522" s="189"/>
      <c r="B522" s="241"/>
      <c r="C522" s="2"/>
      <c r="D522" s="71"/>
      <c r="E522" s="71"/>
      <c r="F522" s="71"/>
    </row>
    <row r="523" spans="1:6" s="242" customFormat="1" x14ac:dyDescent="0.2">
      <c r="A523" s="189"/>
      <c r="B523" s="241"/>
      <c r="C523" s="2"/>
      <c r="D523" s="71"/>
      <c r="E523" s="71"/>
      <c r="F523" s="71"/>
    </row>
    <row r="524" spans="1:6" s="242" customFormat="1" x14ac:dyDescent="0.2">
      <c r="A524" s="189"/>
      <c r="B524" s="241"/>
      <c r="C524" s="2"/>
      <c r="D524" s="71"/>
      <c r="E524" s="71"/>
      <c r="F524" s="71"/>
    </row>
    <row r="525" spans="1:6" s="242" customFormat="1" x14ac:dyDescent="0.2">
      <c r="A525" s="189"/>
      <c r="B525" s="241"/>
      <c r="C525" s="2"/>
      <c r="D525" s="71"/>
      <c r="E525" s="71"/>
      <c r="F525" s="71"/>
    </row>
    <row r="526" spans="1:6" s="242" customFormat="1" x14ac:dyDescent="0.2">
      <c r="A526" s="189"/>
      <c r="B526" s="241"/>
      <c r="C526" s="2"/>
      <c r="D526" s="71"/>
      <c r="E526" s="71"/>
      <c r="F526" s="71"/>
    </row>
    <row r="527" spans="1:6" s="242" customFormat="1" x14ac:dyDescent="0.2">
      <c r="A527" s="189"/>
      <c r="B527" s="241"/>
      <c r="C527" s="2"/>
      <c r="D527" s="71"/>
      <c r="E527" s="71"/>
      <c r="F527" s="71"/>
    </row>
    <row r="528" spans="1:6" s="242" customFormat="1" x14ac:dyDescent="0.2">
      <c r="A528" s="189"/>
      <c r="B528" s="241"/>
      <c r="C528" s="2"/>
      <c r="D528" s="71"/>
      <c r="E528" s="71"/>
      <c r="F528" s="71"/>
    </row>
    <row r="529" spans="1:6" s="242" customFormat="1" x14ac:dyDescent="0.2">
      <c r="A529" s="189"/>
      <c r="B529" s="241"/>
      <c r="C529" s="2"/>
      <c r="D529" s="71"/>
      <c r="E529" s="71"/>
      <c r="F529" s="71"/>
    </row>
    <row r="530" spans="1:6" s="242" customFormat="1" x14ac:dyDescent="0.2">
      <c r="A530" s="189"/>
      <c r="B530" s="241"/>
      <c r="C530" s="2"/>
      <c r="D530" s="71"/>
      <c r="E530" s="71"/>
      <c r="F530" s="71"/>
    </row>
    <row r="531" spans="1:6" s="242" customFormat="1" x14ac:dyDescent="0.2">
      <c r="A531" s="189"/>
      <c r="B531" s="241"/>
      <c r="C531" s="2"/>
      <c r="D531" s="71"/>
      <c r="E531" s="71"/>
      <c r="F531" s="71"/>
    </row>
    <row r="532" spans="1:6" s="242" customFormat="1" x14ac:dyDescent="0.2">
      <c r="A532" s="189"/>
      <c r="B532" s="241"/>
      <c r="C532" s="2"/>
      <c r="D532" s="71"/>
      <c r="E532" s="71"/>
      <c r="F532" s="71"/>
    </row>
    <row r="533" spans="1:6" s="242" customFormat="1" x14ac:dyDescent="0.2">
      <c r="A533" s="189"/>
      <c r="B533" s="241"/>
      <c r="C533" s="2"/>
      <c r="D533" s="71"/>
      <c r="E533" s="71"/>
      <c r="F533" s="71"/>
    </row>
  </sheetData>
  <sheetProtection algorithmName="SHA-512" hashValue="4lKYW52pyktzMhsdrR678qDeCQF0kVFUHSqio+nTVvlt+8R1Udp/DgRThM+WA41bq0F24Wv1Rpuvr/yIrNj6Xg==" saltValue="z7s7PlqIy1w3fzC080kJAw=="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58" max="16383" man="1"/>
  </rowBreaks>
  <ignoredErrors>
    <ignoredError sqref="B6:B23 B33:B50 B51:B54 B24:B27"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D100"/>
  <sheetViews>
    <sheetView showGridLines="0" zoomScale="80" zoomScaleNormal="80" workbookViewId="0"/>
  </sheetViews>
  <sheetFormatPr defaultColWidth="8.85546875" defaultRowHeight="15" x14ac:dyDescent="0.25"/>
  <cols>
    <col min="1" max="1" width="81.7109375" style="2" customWidth="1"/>
    <col min="2" max="2" width="10.140625" customWidth="1"/>
    <col min="3" max="12" width="11.7109375" customWidth="1"/>
    <col min="13" max="13" width="2.85546875" customWidth="1"/>
    <col min="14" max="23" width="10.85546875" customWidth="1"/>
    <col min="25" max="38" width="0" hidden="1" customWidth="1"/>
  </cols>
  <sheetData>
    <row r="1" spans="1:23" ht="30" customHeight="1" x14ac:dyDescent="0.25">
      <c r="A1" s="179" t="str">
        <f>'Assumptions input'!A1</f>
        <v xml:space="preserve">Zanubrutinib for treating chronic lymphocytic leukaemia </v>
      </c>
      <c r="B1" s="192" t="s">
        <v>1</v>
      </c>
      <c r="C1" s="192" t="s">
        <v>1</v>
      </c>
      <c r="D1" s="192" t="s">
        <v>1</v>
      </c>
      <c r="E1" s="192" t="s">
        <v>1</v>
      </c>
      <c r="F1" s="192" t="s">
        <v>1</v>
      </c>
      <c r="G1" s="192" t="s">
        <v>1</v>
      </c>
      <c r="H1" s="192" t="s">
        <v>1</v>
      </c>
      <c r="I1" s="192" t="s">
        <v>1</v>
      </c>
      <c r="J1" s="192" t="s">
        <v>1</v>
      </c>
      <c r="K1" s="192" t="s">
        <v>1</v>
      </c>
      <c r="L1" s="192" t="s">
        <v>1</v>
      </c>
      <c r="M1" s="192" t="s">
        <v>1</v>
      </c>
      <c r="N1" s="192" t="s">
        <v>1</v>
      </c>
      <c r="O1" s="192" t="s">
        <v>1</v>
      </c>
      <c r="P1" s="192" t="s">
        <v>1</v>
      </c>
      <c r="Q1" s="192" t="s">
        <v>1</v>
      </c>
      <c r="R1" s="192" t="s">
        <v>1</v>
      </c>
      <c r="S1" s="192" t="s">
        <v>1</v>
      </c>
      <c r="T1" s="192" t="s">
        <v>1</v>
      </c>
      <c r="U1" s="192" t="s">
        <v>1</v>
      </c>
      <c r="V1" s="192" t="s">
        <v>1</v>
      </c>
      <c r="W1" s="192" t="s">
        <v>1</v>
      </c>
    </row>
    <row r="2" spans="1:23" ht="30" customHeight="1" x14ac:dyDescent="0.25">
      <c r="A2" s="191" t="s">
        <v>766</v>
      </c>
      <c r="B2" s="192" t="s">
        <v>1</v>
      </c>
      <c r="C2" s="192" t="s">
        <v>1</v>
      </c>
      <c r="D2" s="192" t="s">
        <v>1</v>
      </c>
      <c r="E2" s="192" t="s">
        <v>1</v>
      </c>
      <c r="F2" s="192" t="s">
        <v>1</v>
      </c>
      <c r="G2" s="192" t="s">
        <v>1</v>
      </c>
      <c r="H2" s="192" t="s">
        <v>1</v>
      </c>
      <c r="I2" s="192"/>
      <c r="J2" s="192" t="s">
        <v>1</v>
      </c>
      <c r="K2" s="192" t="s">
        <v>1</v>
      </c>
      <c r="L2" s="192" t="s">
        <v>1</v>
      </c>
      <c r="M2" s="192" t="s">
        <v>1</v>
      </c>
      <c r="N2" s="192" t="s">
        <v>1</v>
      </c>
      <c r="O2" s="192" t="s">
        <v>1</v>
      </c>
      <c r="P2" s="192" t="s">
        <v>1</v>
      </c>
      <c r="Q2" s="192" t="s">
        <v>1</v>
      </c>
      <c r="R2" s="192" t="s">
        <v>1</v>
      </c>
      <c r="S2" s="192" t="s">
        <v>1</v>
      </c>
      <c r="T2" s="192" t="s">
        <v>1</v>
      </c>
      <c r="U2" s="192" t="s">
        <v>1</v>
      </c>
      <c r="V2" s="192" t="s">
        <v>1</v>
      </c>
      <c r="W2" s="192" t="s">
        <v>1</v>
      </c>
    </row>
    <row r="3" spans="1:23" ht="15.75" thickBot="1" x14ac:dyDescent="0.3">
      <c r="A3" s="212" t="s">
        <v>1</v>
      </c>
      <c r="B3" s="219" t="s">
        <v>1</v>
      </c>
      <c r="C3" s="219" t="s">
        <v>1</v>
      </c>
      <c r="D3" s="219" t="s">
        <v>1</v>
      </c>
      <c r="E3" s="219" t="s">
        <v>1</v>
      </c>
      <c r="F3" s="219" t="s">
        <v>1</v>
      </c>
      <c r="G3" s="219" t="s">
        <v>1</v>
      </c>
      <c r="H3" s="219" t="s">
        <v>1</v>
      </c>
      <c r="I3" s="219" t="s">
        <v>1</v>
      </c>
      <c r="J3" s="219" t="s">
        <v>1</v>
      </c>
      <c r="K3" s="219" t="s">
        <v>1</v>
      </c>
      <c r="L3" s="219" t="s">
        <v>1</v>
      </c>
      <c r="M3" s="219" t="s">
        <v>1</v>
      </c>
      <c r="N3" s="219" t="s">
        <v>1</v>
      </c>
      <c r="O3" s="219" t="s">
        <v>1</v>
      </c>
      <c r="P3" s="219" t="s">
        <v>1</v>
      </c>
      <c r="Q3" s="219" t="s">
        <v>1</v>
      </c>
      <c r="R3" s="219" t="s">
        <v>1</v>
      </c>
      <c r="S3" s="219" t="s">
        <v>1</v>
      </c>
      <c r="T3" s="219" t="s">
        <v>1</v>
      </c>
      <c r="U3" s="219" t="s">
        <v>1</v>
      </c>
      <c r="V3" s="219" t="s">
        <v>1</v>
      </c>
      <c r="W3" s="219" t="s">
        <v>1</v>
      </c>
    </row>
    <row r="4" spans="1:23" s="290" customFormat="1" ht="31.5" customHeight="1" thickBot="1" x14ac:dyDescent="0.3">
      <c r="A4" s="291" t="s">
        <v>767</v>
      </c>
      <c r="B4" s="292">
        <v>6</v>
      </c>
      <c r="C4" s="210" t="str">
        <f>VLOOKUP(B4,'Population selection'!B561:C577,2,0)</f>
        <v>Adults 18 years and over</v>
      </c>
      <c r="D4" s="293"/>
      <c r="E4" s="293"/>
      <c r="F4" s="289"/>
      <c r="G4" s="289"/>
      <c r="H4" s="289"/>
      <c r="I4" s="289"/>
      <c r="J4" s="289"/>
      <c r="K4" s="289"/>
      <c r="L4" s="289"/>
      <c r="M4" s="289"/>
      <c r="N4" s="289"/>
      <c r="O4" s="289"/>
      <c r="P4" s="289"/>
      <c r="Q4" s="289"/>
      <c r="R4" s="289"/>
      <c r="S4" s="289"/>
      <c r="T4" s="289"/>
      <c r="U4" s="289"/>
      <c r="V4" s="289"/>
      <c r="W4" s="289"/>
    </row>
    <row r="5" spans="1:23" x14ac:dyDescent="0.25">
      <c r="A5" s="212"/>
      <c r="B5" s="219"/>
      <c r="C5" s="219"/>
      <c r="D5" s="219"/>
      <c r="E5" s="219"/>
      <c r="F5" s="219"/>
      <c r="G5" s="219"/>
      <c r="H5" s="219"/>
      <c r="I5" s="219"/>
      <c r="J5" s="219"/>
      <c r="K5" s="219"/>
      <c r="L5" s="219"/>
      <c r="M5" s="219"/>
      <c r="N5" s="219"/>
      <c r="O5" s="219"/>
      <c r="P5" s="219"/>
      <c r="Q5" s="219"/>
      <c r="R5" s="219"/>
      <c r="S5" s="219"/>
      <c r="T5" s="219"/>
      <c r="U5" s="219"/>
      <c r="V5" s="219"/>
      <c r="W5" s="219"/>
    </row>
    <row r="6" spans="1:23" x14ac:dyDescent="0.25">
      <c r="A6" s="6" t="s">
        <v>768</v>
      </c>
      <c r="E6" s="219" t="s">
        <v>1</v>
      </c>
      <c r="F6" s="219" t="s">
        <v>1</v>
      </c>
      <c r="G6" s="219" t="s">
        <v>1</v>
      </c>
      <c r="H6" s="219" t="s">
        <v>1</v>
      </c>
      <c r="I6" s="219" t="s">
        <v>1</v>
      </c>
      <c r="J6" s="219" t="s">
        <v>1</v>
      </c>
      <c r="K6" s="219" t="s">
        <v>1</v>
      </c>
      <c r="L6" s="219" t="s">
        <v>1</v>
      </c>
      <c r="M6" s="219" t="s">
        <v>1</v>
      </c>
      <c r="N6" s="219" t="s">
        <v>1</v>
      </c>
      <c r="O6" s="219" t="s">
        <v>1</v>
      </c>
      <c r="P6" s="219" t="s">
        <v>1</v>
      </c>
      <c r="Q6" s="219" t="s">
        <v>1</v>
      </c>
      <c r="R6" s="219" t="s">
        <v>1</v>
      </c>
      <c r="S6" s="219" t="s">
        <v>1</v>
      </c>
      <c r="T6" s="219" t="s">
        <v>1</v>
      </c>
      <c r="U6" s="219" t="s">
        <v>1</v>
      </c>
      <c r="V6" s="219" t="s">
        <v>1</v>
      </c>
      <c r="W6" s="219" t="s">
        <v>1</v>
      </c>
    </row>
    <row r="7" spans="1:23" x14ac:dyDescent="0.25">
      <c r="A7" s="6" t="s">
        <v>769</v>
      </c>
      <c r="B7" s="219" t="s">
        <v>1</v>
      </c>
      <c r="C7" s="219" t="s">
        <v>1</v>
      </c>
      <c r="D7" s="219" t="s">
        <v>1</v>
      </c>
      <c r="E7" s="219" t="s">
        <v>1</v>
      </c>
      <c r="F7" s="219" t="s">
        <v>1</v>
      </c>
      <c r="G7" s="219" t="s">
        <v>1</v>
      </c>
      <c r="H7" s="219" t="s">
        <v>1</v>
      </c>
      <c r="I7" s="219" t="s">
        <v>1</v>
      </c>
      <c r="J7" s="219" t="s">
        <v>1</v>
      </c>
      <c r="K7" s="219" t="s">
        <v>1</v>
      </c>
      <c r="L7" s="219" t="s">
        <v>1</v>
      </c>
      <c r="M7" s="219" t="s">
        <v>1</v>
      </c>
      <c r="N7" s="219" t="s">
        <v>1</v>
      </c>
      <c r="O7" s="219" t="s">
        <v>1</v>
      </c>
      <c r="P7" s="219" t="s">
        <v>1</v>
      </c>
      <c r="Q7" s="219" t="s">
        <v>1</v>
      </c>
      <c r="R7" s="219" t="s">
        <v>1</v>
      </c>
      <c r="S7" s="219" t="s">
        <v>1</v>
      </c>
      <c r="T7" s="219" t="s">
        <v>1</v>
      </c>
      <c r="U7" s="219" t="s">
        <v>1</v>
      </c>
      <c r="V7" s="219" t="s">
        <v>1</v>
      </c>
      <c r="W7" s="219" t="s">
        <v>1</v>
      </c>
    </row>
    <row r="8" spans="1:23" ht="15.75" thickBot="1" x14ac:dyDescent="0.3">
      <c r="A8" s="220" t="s">
        <v>1</v>
      </c>
      <c r="B8" s="219" t="s">
        <v>1</v>
      </c>
      <c r="C8" s="219" t="s">
        <v>1</v>
      </c>
      <c r="D8" s="219" t="s">
        <v>1</v>
      </c>
      <c r="E8" s="219" t="s">
        <v>1</v>
      </c>
      <c r="F8" s="219" t="s">
        <v>1</v>
      </c>
      <c r="G8" s="219" t="s">
        <v>1</v>
      </c>
      <c r="H8" s="219" t="s">
        <v>1</v>
      </c>
      <c r="I8" s="219" t="s">
        <v>1</v>
      </c>
      <c r="J8" s="219" t="s">
        <v>1</v>
      </c>
      <c r="K8" s="219" t="s">
        <v>1</v>
      </c>
      <c r="L8" s="219" t="s">
        <v>1</v>
      </c>
      <c r="M8" s="219" t="s">
        <v>1</v>
      </c>
      <c r="N8" s="219" t="s">
        <v>1</v>
      </c>
      <c r="O8" s="219" t="s">
        <v>1</v>
      </c>
      <c r="P8" s="219" t="s">
        <v>1</v>
      </c>
      <c r="Q8" s="219" t="s">
        <v>1</v>
      </c>
      <c r="R8" s="219" t="s">
        <v>1</v>
      </c>
      <c r="S8" s="219" t="s">
        <v>1</v>
      </c>
      <c r="T8" s="219" t="s">
        <v>1</v>
      </c>
      <c r="U8" s="219" t="s">
        <v>1</v>
      </c>
      <c r="V8" s="219" t="s">
        <v>1</v>
      </c>
      <c r="W8" s="219" t="s">
        <v>1</v>
      </c>
    </row>
    <row r="9" spans="1:23" ht="90" customHeight="1" x14ac:dyDescent="0.25">
      <c r="A9" s="567" t="s">
        <v>616</v>
      </c>
      <c r="B9" s="193" t="s">
        <v>770</v>
      </c>
      <c r="C9" s="283" t="s">
        <v>771</v>
      </c>
      <c r="D9" s="284" t="s">
        <v>772</v>
      </c>
      <c r="E9" s="284" t="s">
        <v>773</v>
      </c>
      <c r="F9" s="284" t="s">
        <v>774</v>
      </c>
      <c r="G9" s="285" t="s">
        <v>775</v>
      </c>
      <c r="H9" s="423" t="s">
        <v>776</v>
      </c>
      <c r="I9" s="294" t="s">
        <v>777</v>
      </c>
      <c r="J9" s="286" t="s">
        <v>778</v>
      </c>
      <c r="K9" s="286" t="s">
        <v>779</v>
      </c>
      <c r="L9" s="327" t="s">
        <v>780</v>
      </c>
      <c r="M9" s="219" t="s">
        <v>1</v>
      </c>
      <c r="N9" s="219" t="s">
        <v>1</v>
      </c>
      <c r="O9" s="219" t="s">
        <v>1</v>
      </c>
      <c r="P9" s="219" t="s">
        <v>1</v>
      </c>
      <c r="Q9" s="219" t="s">
        <v>1</v>
      </c>
      <c r="R9" s="219" t="s">
        <v>1</v>
      </c>
      <c r="S9" s="219" t="s">
        <v>1</v>
      </c>
      <c r="T9" s="219" t="s">
        <v>1</v>
      </c>
      <c r="U9" s="219" t="s">
        <v>1</v>
      </c>
      <c r="V9" s="219" t="s">
        <v>1</v>
      </c>
      <c r="W9" s="219" t="s">
        <v>1</v>
      </c>
    </row>
    <row r="10" spans="1:23" s="334" customFormat="1" ht="30" customHeight="1" x14ac:dyDescent="0.25">
      <c r="A10" s="177" t="s">
        <v>781</v>
      </c>
      <c r="B10" s="332"/>
      <c r="C10" s="566"/>
      <c r="D10" s="566"/>
      <c r="E10" s="566"/>
      <c r="F10" s="566"/>
      <c r="G10" s="566"/>
      <c r="H10" s="424"/>
      <c r="I10" s="566"/>
      <c r="J10" s="566"/>
      <c r="K10" s="566"/>
      <c r="L10" s="333"/>
      <c r="M10" s="246" t="s">
        <v>1</v>
      </c>
      <c r="N10" s="246" t="s">
        <v>1</v>
      </c>
      <c r="O10" s="246" t="s">
        <v>1</v>
      </c>
      <c r="P10" s="246" t="s">
        <v>1</v>
      </c>
      <c r="Q10" s="246" t="s">
        <v>1</v>
      </c>
      <c r="R10" s="246" t="s">
        <v>1</v>
      </c>
      <c r="S10" s="246" t="s">
        <v>1</v>
      </c>
      <c r="T10" s="246" t="s">
        <v>1</v>
      </c>
      <c r="U10" s="246" t="s">
        <v>1</v>
      </c>
      <c r="V10" s="246" t="s">
        <v>1</v>
      </c>
      <c r="W10" s="246" t="s">
        <v>1</v>
      </c>
    </row>
    <row r="11" spans="1:23" s="334" customFormat="1" ht="30" customHeight="1" x14ac:dyDescent="0.25">
      <c r="A11" s="443" t="s">
        <v>782</v>
      </c>
      <c r="B11" s="335"/>
      <c r="C11" s="343">
        <f>VLOOKUP($B$4,'Population selection'!$B$561:$I$577,4,0)</f>
        <v>1.0158417431734368</v>
      </c>
      <c r="D11" s="343">
        <f>VLOOKUP($B$4,'Population selection'!$B$561:$I$577,5,0)</f>
        <v>1.0219028338714957</v>
      </c>
      <c r="E11" s="343">
        <f>VLOOKUP($B$4,'Population selection'!$B$561:$I$577,6,0)</f>
        <v>1.0280568686265446</v>
      </c>
      <c r="F11" s="344">
        <f>VLOOKUP($B$4,'Population selection'!$B$561:$I$577,7,0)</f>
        <v>1.0345147935582482</v>
      </c>
      <c r="G11" s="345">
        <f>VLOOKUP($B$4,'Population selection'!$B$561:$I$577,8,0)</f>
        <v>1.0406315337231495</v>
      </c>
      <c r="H11" s="346">
        <f>C11</f>
        <v>1.0158417431734368</v>
      </c>
      <c r="I11" s="347">
        <f>D11</f>
        <v>1.0219028338714957</v>
      </c>
      <c r="J11" s="347">
        <f>E11</f>
        <v>1.0280568686265446</v>
      </c>
      <c r="K11" s="347">
        <f>F11</f>
        <v>1.0345147935582482</v>
      </c>
      <c r="L11" s="348">
        <f>G11</f>
        <v>1.0406315337231495</v>
      </c>
      <c r="M11" s="246" t="s">
        <v>1</v>
      </c>
      <c r="N11" s="246" t="s">
        <v>1</v>
      </c>
      <c r="O11" s="246" t="s">
        <v>1</v>
      </c>
      <c r="P11" s="246" t="s">
        <v>1</v>
      </c>
      <c r="Q11" s="246" t="s">
        <v>1</v>
      </c>
      <c r="R11" s="246" t="s">
        <v>1</v>
      </c>
      <c r="S11" s="246" t="s">
        <v>1</v>
      </c>
      <c r="T11" s="246" t="s">
        <v>1</v>
      </c>
      <c r="U11" s="246" t="s">
        <v>1</v>
      </c>
      <c r="V11" s="246" t="s">
        <v>1</v>
      </c>
      <c r="W11" s="246" t="s">
        <v>1</v>
      </c>
    </row>
    <row r="12" spans="1:23" s="334" customFormat="1" ht="30" customHeight="1" x14ac:dyDescent="0.25">
      <c r="A12" s="444" t="s">
        <v>783</v>
      </c>
      <c r="B12" s="335"/>
      <c r="C12" s="343">
        <v>1</v>
      </c>
      <c r="D12" s="343">
        <v>1</v>
      </c>
      <c r="E12" s="343">
        <v>1</v>
      </c>
      <c r="F12" s="343">
        <v>1</v>
      </c>
      <c r="G12" s="343">
        <v>1</v>
      </c>
      <c r="H12" s="425">
        <v>1</v>
      </c>
      <c r="I12" s="343">
        <v>1</v>
      </c>
      <c r="J12" s="343">
        <v>1</v>
      </c>
      <c r="K12" s="343">
        <v>1</v>
      </c>
      <c r="L12" s="349">
        <v>1</v>
      </c>
      <c r="M12" s="246"/>
      <c r="N12" s="246"/>
      <c r="O12" s="246"/>
      <c r="P12" s="246"/>
      <c r="Q12" s="246"/>
      <c r="R12" s="246"/>
      <c r="S12" s="246"/>
      <c r="T12" s="246"/>
      <c r="U12" s="246"/>
      <c r="V12" s="246"/>
      <c r="W12" s="246"/>
    </row>
    <row r="13" spans="1:23" s="334" customFormat="1" ht="30" customHeight="1" x14ac:dyDescent="0.25">
      <c r="A13" s="443" t="s">
        <v>784</v>
      </c>
      <c r="B13" s="335"/>
      <c r="C13" s="434">
        <f>IF('Population selection'!$J$23="",'Population selection'!$J$15*C11,C11*'Population selection'!$J$23)</f>
        <v>45161124</v>
      </c>
      <c r="D13" s="434">
        <f>IF('Population selection'!$J$23="",'Population selection'!$J$15*D11,D11*'Population selection'!$J$23)</f>
        <v>45430581.000000007</v>
      </c>
      <c r="E13" s="434">
        <f>IF('Population selection'!$J$23="",'Population selection'!$J$15*E11,E11*'Population selection'!$J$23)</f>
        <v>45704170</v>
      </c>
      <c r="F13" s="434">
        <f>IF('Population selection'!$J$23="",'Population selection'!$J$15*F11,F11*'Population selection'!$J$23)</f>
        <v>45991269.000000007</v>
      </c>
      <c r="G13" s="434">
        <f>IF('Population selection'!$J$23="",'Population selection'!$J$15*G11,G11*'Population selection'!$J$23)</f>
        <v>46263200</v>
      </c>
      <c r="H13" s="435">
        <f>IF('Population selection'!$J$23="",'Population selection'!$J$15*H11,H11*'Population selection'!$J$23)</f>
        <v>45161124</v>
      </c>
      <c r="I13" s="434">
        <f>IF('Population selection'!$J$23="",'Population selection'!$J$15*I11,I11*'Population selection'!$J$23)</f>
        <v>45430581.000000007</v>
      </c>
      <c r="J13" s="434">
        <f>IF('Population selection'!$J$23="",'Population selection'!$J$15*J11,J11*'Population selection'!$J$23)</f>
        <v>45704170</v>
      </c>
      <c r="K13" s="434">
        <f>IF('Population selection'!$J$23="",'Population selection'!$J$15*K11,K11*'Population selection'!$J$23)</f>
        <v>45991269.000000007</v>
      </c>
      <c r="L13" s="436">
        <f>IF('Population selection'!$J$23="",'Population selection'!$J$15*L11,L11*'Population selection'!$J$23)</f>
        <v>46263200</v>
      </c>
      <c r="M13" s="246" t="s">
        <v>1</v>
      </c>
      <c r="N13" s="246" t="s">
        <v>1</v>
      </c>
      <c r="O13" s="246" t="s">
        <v>1</v>
      </c>
      <c r="P13" s="246" t="s">
        <v>1</v>
      </c>
      <c r="Q13" s="246" t="s">
        <v>1</v>
      </c>
      <c r="R13" s="246" t="s">
        <v>1</v>
      </c>
      <c r="S13" s="246" t="s">
        <v>1</v>
      </c>
      <c r="T13" s="246" t="s">
        <v>1</v>
      </c>
      <c r="U13" s="246" t="s">
        <v>1</v>
      </c>
      <c r="V13" s="246" t="s">
        <v>1</v>
      </c>
      <c r="W13" s="246" t="s">
        <v>1</v>
      </c>
    </row>
    <row r="14" spans="1:23" s="290" customFormat="1" ht="30" customHeight="1" x14ac:dyDescent="0.25">
      <c r="A14" s="177" t="s">
        <v>623</v>
      </c>
      <c r="B14" s="421"/>
      <c r="C14" s="437">
        <f>C13*'Assumptions input'!$B$15*'Assumptions input'!$B$16</f>
        <v>1897.1860395507119</v>
      </c>
      <c r="D14" s="437">
        <f>D13*'Assumptions input'!$B$15*'Assumptions input'!$B$16</f>
        <v>1908.5057325384071</v>
      </c>
      <c r="E14" s="437">
        <f>E13*'Assumptions input'!$B$15*'Assumptions input'!$B$16</f>
        <v>1919.9990078469361</v>
      </c>
      <c r="F14" s="437">
        <f>F13*'Assumptions input'!$B$15*'Assumptions input'!$B$16</f>
        <v>1932.0598284493858</v>
      </c>
      <c r="G14" s="434">
        <f>G13*'Assumptions input'!$B$15*'Assumptions input'!$B$16</f>
        <v>1943.4834523813554</v>
      </c>
      <c r="H14" s="438">
        <f>H13*'Assumptions input'!$D$15*'Assumptions input'!$D$16</f>
        <v>1897.1860395507119</v>
      </c>
      <c r="I14" s="437">
        <f>I13*'Assumptions input'!$D$15*'Assumptions input'!$D$16</f>
        <v>1908.5057325384071</v>
      </c>
      <c r="J14" s="437">
        <f>J13*'Assumptions input'!$D$15*'Assumptions input'!$D$16</f>
        <v>1919.9990078469361</v>
      </c>
      <c r="K14" s="437">
        <f>K13*'Assumptions input'!$D$15*'Assumptions input'!$D$16</f>
        <v>1932.0598284493858</v>
      </c>
      <c r="L14" s="436">
        <f>L13*'Assumptions input'!$D$15*'Assumptions input'!$D$16</f>
        <v>1943.4834523813554</v>
      </c>
      <c r="M14" s="289" t="s">
        <v>1</v>
      </c>
      <c r="N14" s="289" t="s">
        <v>1</v>
      </c>
      <c r="O14" s="420"/>
      <c r="P14" s="420"/>
      <c r="Q14" s="420"/>
      <c r="R14" s="420"/>
      <c r="S14" s="420"/>
      <c r="T14" s="420"/>
      <c r="U14" s="420"/>
      <c r="V14" s="289" t="s">
        <v>1</v>
      </c>
      <c r="W14" s="289" t="s">
        <v>1</v>
      </c>
    </row>
    <row r="15" spans="1:23" s="290" customFormat="1" ht="30" customHeight="1" x14ac:dyDescent="0.25">
      <c r="A15" s="331" t="s">
        <v>785</v>
      </c>
      <c r="B15" s="421"/>
      <c r="C15" s="422">
        <f>C14*'Assumptions input'!$B$18*'Assumptions input'!$B$19</f>
        <v>1144.0031818490795</v>
      </c>
      <c r="D15" s="422">
        <f>D14*'Assumptions input'!$B$18*'Assumptions input'!$B$19</f>
        <v>1150.8289567206596</v>
      </c>
      <c r="E15" s="422">
        <f>E14*'Assumptions input'!$B$18*'Assumptions input'!$B$19</f>
        <v>1157.7594017317026</v>
      </c>
      <c r="F15" s="422">
        <f>F14*'Assumptions input'!$B$18*'Assumptions input'!$B$19</f>
        <v>1165.0320765549798</v>
      </c>
      <c r="G15" s="336">
        <f>G14*'Assumptions input'!$B$18*'Assumptions input'!$B$19</f>
        <v>1171.9205217859574</v>
      </c>
      <c r="H15" s="426">
        <f>H14*'Assumptions input'!$D$18*'Assumptions input'!$D$19</f>
        <v>1144.0031818490795</v>
      </c>
      <c r="I15" s="422">
        <f>I14*'Assumptions input'!$D$18*'Assumptions input'!$D$19</f>
        <v>1150.8289567206596</v>
      </c>
      <c r="J15" s="422">
        <f>J14*'Assumptions input'!$D$18*'Assumptions input'!$D$19</f>
        <v>1157.7594017317026</v>
      </c>
      <c r="K15" s="422">
        <f>K14*'Assumptions input'!$D$18*'Assumptions input'!$D$19</f>
        <v>1165.0320765549798</v>
      </c>
      <c r="L15" s="337">
        <f>L14*'Assumptions input'!$D$18*'Assumptions input'!$D$19</f>
        <v>1171.9205217859574</v>
      </c>
      <c r="M15" s="289"/>
      <c r="N15" s="289"/>
      <c r="O15" s="420"/>
      <c r="P15" s="420"/>
      <c r="Q15" s="420"/>
      <c r="R15" s="420"/>
      <c r="S15" s="420"/>
      <c r="T15" s="420"/>
      <c r="U15" s="420"/>
      <c r="V15" s="289"/>
      <c r="W15" s="289"/>
    </row>
    <row r="16" spans="1:23" s="290" customFormat="1" ht="30" customHeight="1" x14ac:dyDescent="0.25">
      <c r="A16" s="331" t="s">
        <v>786</v>
      </c>
      <c r="B16" s="421"/>
      <c r="C16" s="422">
        <f>C14*'Assumptions input'!$B$21*'Assumptions input'!$B$22</f>
        <v>189.71860395507116</v>
      </c>
      <c r="D16" s="422">
        <f>D14*'Assumptions input'!$B$21*'Assumptions input'!$B$22</f>
        <v>190.85057325384068</v>
      </c>
      <c r="E16" s="422">
        <f>E14*'Assumptions input'!$B$21*'Assumptions input'!$B$22</f>
        <v>191.99990078469358</v>
      </c>
      <c r="F16" s="422">
        <f>F14*'Assumptions input'!$B$21*'Assumptions input'!$B$22</f>
        <v>193.20598284493855</v>
      </c>
      <c r="G16" s="336">
        <f>G14*'Assumptions input'!$B$21*'Assumptions input'!$B$22</f>
        <v>194.34834523813549</v>
      </c>
      <c r="H16" s="426">
        <f>H14*'Assumptions input'!$D$21*'Assumptions input'!$D$22</f>
        <v>189.71860395507116</v>
      </c>
      <c r="I16" s="422">
        <f>I14*'Assumptions input'!$D$21*'Assumptions input'!$D$22</f>
        <v>190.85057325384068</v>
      </c>
      <c r="J16" s="422">
        <f>J14*'Assumptions input'!$D$21*'Assumptions input'!$D$22</f>
        <v>191.99990078469358</v>
      </c>
      <c r="K16" s="422">
        <f>K14*'Assumptions input'!$D$21*'Assumptions input'!$D$22</f>
        <v>193.20598284493855</v>
      </c>
      <c r="L16" s="337">
        <f>L14*'Assumptions input'!$D$21*'Assumptions input'!$D$22</f>
        <v>194.34834523813549</v>
      </c>
      <c r="M16" s="289"/>
      <c r="N16" s="289"/>
      <c r="O16" s="420"/>
      <c r="P16" s="420"/>
      <c r="Q16" s="420"/>
      <c r="R16" s="420"/>
      <c r="S16" s="420"/>
      <c r="T16" s="420"/>
      <c r="U16" s="420"/>
      <c r="V16" s="289"/>
      <c r="W16" s="289"/>
    </row>
    <row r="17" spans="1:37" s="290" customFormat="1" ht="30" customHeight="1" x14ac:dyDescent="0.25">
      <c r="A17" s="565" t="s">
        <v>787</v>
      </c>
      <c r="B17" s="561"/>
      <c r="C17" s="562">
        <f>C14*'Assumptions input'!$B$24*'Assumptions input'!$B$25</f>
        <v>483.78244008543157</v>
      </c>
      <c r="D17" s="562">
        <f>D14*'Assumptions input'!$B$24*'Assumptions input'!$B$25</f>
        <v>486.66896179729383</v>
      </c>
      <c r="E17" s="562">
        <f>E14*'Assumptions input'!$B$24*'Assumptions input'!$B$25</f>
        <v>489.5997470009687</v>
      </c>
      <c r="F17" s="562">
        <f>F14*'Assumptions input'!$B$24*'Assumptions input'!$B$25</f>
        <v>492.67525625459336</v>
      </c>
      <c r="G17" s="562">
        <f>G14*'Assumptions input'!$B$24*'Assumptions input'!$B$25</f>
        <v>495.58828035724571</v>
      </c>
      <c r="H17" s="563">
        <f>H14*'Assumptions input'!$D$24*'Assumptions input'!$D$25</f>
        <v>483.78244008543157</v>
      </c>
      <c r="I17" s="562">
        <f>I14*'Assumptions input'!$D$24*'Assumptions input'!$D$25</f>
        <v>486.66896179729383</v>
      </c>
      <c r="J17" s="562">
        <f>J14*'Assumptions input'!$D$24*'Assumptions input'!$D$25</f>
        <v>489.5997470009687</v>
      </c>
      <c r="K17" s="562">
        <f>K14*'Assumptions input'!$D$24*'Assumptions input'!$D$25</f>
        <v>492.67525625459336</v>
      </c>
      <c r="L17" s="564">
        <f>L14*'Assumptions input'!$D$24*'Assumptions input'!$D$25</f>
        <v>495.58828035724571</v>
      </c>
      <c r="M17" s="289"/>
      <c r="N17" s="289"/>
      <c r="O17" s="420"/>
      <c r="P17" s="420"/>
      <c r="Q17" s="420"/>
      <c r="R17" s="420"/>
      <c r="S17" s="420"/>
      <c r="T17" s="420"/>
      <c r="U17" s="420"/>
      <c r="V17" s="289"/>
      <c r="W17" s="289"/>
    </row>
    <row r="18" spans="1:37" s="290" customFormat="1" ht="30" customHeight="1" thickBot="1" x14ac:dyDescent="0.3">
      <c r="A18" s="199" t="s">
        <v>841</v>
      </c>
      <c r="B18" s="568"/>
      <c r="C18" s="569">
        <f>C14*'Assumptions input'!$B$18*'Assumptions input'!$B$27</f>
        <v>563.46425374656144</v>
      </c>
      <c r="D18" s="569">
        <f>D14*'Assumptions input'!$B$18*'Assumptions input'!$B$27</f>
        <v>566.82620256390692</v>
      </c>
      <c r="E18" s="569">
        <f>E14*'Assumptions input'!$B$18*'Assumptions input'!$B$27</f>
        <v>570.23970533054</v>
      </c>
      <c r="F18" s="569">
        <f>F14*'Assumptions input'!$B$18*'Assumptions input'!$B$27</f>
        <v>573.82176904946755</v>
      </c>
      <c r="G18" s="572">
        <f>G14*'Assumptions input'!$B$18*'Assumptions input'!$B$27</f>
        <v>577.21458535726242</v>
      </c>
      <c r="H18" s="571">
        <f>H14*'Assumptions input'!$D$18*'Assumptions input'!$D$27</f>
        <v>563.46425374656144</v>
      </c>
      <c r="I18" s="569">
        <f>I14*'Assumptions input'!$D$18*'Assumptions input'!$D$27</f>
        <v>566.82620256390692</v>
      </c>
      <c r="J18" s="569">
        <f>J14*'Assumptions input'!$D$18*'Assumptions input'!$D$27</f>
        <v>570.23970533054</v>
      </c>
      <c r="K18" s="569">
        <f>K14*'Assumptions input'!$D$18*'Assumptions input'!$D$27</f>
        <v>573.82176904946755</v>
      </c>
      <c r="L18" s="570">
        <f>L14*'Assumptions input'!$D$18*'Assumptions input'!$D$27</f>
        <v>577.21458535726242</v>
      </c>
      <c r="M18" s="289"/>
      <c r="N18" s="289"/>
      <c r="O18" s="420"/>
      <c r="P18" s="420"/>
      <c r="Q18" s="420"/>
      <c r="R18" s="420"/>
      <c r="S18" s="420"/>
      <c r="T18" s="420"/>
      <c r="U18" s="420"/>
      <c r="V18" s="289"/>
      <c r="W18" s="289"/>
    </row>
    <row r="19" spans="1:37" ht="15.75" thickBot="1" x14ac:dyDescent="0.3">
      <c r="B19" s="219" t="s">
        <v>1</v>
      </c>
      <c r="C19" s="219" t="s">
        <v>1</v>
      </c>
      <c r="D19" s="219" t="s">
        <v>1</v>
      </c>
      <c r="E19" s="219" t="s">
        <v>1</v>
      </c>
      <c r="F19" s="219" t="s">
        <v>1</v>
      </c>
      <c r="G19" s="219" t="s">
        <v>1</v>
      </c>
      <c r="H19" s="219" t="s">
        <v>1</v>
      </c>
      <c r="I19" s="219" t="s">
        <v>1</v>
      </c>
      <c r="J19" s="219" t="s">
        <v>1</v>
      </c>
      <c r="K19" s="219" t="s">
        <v>1</v>
      </c>
      <c r="L19" s="219" t="s">
        <v>1</v>
      </c>
      <c r="M19" s="219" t="s">
        <v>1</v>
      </c>
      <c r="N19" s="219" t="s">
        <v>1</v>
      </c>
      <c r="O19" s="219" t="s">
        <v>1</v>
      </c>
      <c r="P19" s="219" t="s">
        <v>1</v>
      </c>
      <c r="Q19" s="219" t="s">
        <v>1</v>
      </c>
      <c r="R19" s="219" t="s">
        <v>1</v>
      </c>
      <c r="S19" s="219" t="s">
        <v>1</v>
      </c>
      <c r="T19" s="219" t="s">
        <v>1</v>
      </c>
      <c r="U19" s="219" t="s">
        <v>1</v>
      </c>
      <c r="V19" s="219" t="s">
        <v>1</v>
      </c>
      <c r="W19" s="219" t="s">
        <v>1</v>
      </c>
      <c r="AG19" s="186" t="e">
        <f>#REF!-#REF!</f>
        <v>#REF!</v>
      </c>
      <c r="AH19" s="186" t="e">
        <f>#REF!-#REF!</f>
        <v>#REF!</v>
      </c>
      <c r="AI19" s="186" t="e">
        <f>#REF!-#REF!</f>
        <v>#REF!</v>
      </c>
      <c r="AJ19" s="186" t="e">
        <f>#REF!-#REF!</f>
        <v>#REF!</v>
      </c>
      <c r="AK19" s="186" t="e">
        <f>#REF!-#REF!</f>
        <v>#REF!</v>
      </c>
    </row>
    <row r="20" spans="1:37" x14ac:dyDescent="0.25">
      <c r="A20" s="428" t="s">
        <v>788</v>
      </c>
      <c r="B20" s="429"/>
      <c r="C20" s="430"/>
      <c r="D20" s="430"/>
      <c r="E20" s="430"/>
      <c r="F20" s="430"/>
      <c r="G20" s="556"/>
      <c r="H20" s="431"/>
      <c r="I20" s="432"/>
      <c r="J20" s="432"/>
      <c r="K20" s="432"/>
      <c r="L20" s="433"/>
      <c r="M20" s="219"/>
      <c r="N20" s="219"/>
      <c r="O20" s="219"/>
      <c r="P20" s="219"/>
      <c r="Q20" s="219"/>
      <c r="R20" s="219"/>
      <c r="S20" s="219"/>
      <c r="T20" s="219"/>
      <c r="U20" s="219"/>
      <c r="V20" s="219"/>
      <c r="W20" s="219"/>
      <c r="AG20" s="186"/>
      <c r="AH20" s="186"/>
      <c r="AI20" s="186"/>
      <c r="AJ20" s="186"/>
      <c r="AK20" s="186"/>
    </row>
    <row r="21" spans="1:37" x14ac:dyDescent="0.25">
      <c r="A21" s="427" t="s">
        <v>625</v>
      </c>
      <c r="B21" s="194"/>
      <c r="C21" s="195"/>
      <c r="D21" s="195"/>
      <c r="E21" s="195"/>
      <c r="F21" s="195"/>
      <c r="G21" s="296"/>
      <c r="H21" s="222"/>
      <c r="I21" s="195"/>
      <c r="J21" s="195"/>
      <c r="K21" s="195"/>
      <c r="L21" s="296"/>
      <c r="M21" s="219"/>
      <c r="N21" s="219"/>
      <c r="O21" s="219"/>
      <c r="P21" s="219"/>
      <c r="Q21" s="219"/>
      <c r="R21" s="219"/>
      <c r="S21" s="219"/>
      <c r="T21" s="219"/>
      <c r="U21" s="219"/>
      <c r="V21" s="219"/>
      <c r="W21" s="219"/>
      <c r="AG21" s="186"/>
      <c r="AH21" s="186"/>
      <c r="AI21" s="186"/>
      <c r="AJ21" s="186"/>
      <c r="AK21" s="186"/>
    </row>
    <row r="22" spans="1:37" x14ac:dyDescent="0.25">
      <c r="A22" s="277" t="s">
        <v>636</v>
      </c>
      <c r="B22" s="194"/>
      <c r="C22" s="657">
        <f>'Assumptions input'!$B31</f>
        <v>0</v>
      </c>
      <c r="D22" s="657">
        <f>'Assumptions input'!$B31</f>
        <v>0</v>
      </c>
      <c r="E22" s="657">
        <f>'Assumptions input'!$B31</f>
        <v>0</v>
      </c>
      <c r="F22" s="657">
        <f>'Assumptions input'!$B31</f>
        <v>0</v>
      </c>
      <c r="G22" s="658">
        <f>'Assumptions input'!$B31</f>
        <v>0</v>
      </c>
      <c r="H22" s="659">
        <f>'Assumptions input'!$D31</f>
        <v>0</v>
      </c>
      <c r="I22" s="657">
        <f>'Assumptions input'!$D31</f>
        <v>0</v>
      </c>
      <c r="J22" s="657">
        <f>'Assumptions input'!$D31</f>
        <v>0</v>
      </c>
      <c r="K22" s="657">
        <f>'Assumptions input'!$D31</f>
        <v>0</v>
      </c>
      <c r="L22" s="658">
        <f>'Assumptions input'!$D31</f>
        <v>0</v>
      </c>
      <c r="M22" s="219"/>
      <c r="N22" s="219"/>
      <c r="O22" s="219"/>
      <c r="P22" s="219"/>
      <c r="Q22" s="219"/>
      <c r="R22" s="219"/>
      <c r="S22" s="219"/>
      <c r="T22" s="219"/>
      <c r="U22" s="219"/>
      <c r="V22" s="219"/>
      <c r="W22" s="219"/>
      <c r="AG22" s="186"/>
      <c r="AH22" s="186"/>
      <c r="AI22" s="186"/>
      <c r="AJ22" s="186"/>
      <c r="AK22" s="186"/>
    </row>
    <row r="23" spans="1:37" x14ac:dyDescent="0.25">
      <c r="A23" s="277" t="s">
        <v>638</v>
      </c>
      <c r="B23" s="194"/>
      <c r="C23" s="657">
        <f>'Assumptions input'!$B32</f>
        <v>0</v>
      </c>
      <c r="D23" s="657">
        <f>'Assumptions input'!$B32</f>
        <v>0</v>
      </c>
      <c r="E23" s="657">
        <f>'Assumptions input'!$B32</f>
        <v>0</v>
      </c>
      <c r="F23" s="657">
        <f>'Assumptions input'!$B32</f>
        <v>0</v>
      </c>
      <c r="G23" s="658">
        <f>'Assumptions input'!$B32</f>
        <v>0</v>
      </c>
      <c r="H23" s="659">
        <f>'Assumptions input'!$D32</f>
        <v>0</v>
      </c>
      <c r="I23" s="657">
        <f>'Assumptions input'!$D32</f>
        <v>0</v>
      </c>
      <c r="J23" s="657">
        <f>'Assumptions input'!$D32</f>
        <v>0</v>
      </c>
      <c r="K23" s="657">
        <f>'Assumptions input'!$D32</f>
        <v>0</v>
      </c>
      <c r="L23" s="658">
        <f>'Assumptions input'!$D32</f>
        <v>0</v>
      </c>
      <c r="M23" s="219"/>
      <c r="N23" s="219"/>
      <c r="O23" s="219"/>
      <c r="P23" s="219"/>
      <c r="Q23" s="219"/>
      <c r="R23" s="219"/>
      <c r="S23" s="219"/>
      <c r="T23" s="219"/>
      <c r="U23" s="219"/>
      <c r="V23" s="219"/>
      <c r="W23" s="219"/>
      <c r="AG23" s="186"/>
      <c r="AH23" s="186"/>
      <c r="AI23" s="186"/>
      <c r="AJ23" s="186"/>
      <c r="AK23" s="186"/>
    </row>
    <row r="24" spans="1:37" x14ac:dyDescent="0.25">
      <c r="A24" s="416" t="s">
        <v>639</v>
      </c>
      <c r="B24" s="194"/>
      <c r="C24" s="657">
        <f>'Assumptions input'!$B33</f>
        <v>0</v>
      </c>
      <c r="D24" s="657">
        <f>'Assumptions input'!$B33</f>
        <v>0</v>
      </c>
      <c r="E24" s="657">
        <f>'Assumptions input'!$B33</f>
        <v>0</v>
      </c>
      <c r="F24" s="657">
        <f>'Assumptions input'!$B33</f>
        <v>0</v>
      </c>
      <c r="G24" s="658">
        <f>'Assumptions input'!$B33</f>
        <v>0</v>
      </c>
      <c r="H24" s="659">
        <f>'Assumptions input'!$D33</f>
        <v>0</v>
      </c>
      <c r="I24" s="657">
        <f>'Assumptions input'!$D33</f>
        <v>0</v>
      </c>
      <c r="J24" s="657">
        <f>'Assumptions input'!$D33</f>
        <v>0</v>
      </c>
      <c r="K24" s="657">
        <f>'Assumptions input'!$D33</f>
        <v>0</v>
      </c>
      <c r="L24" s="658">
        <f>'Assumptions input'!$D33</f>
        <v>0</v>
      </c>
      <c r="M24" s="219"/>
      <c r="N24" s="219"/>
      <c r="O24" s="219"/>
      <c r="P24" s="219"/>
      <c r="Q24" s="219"/>
      <c r="R24" s="219"/>
      <c r="S24" s="219"/>
      <c r="T24" s="219"/>
      <c r="U24" s="219"/>
      <c r="V24" s="219"/>
      <c r="W24" s="219"/>
      <c r="AG24" s="186"/>
      <c r="AH24" s="186"/>
      <c r="AI24" s="186"/>
      <c r="AJ24" s="186"/>
      <c r="AK24" s="186"/>
    </row>
    <row r="25" spans="1:37" ht="15.75" thickBot="1" x14ac:dyDescent="0.3">
      <c r="A25" s="520" t="s">
        <v>809</v>
      </c>
      <c r="B25" s="673"/>
      <c r="C25" s="662">
        <f>'Assumptions input'!$B34</f>
        <v>0</v>
      </c>
      <c r="D25" s="662">
        <f>'Assumptions input'!$B34</f>
        <v>0</v>
      </c>
      <c r="E25" s="662">
        <f>'Assumptions input'!$B34</f>
        <v>0</v>
      </c>
      <c r="F25" s="662">
        <f>'Assumptions input'!$B34</f>
        <v>0</v>
      </c>
      <c r="G25" s="663">
        <f>'Assumptions input'!$B34</f>
        <v>0</v>
      </c>
      <c r="H25" s="664">
        <f>'Assumptions input'!$D34</f>
        <v>0</v>
      </c>
      <c r="I25" s="662">
        <f>'Assumptions input'!$D34</f>
        <v>0</v>
      </c>
      <c r="J25" s="662">
        <f>'Assumptions input'!$D34</f>
        <v>0</v>
      </c>
      <c r="K25" s="662">
        <f>'Assumptions input'!$D34</f>
        <v>0</v>
      </c>
      <c r="L25" s="663">
        <f>'Assumptions input'!$D34</f>
        <v>0</v>
      </c>
      <c r="M25" s="219"/>
      <c r="N25" s="219"/>
      <c r="O25" s="219"/>
      <c r="P25" s="219"/>
      <c r="Q25" s="219"/>
      <c r="R25" s="219"/>
      <c r="S25" s="219"/>
      <c r="T25" s="219"/>
      <c r="U25" s="219"/>
      <c r="V25" s="219"/>
      <c r="W25" s="219"/>
      <c r="AG25" s="186"/>
      <c r="AH25" s="186"/>
      <c r="AI25" s="186"/>
      <c r="AJ25" s="186"/>
      <c r="AK25" s="186"/>
    </row>
    <row r="26" spans="1:37" x14ac:dyDescent="0.25">
      <c r="A26" s="427" t="s">
        <v>628</v>
      </c>
      <c r="B26" s="628"/>
      <c r="C26" s="629"/>
      <c r="D26" s="629"/>
      <c r="E26" s="629"/>
      <c r="F26" s="629"/>
      <c r="G26" s="632"/>
      <c r="H26" s="631"/>
      <c r="I26" s="629"/>
      <c r="J26" s="629"/>
      <c r="K26" s="629"/>
      <c r="L26" s="632"/>
      <c r="M26" s="219"/>
      <c r="N26" s="219"/>
      <c r="O26" s="219"/>
      <c r="P26" s="219"/>
      <c r="Q26" s="219"/>
      <c r="R26" s="219"/>
      <c r="S26" s="219"/>
      <c r="T26" s="219"/>
      <c r="U26" s="219"/>
      <c r="V26" s="219"/>
      <c r="W26" s="219"/>
      <c r="AG26" s="186"/>
      <c r="AH26" s="186"/>
      <c r="AI26" s="186"/>
      <c r="AJ26" s="186"/>
      <c r="AK26" s="186"/>
    </row>
    <row r="27" spans="1:37" x14ac:dyDescent="0.25">
      <c r="A27" s="277" t="s">
        <v>636</v>
      </c>
      <c r="B27" s="194"/>
      <c r="C27" s="657">
        <f>'Assumptions input'!$B37</f>
        <v>0</v>
      </c>
      <c r="D27" s="657">
        <f>'Assumptions input'!$B37</f>
        <v>0</v>
      </c>
      <c r="E27" s="657">
        <f>'Assumptions input'!$B37</f>
        <v>0</v>
      </c>
      <c r="F27" s="657">
        <f>'Assumptions input'!$B37</f>
        <v>0</v>
      </c>
      <c r="G27" s="658">
        <f>'Assumptions input'!$B37</f>
        <v>0</v>
      </c>
      <c r="H27" s="659">
        <f>'Assumptions input'!$D37</f>
        <v>0</v>
      </c>
      <c r="I27" s="657">
        <f>'Assumptions input'!$D37</f>
        <v>0</v>
      </c>
      <c r="J27" s="657">
        <f>'Assumptions input'!$D37</f>
        <v>0</v>
      </c>
      <c r="K27" s="657">
        <f>'Assumptions input'!$D37</f>
        <v>0</v>
      </c>
      <c r="L27" s="658">
        <f>'Assumptions input'!$D37</f>
        <v>0</v>
      </c>
      <c r="M27" s="219"/>
      <c r="N27" s="219"/>
      <c r="O27" s="219"/>
      <c r="P27" s="219"/>
      <c r="Q27" s="219"/>
      <c r="R27" s="219"/>
      <c r="S27" s="219"/>
      <c r="T27" s="219"/>
      <c r="U27" s="219"/>
      <c r="V27" s="219"/>
      <c r="W27" s="219"/>
      <c r="AG27" s="186"/>
      <c r="AH27" s="186"/>
      <c r="AI27" s="186"/>
      <c r="AJ27" s="186"/>
      <c r="AK27" s="186"/>
    </row>
    <row r="28" spans="1:37" x14ac:dyDescent="0.25">
      <c r="A28" s="277" t="s">
        <v>638</v>
      </c>
      <c r="B28" s="194"/>
      <c r="C28" s="657">
        <f>'Assumptions input'!$B38</f>
        <v>0</v>
      </c>
      <c r="D28" s="657">
        <f>'Assumptions input'!$B38</f>
        <v>0</v>
      </c>
      <c r="E28" s="657">
        <f>'Assumptions input'!$B38</f>
        <v>0</v>
      </c>
      <c r="F28" s="657">
        <f>'Assumptions input'!$B38</f>
        <v>0</v>
      </c>
      <c r="G28" s="658">
        <f>'Assumptions input'!$B38</f>
        <v>0</v>
      </c>
      <c r="H28" s="659">
        <f>'Assumptions input'!$D38</f>
        <v>0</v>
      </c>
      <c r="I28" s="657">
        <f>'Assumptions input'!$D38</f>
        <v>0</v>
      </c>
      <c r="J28" s="657">
        <f>'Assumptions input'!$D38</f>
        <v>0</v>
      </c>
      <c r="K28" s="657">
        <f>'Assumptions input'!$D38</f>
        <v>0</v>
      </c>
      <c r="L28" s="658">
        <f>'Assumptions input'!$D38</f>
        <v>0</v>
      </c>
      <c r="M28" s="219"/>
      <c r="N28" s="219"/>
      <c r="O28" s="219"/>
      <c r="P28" s="219"/>
      <c r="Q28" s="219"/>
      <c r="R28" s="219"/>
      <c r="S28" s="219"/>
      <c r="T28" s="219"/>
      <c r="U28" s="219"/>
      <c r="V28" s="219"/>
      <c r="W28" s="219"/>
      <c r="AG28" s="186"/>
      <c r="AH28" s="186"/>
      <c r="AI28" s="186"/>
      <c r="AJ28" s="186"/>
      <c r="AK28" s="186"/>
    </row>
    <row r="29" spans="1:37" x14ac:dyDescent="0.25">
      <c r="A29" s="277" t="s">
        <v>641</v>
      </c>
      <c r="B29" s="194"/>
      <c r="C29" s="657">
        <f>'Assumptions input'!$B39</f>
        <v>0</v>
      </c>
      <c r="D29" s="657">
        <f>'Assumptions input'!$B39</f>
        <v>0</v>
      </c>
      <c r="E29" s="657">
        <f>'Assumptions input'!$B39</f>
        <v>0</v>
      </c>
      <c r="F29" s="657">
        <f>'Assumptions input'!$B39</f>
        <v>0</v>
      </c>
      <c r="G29" s="658">
        <f>'Assumptions input'!$B39</f>
        <v>0</v>
      </c>
      <c r="H29" s="659">
        <f>'Assumptions input'!$D39</f>
        <v>0</v>
      </c>
      <c r="I29" s="657">
        <f>'Assumptions input'!$D39</f>
        <v>0</v>
      </c>
      <c r="J29" s="657">
        <f>'Assumptions input'!$D39</f>
        <v>0</v>
      </c>
      <c r="K29" s="657">
        <f>'Assumptions input'!$D39</f>
        <v>0</v>
      </c>
      <c r="L29" s="658">
        <f>'Assumptions input'!$D39</f>
        <v>0</v>
      </c>
      <c r="M29" s="219"/>
      <c r="N29" s="219"/>
      <c r="O29" s="219"/>
      <c r="P29" s="219"/>
      <c r="Q29" s="219"/>
      <c r="R29" s="219"/>
      <c r="S29" s="219"/>
      <c r="T29" s="219"/>
      <c r="U29" s="219"/>
      <c r="V29" s="219"/>
      <c r="W29" s="219"/>
      <c r="AG29" s="186"/>
      <c r="AH29" s="186"/>
      <c r="AI29" s="186"/>
      <c r="AJ29" s="186"/>
      <c r="AK29" s="186"/>
    </row>
    <row r="30" spans="1:37" x14ac:dyDescent="0.25">
      <c r="A30" s="416" t="s">
        <v>639</v>
      </c>
      <c r="B30" s="194"/>
      <c r="C30" s="657">
        <f>'Assumptions input'!$B40</f>
        <v>0</v>
      </c>
      <c r="D30" s="657">
        <f>'Assumptions input'!$B40</f>
        <v>0</v>
      </c>
      <c r="E30" s="657">
        <f>'Assumptions input'!$B40</f>
        <v>0</v>
      </c>
      <c r="F30" s="657">
        <f>'Assumptions input'!$B40</f>
        <v>0</v>
      </c>
      <c r="G30" s="658">
        <f>'Assumptions input'!$B40</f>
        <v>0</v>
      </c>
      <c r="H30" s="659">
        <f>'Assumptions input'!$D40</f>
        <v>0</v>
      </c>
      <c r="I30" s="657">
        <f>'Assumptions input'!$D40</f>
        <v>0</v>
      </c>
      <c r="J30" s="657">
        <f>'Assumptions input'!$D40</f>
        <v>0</v>
      </c>
      <c r="K30" s="657">
        <f>'Assumptions input'!$D40</f>
        <v>0</v>
      </c>
      <c r="L30" s="658">
        <f>'Assumptions input'!$D40</f>
        <v>0</v>
      </c>
      <c r="M30" s="219"/>
      <c r="N30" s="219"/>
      <c r="O30" s="219"/>
      <c r="P30" s="219"/>
      <c r="Q30" s="219"/>
      <c r="R30" s="219"/>
      <c r="S30" s="219"/>
      <c r="T30" s="219"/>
      <c r="U30" s="219"/>
      <c r="V30" s="219"/>
      <c r="W30" s="219"/>
      <c r="AG30" s="186"/>
      <c r="AH30" s="186"/>
      <c r="AI30" s="186"/>
      <c r="AJ30" s="186"/>
      <c r="AK30" s="186"/>
    </row>
    <row r="31" spans="1:37" ht="15.75" thickBot="1" x14ac:dyDescent="0.3">
      <c r="A31" s="520" t="s">
        <v>809</v>
      </c>
      <c r="B31" s="673"/>
      <c r="C31" s="662">
        <f>'Assumptions input'!$B41</f>
        <v>0</v>
      </c>
      <c r="D31" s="662">
        <f>'Assumptions input'!$B41</f>
        <v>0</v>
      </c>
      <c r="E31" s="662">
        <f>'Assumptions input'!$B41</f>
        <v>0</v>
      </c>
      <c r="F31" s="662">
        <f>'Assumptions input'!$B41</f>
        <v>0</v>
      </c>
      <c r="G31" s="663">
        <f>'Assumptions input'!$B41</f>
        <v>0</v>
      </c>
      <c r="H31" s="664">
        <f>'Assumptions input'!$D41</f>
        <v>0</v>
      </c>
      <c r="I31" s="662">
        <f>'Assumptions input'!$D41</f>
        <v>0</v>
      </c>
      <c r="J31" s="662">
        <f>'Assumptions input'!$D41</f>
        <v>0</v>
      </c>
      <c r="K31" s="662">
        <f>'Assumptions input'!$D41</f>
        <v>0</v>
      </c>
      <c r="L31" s="663">
        <f>'Assumptions input'!$D41</f>
        <v>0</v>
      </c>
      <c r="M31" s="219"/>
      <c r="N31" s="219"/>
      <c r="O31" s="219"/>
      <c r="P31" s="219"/>
      <c r="Q31" s="219"/>
      <c r="R31" s="219"/>
      <c r="S31" s="219"/>
      <c r="T31" s="219"/>
      <c r="U31" s="219"/>
      <c r="V31" s="219"/>
      <c r="W31" s="219"/>
      <c r="AG31" s="186"/>
      <c r="AH31" s="186"/>
      <c r="AI31" s="186"/>
      <c r="AJ31" s="186"/>
      <c r="AK31" s="186"/>
    </row>
    <row r="32" spans="1:37" x14ac:dyDescent="0.25">
      <c r="A32" s="427" t="s">
        <v>632</v>
      </c>
      <c r="B32" s="628"/>
      <c r="C32" s="629"/>
      <c r="D32" s="629"/>
      <c r="E32" s="629"/>
      <c r="F32" s="629"/>
      <c r="G32" s="632"/>
      <c r="H32" s="631"/>
      <c r="I32" s="629"/>
      <c r="J32" s="629"/>
      <c r="K32" s="629"/>
      <c r="L32" s="632"/>
      <c r="M32" s="219"/>
      <c r="N32" s="219"/>
      <c r="O32" s="219"/>
      <c r="P32" s="219"/>
      <c r="Q32" s="219"/>
      <c r="R32" s="219"/>
      <c r="S32" s="219"/>
      <c r="T32" s="219"/>
      <c r="U32" s="219"/>
      <c r="V32" s="219"/>
      <c r="W32" s="219"/>
      <c r="AG32" s="186"/>
      <c r="AH32" s="186"/>
      <c r="AI32" s="186"/>
      <c r="AJ32" s="186"/>
      <c r="AK32" s="186"/>
    </row>
    <row r="33" spans="1:37" x14ac:dyDescent="0.25">
      <c r="A33" s="277" t="s">
        <v>636</v>
      </c>
      <c r="B33" s="194"/>
      <c r="C33" s="657">
        <f>'Assumptions input'!$B44</f>
        <v>0</v>
      </c>
      <c r="D33" s="657">
        <f>'Assumptions input'!$B44</f>
        <v>0</v>
      </c>
      <c r="E33" s="657">
        <f>'Assumptions input'!$B44</f>
        <v>0</v>
      </c>
      <c r="F33" s="657">
        <f>'Assumptions input'!$B44</f>
        <v>0</v>
      </c>
      <c r="G33" s="658">
        <f>'Assumptions input'!$B44</f>
        <v>0</v>
      </c>
      <c r="H33" s="659">
        <f>'Assumptions input'!$D44</f>
        <v>0</v>
      </c>
      <c r="I33" s="657">
        <f>'Assumptions input'!$D44</f>
        <v>0</v>
      </c>
      <c r="J33" s="657">
        <f>'Assumptions input'!$D44</f>
        <v>0</v>
      </c>
      <c r="K33" s="657">
        <f>'Assumptions input'!$D44</f>
        <v>0</v>
      </c>
      <c r="L33" s="658">
        <f>'Assumptions input'!$D44</f>
        <v>0</v>
      </c>
      <c r="M33" s="219"/>
      <c r="N33" s="219"/>
      <c r="O33" s="219"/>
      <c r="P33" s="219"/>
      <c r="Q33" s="219"/>
      <c r="R33" s="219"/>
      <c r="S33" s="219"/>
      <c r="T33" s="219"/>
      <c r="U33" s="219"/>
      <c r="V33" s="219"/>
      <c r="W33" s="219"/>
      <c r="AG33" s="186"/>
      <c r="AH33" s="186"/>
      <c r="AI33" s="186"/>
      <c r="AJ33" s="186"/>
      <c r="AK33" s="186"/>
    </row>
    <row r="34" spans="1:37" x14ac:dyDescent="0.25">
      <c r="A34" s="277" t="s">
        <v>638</v>
      </c>
      <c r="B34" s="194"/>
      <c r="C34" s="657">
        <f>'Assumptions input'!$B45</f>
        <v>0</v>
      </c>
      <c r="D34" s="657">
        <f>'Assumptions input'!$B45</f>
        <v>0</v>
      </c>
      <c r="E34" s="657">
        <f>'Assumptions input'!$B45</f>
        <v>0</v>
      </c>
      <c r="F34" s="657">
        <f>'Assumptions input'!$B45</f>
        <v>0</v>
      </c>
      <c r="G34" s="658">
        <f>'Assumptions input'!$B45</f>
        <v>0</v>
      </c>
      <c r="H34" s="659">
        <f>'Assumptions input'!$D45</f>
        <v>0</v>
      </c>
      <c r="I34" s="657">
        <f>'Assumptions input'!$D45</f>
        <v>0</v>
      </c>
      <c r="J34" s="657">
        <f>'Assumptions input'!$D45</f>
        <v>0</v>
      </c>
      <c r="K34" s="657">
        <f>'Assumptions input'!$D45</f>
        <v>0</v>
      </c>
      <c r="L34" s="658">
        <f>'Assumptions input'!$D45</f>
        <v>0</v>
      </c>
      <c r="M34" s="219"/>
      <c r="N34" s="219"/>
      <c r="O34" s="219"/>
      <c r="P34" s="219"/>
      <c r="Q34" s="219"/>
      <c r="R34" s="219"/>
      <c r="S34" s="219"/>
      <c r="T34" s="219"/>
      <c r="U34" s="219"/>
      <c r="V34" s="219"/>
      <c r="W34" s="219"/>
      <c r="AG34" s="186"/>
      <c r="AH34" s="186"/>
      <c r="AI34" s="186"/>
      <c r="AJ34" s="186"/>
      <c r="AK34" s="186"/>
    </row>
    <row r="35" spans="1:37" x14ac:dyDescent="0.25">
      <c r="A35" s="277" t="s">
        <v>641</v>
      </c>
      <c r="B35" s="194"/>
      <c r="C35" s="657">
        <f>'Assumptions input'!$B46</f>
        <v>0</v>
      </c>
      <c r="D35" s="657">
        <f>'Assumptions input'!$B46</f>
        <v>0</v>
      </c>
      <c r="E35" s="657">
        <f>'Assumptions input'!$B46</f>
        <v>0</v>
      </c>
      <c r="F35" s="657">
        <f>'Assumptions input'!$B46</f>
        <v>0</v>
      </c>
      <c r="G35" s="658">
        <f>'Assumptions input'!$B46</f>
        <v>0</v>
      </c>
      <c r="H35" s="659">
        <f>'Assumptions input'!$D46</f>
        <v>0</v>
      </c>
      <c r="I35" s="657">
        <f>'Assumptions input'!$D46</f>
        <v>0</v>
      </c>
      <c r="J35" s="657">
        <f>'Assumptions input'!$D46</f>
        <v>0</v>
      </c>
      <c r="K35" s="657">
        <f>'Assumptions input'!$D46</f>
        <v>0</v>
      </c>
      <c r="L35" s="658">
        <f>'Assumptions input'!$D46</f>
        <v>0</v>
      </c>
      <c r="M35" s="219"/>
      <c r="N35" s="219"/>
      <c r="O35" s="219"/>
      <c r="P35" s="219"/>
      <c r="Q35" s="219"/>
      <c r="R35" s="219"/>
      <c r="S35" s="219"/>
      <c r="T35" s="219"/>
      <c r="U35" s="219"/>
      <c r="V35" s="219"/>
      <c r="W35" s="219"/>
      <c r="AG35" s="186"/>
      <c r="AH35" s="186"/>
      <c r="AI35" s="186"/>
      <c r="AJ35" s="186"/>
      <c r="AK35" s="186"/>
    </row>
    <row r="36" spans="1:37" ht="15.75" thickBot="1" x14ac:dyDescent="0.3">
      <c r="A36" s="413" t="s">
        <v>643</v>
      </c>
      <c r="B36" s="673"/>
      <c r="C36" s="662">
        <f>'Assumptions input'!$B47</f>
        <v>0</v>
      </c>
      <c r="D36" s="662">
        <f>'Assumptions input'!$B47</f>
        <v>0</v>
      </c>
      <c r="E36" s="662">
        <f>'Assumptions input'!$B47</f>
        <v>0</v>
      </c>
      <c r="F36" s="662">
        <f>'Assumptions input'!$B47</f>
        <v>0</v>
      </c>
      <c r="G36" s="663">
        <f>'Assumptions input'!$B47</f>
        <v>0</v>
      </c>
      <c r="H36" s="664">
        <f>'Assumptions input'!$D47</f>
        <v>0</v>
      </c>
      <c r="I36" s="662">
        <f>'Assumptions input'!$D47</f>
        <v>0</v>
      </c>
      <c r="J36" s="662">
        <f>'Assumptions input'!$D47</f>
        <v>0</v>
      </c>
      <c r="K36" s="662">
        <f>'Assumptions input'!$D47</f>
        <v>0</v>
      </c>
      <c r="L36" s="663">
        <f>'Assumptions input'!$D47</f>
        <v>0</v>
      </c>
      <c r="M36" s="219"/>
      <c r="N36" s="219"/>
      <c r="O36" s="219"/>
      <c r="P36" s="219"/>
      <c r="Q36" s="219"/>
      <c r="R36" s="219"/>
      <c r="S36" s="219"/>
      <c r="T36" s="219"/>
      <c r="U36" s="219"/>
      <c r="V36" s="219"/>
      <c r="W36" s="219"/>
      <c r="AG36" s="186"/>
      <c r="AH36" s="186"/>
      <c r="AI36" s="186"/>
      <c r="AJ36" s="186"/>
      <c r="AK36" s="186"/>
    </row>
    <row r="37" spans="1:37" x14ac:dyDescent="0.25">
      <c r="A37" s="427" t="s">
        <v>812</v>
      </c>
      <c r="B37" s="628"/>
      <c r="C37" s="670"/>
      <c r="D37" s="670"/>
      <c r="E37" s="670"/>
      <c r="F37" s="670"/>
      <c r="G37" s="671"/>
      <c r="H37" s="672"/>
      <c r="I37" s="670"/>
      <c r="J37" s="670"/>
      <c r="K37" s="670"/>
      <c r="L37" s="671"/>
      <c r="M37" s="219"/>
      <c r="N37" s="219"/>
      <c r="O37" s="219"/>
      <c r="P37" s="219"/>
      <c r="Q37" s="219"/>
      <c r="R37" s="219"/>
      <c r="S37" s="219"/>
      <c r="T37" s="219"/>
      <c r="U37" s="219"/>
      <c r="V37" s="219"/>
      <c r="W37" s="219"/>
      <c r="AG37" s="186"/>
      <c r="AH37" s="186"/>
      <c r="AI37" s="186"/>
      <c r="AJ37" s="186"/>
      <c r="AK37" s="186"/>
    </row>
    <row r="38" spans="1:37" x14ac:dyDescent="0.25">
      <c r="A38" s="552" t="s">
        <v>832</v>
      </c>
      <c r="B38" s="194"/>
      <c r="C38" s="657">
        <f>'Assumptions input'!$B$50</f>
        <v>0</v>
      </c>
      <c r="D38" s="657">
        <f>'Assumptions input'!$B$50</f>
        <v>0</v>
      </c>
      <c r="E38" s="657">
        <f>'Assumptions input'!$B$50</f>
        <v>0</v>
      </c>
      <c r="F38" s="657">
        <f>'Assumptions input'!$B$50</f>
        <v>0</v>
      </c>
      <c r="G38" s="658">
        <f>'Assumptions input'!$B$50</f>
        <v>0</v>
      </c>
      <c r="H38" s="659">
        <f>'Assumptions input'!$D$50</f>
        <v>0</v>
      </c>
      <c r="I38" s="660">
        <f>'Assumptions input'!$D$50</f>
        <v>0</v>
      </c>
      <c r="J38" s="660">
        <f>'Assumptions input'!$D$50</f>
        <v>0</v>
      </c>
      <c r="K38" s="660">
        <f>'Assumptions input'!$D$50</f>
        <v>0</v>
      </c>
      <c r="L38" s="661">
        <f>'Assumptions input'!$D$50</f>
        <v>0</v>
      </c>
      <c r="M38" s="219"/>
      <c r="N38" s="219"/>
      <c r="O38" s="219"/>
      <c r="P38" s="219"/>
      <c r="Q38" s="219"/>
      <c r="R38" s="219"/>
      <c r="S38" s="219"/>
      <c r="T38" s="219"/>
      <c r="U38" s="219"/>
      <c r="V38" s="219"/>
      <c r="W38" s="219"/>
      <c r="AG38" s="186"/>
      <c r="AH38" s="186"/>
      <c r="AI38" s="186"/>
      <c r="AJ38" s="186"/>
      <c r="AK38" s="186"/>
    </row>
    <row r="39" spans="1:37" x14ac:dyDescent="0.25">
      <c r="A39" s="552" t="s">
        <v>815</v>
      </c>
      <c r="B39" s="194"/>
      <c r="C39" s="657">
        <f>'Assumptions input'!$B$51</f>
        <v>0</v>
      </c>
      <c r="D39" s="657">
        <f>'Assumptions input'!$B$51</f>
        <v>0</v>
      </c>
      <c r="E39" s="657">
        <f>'Assumptions input'!$B$51</f>
        <v>0</v>
      </c>
      <c r="F39" s="657">
        <f>'Assumptions input'!$B$51</f>
        <v>0</v>
      </c>
      <c r="G39" s="658">
        <f>'Assumptions input'!$B$51</f>
        <v>0</v>
      </c>
      <c r="H39" s="659">
        <f>'Assumptions input'!$D$51</f>
        <v>0</v>
      </c>
      <c r="I39" s="660">
        <f>'Assumptions input'!$D$51</f>
        <v>0</v>
      </c>
      <c r="J39" s="660">
        <f>'Assumptions input'!$D$51</f>
        <v>0</v>
      </c>
      <c r="K39" s="660">
        <f>'Assumptions input'!$D$51</f>
        <v>0</v>
      </c>
      <c r="L39" s="661">
        <f>'Assumptions input'!$D$51</f>
        <v>0</v>
      </c>
      <c r="M39" s="219"/>
      <c r="N39" s="219"/>
      <c r="O39" s="219"/>
      <c r="P39" s="219"/>
      <c r="Q39" s="219"/>
      <c r="R39" s="219"/>
      <c r="S39" s="219"/>
      <c r="T39" s="219"/>
      <c r="U39" s="219"/>
      <c r="V39" s="219"/>
      <c r="W39" s="219"/>
      <c r="AG39" s="186"/>
      <c r="AH39" s="186"/>
      <c r="AI39" s="186"/>
      <c r="AJ39" s="186"/>
      <c r="AK39" s="186"/>
    </row>
    <row r="40" spans="1:37" ht="15.75" thickBot="1" x14ac:dyDescent="0.3">
      <c r="A40" s="554" t="s">
        <v>816</v>
      </c>
      <c r="B40" s="555"/>
      <c r="C40" s="662">
        <f>'Assumptions input'!$B$52</f>
        <v>0</v>
      </c>
      <c r="D40" s="662">
        <f>'Assumptions input'!$B$52</f>
        <v>0</v>
      </c>
      <c r="E40" s="662">
        <f>'Assumptions input'!$B$52</f>
        <v>0</v>
      </c>
      <c r="F40" s="662">
        <f>'Assumptions input'!$B$52</f>
        <v>0</v>
      </c>
      <c r="G40" s="663">
        <f>'Assumptions input'!$B$52</f>
        <v>0</v>
      </c>
      <c r="H40" s="664">
        <f>'Assumptions input'!$D$52</f>
        <v>0</v>
      </c>
      <c r="I40" s="665">
        <f>'Assumptions input'!$D$52</f>
        <v>0</v>
      </c>
      <c r="J40" s="665">
        <f>'Assumptions input'!$D$52</f>
        <v>0</v>
      </c>
      <c r="K40" s="665">
        <f>'Assumptions input'!$D$52</f>
        <v>0</v>
      </c>
      <c r="L40" s="666">
        <f>'Assumptions input'!$D$52</f>
        <v>0</v>
      </c>
      <c r="M40" s="219"/>
      <c r="N40" s="219"/>
      <c r="O40" s="219"/>
      <c r="P40" s="219"/>
      <c r="Q40" s="219"/>
      <c r="R40" s="219"/>
      <c r="S40" s="219"/>
      <c r="T40" s="219"/>
      <c r="U40" s="219"/>
      <c r="V40" s="219"/>
      <c r="W40" s="219"/>
      <c r="AG40" s="186"/>
      <c r="AH40" s="186"/>
      <c r="AI40" s="186"/>
      <c r="AJ40" s="186"/>
      <c r="AK40" s="186"/>
    </row>
    <row r="41" spans="1:37" ht="15.75" thickBot="1" x14ac:dyDescent="0.3">
      <c r="A41" s="553"/>
      <c r="B41" s="219"/>
      <c r="C41" s="219"/>
      <c r="D41" s="219"/>
      <c r="E41" s="219"/>
      <c r="F41" s="219"/>
      <c r="G41" s="219"/>
      <c r="H41" s="219"/>
      <c r="I41" s="219"/>
      <c r="J41" s="219"/>
      <c r="K41" s="219"/>
      <c r="L41" s="219"/>
      <c r="M41" s="219"/>
      <c r="N41" s="219"/>
      <c r="O41" s="219"/>
      <c r="P41" s="219"/>
      <c r="Q41" s="219"/>
      <c r="R41" s="219"/>
      <c r="S41" s="219"/>
      <c r="T41" s="219"/>
      <c r="U41" s="219"/>
      <c r="V41" s="219"/>
      <c r="W41" s="219"/>
      <c r="AG41" s="186"/>
      <c r="AH41" s="186"/>
      <c r="AI41" s="186"/>
      <c r="AJ41" s="186"/>
      <c r="AK41" s="186"/>
    </row>
    <row r="42" spans="1:37" ht="90" customHeight="1" x14ac:dyDescent="0.25">
      <c r="A42" s="440" t="s">
        <v>654</v>
      </c>
      <c r="B42" s="193" t="s">
        <v>770</v>
      </c>
      <c r="C42" s="256" t="s">
        <v>771</v>
      </c>
      <c r="D42" s="259" t="s">
        <v>772</v>
      </c>
      <c r="E42" s="259" t="s">
        <v>773</v>
      </c>
      <c r="F42" s="259" t="s">
        <v>774</v>
      </c>
      <c r="G42" s="258" t="s">
        <v>775</v>
      </c>
      <c r="H42" s="585" t="s">
        <v>776</v>
      </c>
      <c r="I42" s="260" t="s">
        <v>777</v>
      </c>
      <c r="J42" s="260" t="s">
        <v>778</v>
      </c>
      <c r="K42" s="260" t="s">
        <v>779</v>
      </c>
      <c r="L42" s="586" t="s">
        <v>780</v>
      </c>
      <c r="M42" s="577"/>
      <c r="N42" s="252" t="s">
        <v>789</v>
      </c>
      <c r="O42" s="253" t="s">
        <v>790</v>
      </c>
      <c r="P42" s="253" t="s">
        <v>791</v>
      </c>
      <c r="Q42" s="253" t="s">
        <v>792</v>
      </c>
      <c r="R42" s="252" t="s">
        <v>793</v>
      </c>
      <c r="S42" s="579" t="s">
        <v>794</v>
      </c>
      <c r="T42" s="253" t="s">
        <v>795</v>
      </c>
      <c r="U42" s="253" t="s">
        <v>796</v>
      </c>
      <c r="V42" s="253" t="s">
        <v>797</v>
      </c>
      <c r="W42" s="580" t="s">
        <v>798</v>
      </c>
    </row>
    <row r="43" spans="1:37" x14ac:dyDescent="0.25">
      <c r="A43" s="427" t="s">
        <v>625</v>
      </c>
      <c r="B43" s="194"/>
      <c r="C43" s="195"/>
      <c r="D43" s="195"/>
      <c r="E43" s="195"/>
      <c r="F43" s="195"/>
      <c r="G43" s="221"/>
      <c r="H43" s="222"/>
      <c r="I43" s="195"/>
      <c r="J43" s="195"/>
      <c r="K43" s="195"/>
      <c r="L43" s="296"/>
      <c r="M43" s="576"/>
      <c r="N43" s="224"/>
      <c r="O43" s="195"/>
      <c r="P43" s="195"/>
      <c r="Q43" s="195"/>
      <c r="R43" s="221"/>
      <c r="S43" s="223"/>
      <c r="T43" s="196"/>
      <c r="U43" s="196"/>
      <c r="V43" s="196"/>
      <c r="W43" s="197"/>
      <c r="Y43" s="186">
        <f>C43</f>
        <v>0</v>
      </c>
      <c r="Z43" s="186">
        <f t="shared" ref="Z43:AD66" si="0">C43+N43</f>
        <v>0</v>
      </c>
      <c r="AA43" s="186">
        <f t="shared" si="0"/>
        <v>0</v>
      </c>
      <c r="AB43" s="186">
        <f t="shared" si="0"/>
        <v>0</v>
      </c>
      <c r="AC43" s="186">
        <f t="shared" si="0"/>
        <v>0</v>
      </c>
      <c r="AD43" s="186">
        <f t="shared" si="0"/>
        <v>0</v>
      </c>
      <c r="AF43" s="186">
        <f>(C43*B43)/1000</f>
        <v>0</v>
      </c>
      <c r="AG43" s="186">
        <f>$AF43+S43</f>
        <v>0</v>
      </c>
      <c r="AH43" s="186">
        <f t="shared" ref="AH43:AK66" si="1">$AF43+T43</f>
        <v>0</v>
      </c>
      <c r="AI43" s="186">
        <f t="shared" si="1"/>
        <v>0</v>
      </c>
      <c r="AJ43" s="186">
        <f t="shared" si="1"/>
        <v>0</v>
      </c>
      <c r="AK43" s="186">
        <f t="shared" si="1"/>
        <v>0</v>
      </c>
    </row>
    <row r="44" spans="1:37" x14ac:dyDescent="0.25">
      <c r="A44" s="277" t="s">
        <v>636</v>
      </c>
      <c r="B44" s="667">
        <f>'Unit costs'!K8</f>
        <v>0</v>
      </c>
      <c r="C44" s="195">
        <f t="shared" ref="C44:L44" si="2">C22*C$15</f>
        <v>0</v>
      </c>
      <c r="D44" s="195">
        <f t="shared" si="2"/>
        <v>0</v>
      </c>
      <c r="E44" s="195">
        <f t="shared" si="2"/>
        <v>0</v>
      </c>
      <c r="F44" s="195">
        <f t="shared" si="2"/>
        <v>0</v>
      </c>
      <c r="G44" s="221">
        <f t="shared" si="2"/>
        <v>0</v>
      </c>
      <c r="H44" s="222">
        <f t="shared" si="2"/>
        <v>0</v>
      </c>
      <c r="I44" s="195">
        <f t="shared" si="2"/>
        <v>0</v>
      </c>
      <c r="J44" s="195">
        <f t="shared" si="2"/>
        <v>0</v>
      </c>
      <c r="K44" s="195">
        <f t="shared" si="2"/>
        <v>0</v>
      </c>
      <c r="L44" s="296">
        <f t="shared" si="2"/>
        <v>0</v>
      </c>
      <c r="M44" s="576"/>
      <c r="N44" s="224">
        <f t="shared" ref="N44:N46" si="3">H44-C44</f>
        <v>0</v>
      </c>
      <c r="O44" s="195">
        <f t="shared" ref="O44:O46" si="4">I44-D44</f>
        <v>0</v>
      </c>
      <c r="P44" s="195">
        <f t="shared" ref="P44:P46" si="5">J44-E44</f>
        <v>0</v>
      </c>
      <c r="Q44" s="195">
        <f t="shared" ref="Q44:Q46" si="6">K44-F44</f>
        <v>0</v>
      </c>
      <c r="R44" s="221">
        <f t="shared" ref="R44:R46" si="7">L44-G44</f>
        <v>0</v>
      </c>
      <c r="S44" s="223">
        <f t="shared" ref="S44:S46" si="8">N44*$B44/1000</f>
        <v>0</v>
      </c>
      <c r="T44" s="196">
        <f t="shared" ref="T44:T46" si="9">O44*$B44/1000</f>
        <v>0</v>
      </c>
      <c r="U44" s="196">
        <f t="shared" ref="U44:U46" si="10">P44*$B44/1000</f>
        <v>0</v>
      </c>
      <c r="V44" s="196">
        <f t="shared" ref="V44" si="11">Q44*$B44/1000</f>
        <v>0</v>
      </c>
      <c r="W44" s="197">
        <f t="shared" ref="W44:W46" si="12">R44*$B44/1000</f>
        <v>0</v>
      </c>
      <c r="Y44" s="186"/>
      <c r="Z44" s="186"/>
      <c r="AA44" s="186"/>
      <c r="AB44" s="186"/>
      <c r="AC44" s="186"/>
      <c r="AD44" s="186"/>
      <c r="AF44" s="186"/>
      <c r="AG44" s="186"/>
      <c r="AH44" s="186"/>
      <c r="AI44" s="186"/>
      <c r="AJ44" s="186"/>
      <c r="AK44" s="186"/>
    </row>
    <row r="45" spans="1:37" x14ac:dyDescent="0.25">
      <c r="A45" s="277" t="s">
        <v>638</v>
      </c>
      <c r="B45" s="667">
        <f>'Unit costs'!K28</f>
        <v>0</v>
      </c>
      <c r="C45" s="195">
        <f t="shared" ref="C45:L45" si="13">C23*C$15</f>
        <v>0</v>
      </c>
      <c r="D45" s="195">
        <f t="shared" si="13"/>
        <v>0</v>
      </c>
      <c r="E45" s="195">
        <f t="shared" si="13"/>
        <v>0</v>
      </c>
      <c r="F45" s="195">
        <f t="shared" si="13"/>
        <v>0</v>
      </c>
      <c r="G45" s="221">
        <f t="shared" si="13"/>
        <v>0</v>
      </c>
      <c r="H45" s="222">
        <f t="shared" si="13"/>
        <v>0</v>
      </c>
      <c r="I45" s="195">
        <f t="shared" si="13"/>
        <v>0</v>
      </c>
      <c r="J45" s="195">
        <f t="shared" si="13"/>
        <v>0</v>
      </c>
      <c r="K45" s="195">
        <f t="shared" si="13"/>
        <v>0</v>
      </c>
      <c r="L45" s="296">
        <f t="shared" si="13"/>
        <v>0</v>
      </c>
      <c r="M45" s="576"/>
      <c r="N45" s="224">
        <f t="shared" si="3"/>
        <v>0</v>
      </c>
      <c r="O45" s="195">
        <f t="shared" si="4"/>
        <v>0</v>
      </c>
      <c r="P45" s="195">
        <f t="shared" si="5"/>
        <v>0</v>
      </c>
      <c r="Q45" s="195">
        <f t="shared" si="6"/>
        <v>0</v>
      </c>
      <c r="R45" s="221">
        <f t="shared" si="7"/>
        <v>0</v>
      </c>
      <c r="S45" s="223">
        <f t="shared" si="8"/>
        <v>0</v>
      </c>
      <c r="T45" s="196">
        <f t="shared" si="9"/>
        <v>0</v>
      </c>
      <c r="U45" s="196">
        <f t="shared" si="10"/>
        <v>0</v>
      </c>
      <c r="V45" s="196">
        <f>Q45*$B45/1000</f>
        <v>0</v>
      </c>
      <c r="W45" s="197">
        <f t="shared" si="12"/>
        <v>0</v>
      </c>
      <c r="Y45" s="186"/>
      <c r="Z45" s="186"/>
      <c r="AA45" s="186"/>
      <c r="AB45" s="186"/>
      <c r="AC45" s="186"/>
      <c r="AD45" s="186"/>
      <c r="AF45" s="186"/>
      <c r="AG45" s="186"/>
      <c r="AH45" s="186"/>
      <c r="AI45" s="186"/>
      <c r="AJ45" s="186"/>
      <c r="AK45" s="186"/>
    </row>
    <row r="46" spans="1:37" x14ac:dyDescent="0.25">
      <c r="A46" s="416" t="s">
        <v>799</v>
      </c>
      <c r="B46" s="667">
        <f>'Unit costs'!L77+'Unit costs'!M66</f>
        <v>0</v>
      </c>
      <c r="C46" s="195">
        <f t="shared" ref="C46:L46" si="14">C24*C$15</f>
        <v>0</v>
      </c>
      <c r="D46" s="195">
        <f t="shared" si="14"/>
        <v>0</v>
      </c>
      <c r="E46" s="195">
        <f t="shared" si="14"/>
        <v>0</v>
      </c>
      <c r="F46" s="195">
        <f t="shared" si="14"/>
        <v>0</v>
      </c>
      <c r="G46" s="221">
        <f t="shared" si="14"/>
        <v>0</v>
      </c>
      <c r="H46" s="222">
        <f t="shared" si="14"/>
        <v>0</v>
      </c>
      <c r="I46" s="195">
        <f t="shared" si="14"/>
        <v>0</v>
      </c>
      <c r="J46" s="195">
        <f t="shared" si="14"/>
        <v>0</v>
      </c>
      <c r="K46" s="195">
        <f t="shared" si="14"/>
        <v>0</v>
      </c>
      <c r="L46" s="296">
        <f t="shared" si="14"/>
        <v>0</v>
      </c>
      <c r="M46" s="576"/>
      <c r="N46" s="224">
        <f t="shared" si="3"/>
        <v>0</v>
      </c>
      <c r="O46" s="195">
        <f t="shared" si="4"/>
        <v>0</v>
      </c>
      <c r="P46" s="195">
        <f t="shared" si="5"/>
        <v>0</v>
      </c>
      <c r="Q46" s="195">
        <f t="shared" si="6"/>
        <v>0</v>
      </c>
      <c r="R46" s="221">
        <f t="shared" si="7"/>
        <v>0</v>
      </c>
      <c r="S46" s="223">
        <f t="shared" si="8"/>
        <v>0</v>
      </c>
      <c r="T46" s="196">
        <f t="shared" si="9"/>
        <v>0</v>
      </c>
      <c r="U46" s="196">
        <f t="shared" si="10"/>
        <v>0</v>
      </c>
      <c r="V46" s="196">
        <f t="shared" ref="V46" si="15">Q46*$B46/1000</f>
        <v>0</v>
      </c>
      <c r="W46" s="197">
        <f t="shared" si="12"/>
        <v>0</v>
      </c>
      <c r="Y46" s="186"/>
      <c r="Z46" s="186"/>
      <c r="AA46" s="186"/>
      <c r="AB46" s="186"/>
      <c r="AC46" s="186"/>
      <c r="AD46" s="186"/>
      <c r="AF46" s="186"/>
      <c r="AG46" s="186"/>
      <c r="AH46" s="186"/>
      <c r="AI46" s="186"/>
      <c r="AJ46" s="186"/>
      <c r="AK46" s="186"/>
    </row>
    <row r="47" spans="1:37" x14ac:dyDescent="0.25">
      <c r="A47" s="416" t="s">
        <v>800</v>
      </c>
      <c r="B47" s="667">
        <f>'Unit costs'!M67</f>
        <v>0</v>
      </c>
      <c r="C47" s="505"/>
      <c r="D47" s="195">
        <f>C46</f>
        <v>0</v>
      </c>
      <c r="E47" s="195">
        <f>D46</f>
        <v>0</v>
      </c>
      <c r="F47" s="195">
        <f t="shared" ref="F47:G47" si="16">E46</f>
        <v>0</v>
      </c>
      <c r="G47" s="221">
        <f t="shared" si="16"/>
        <v>0</v>
      </c>
      <c r="H47" s="504"/>
      <c r="I47" s="195">
        <f>H46</f>
        <v>0</v>
      </c>
      <c r="J47" s="195">
        <f t="shared" ref="J47:L47" si="17">I46</f>
        <v>0</v>
      </c>
      <c r="K47" s="195">
        <f t="shared" si="17"/>
        <v>0</v>
      </c>
      <c r="L47" s="296">
        <f t="shared" si="17"/>
        <v>0</v>
      </c>
      <c r="M47" s="576"/>
      <c r="N47" s="224">
        <f t="shared" ref="N47" si="18">H47-C47</f>
        <v>0</v>
      </c>
      <c r="O47" s="195">
        <f t="shared" ref="O47" si="19">I47-D47</f>
        <v>0</v>
      </c>
      <c r="P47" s="195">
        <f t="shared" ref="P47" si="20">J47-E47</f>
        <v>0</v>
      </c>
      <c r="Q47" s="195">
        <f t="shared" ref="Q47" si="21">K47-F47</f>
        <v>0</v>
      </c>
      <c r="R47" s="221">
        <f t="shared" ref="R47" si="22">L47-G47</f>
        <v>0</v>
      </c>
      <c r="S47" s="223">
        <f t="shared" ref="S47" si="23">N47*$B47/1000</f>
        <v>0</v>
      </c>
      <c r="T47" s="196">
        <f t="shared" ref="T47" si="24">O47*$B47/1000</f>
        <v>0</v>
      </c>
      <c r="U47" s="196">
        <f t="shared" ref="U47" si="25">P47*$B47/1000</f>
        <v>0</v>
      </c>
      <c r="V47" s="196">
        <f t="shared" ref="V47" si="26">Q47*$B47/1000</f>
        <v>0</v>
      </c>
      <c r="W47" s="197">
        <f t="shared" ref="W47" si="27">R47*$B47/1000</f>
        <v>0</v>
      </c>
      <c r="Y47" s="186"/>
      <c r="Z47" s="186"/>
      <c r="AA47" s="186"/>
      <c r="AB47" s="186"/>
      <c r="AC47" s="186"/>
      <c r="AD47" s="186"/>
      <c r="AF47" s="186"/>
      <c r="AG47" s="186"/>
      <c r="AH47" s="186"/>
      <c r="AI47" s="186"/>
      <c r="AJ47" s="186"/>
      <c r="AK47" s="186"/>
    </row>
    <row r="48" spans="1:37" ht="15.75" thickBot="1" x14ac:dyDescent="0.3">
      <c r="A48" s="413" t="s">
        <v>809</v>
      </c>
      <c r="B48" s="668">
        <f>'Unit costs'!M105+'Unit costs'!M95</f>
        <v>0</v>
      </c>
      <c r="C48" s="637">
        <f t="shared" ref="C48:L48" si="28">C25*C$15</f>
        <v>0</v>
      </c>
      <c r="D48" s="637">
        <f t="shared" si="28"/>
        <v>0</v>
      </c>
      <c r="E48" s="637">
        <f t="shared" si="28"/>
        <v>0</v>
      </c>
      <c r="F48" s="637">
        <f t="shared" si="28"/>
        <v>0</v>
      </c>
      <c r="G48" s="638">
        <f t="shared" si="28"/>
        <v>0</v>
      </c>
      <c r="H48" s="639">
        <f t="shared" si="28"/>
        <v>0</v>
      </c>
      <c r="I48" s="637">
        <f t="shared" si="28"/>
        <v>0</v>
      </c>
      <c r="J48" s="637">
        <f t="shared" si="28"/>
        <v>0</v>
      </c>
      <c r="K48" s="637">
        <f t="shared" si="28"/>
        <v>0</v>
      </c>
      <c r="L48" s="640">
        <f t="shared" si="28"/>
        <v>0</v>
      </c>
      <c r="M48" s="576"/>
      <c r="N48" s="641">
        <f t="shared" ref="N48" si="29">H48-C48</f>
        <v>0</v>
      </c>
      <c r="O48" s="637">
        <f t="shared" ref="O48" si="30">I48-D48</f>
        <v>0</v>
      </c>
      <c r="P48" s="637">
        <f t="shared" ref="P48" si="31">J48-E48</f>
        <v>0</v>
      </c>
      <c r="Q48" s="637">
        <f t="shared" ref="Q48" si="32">K48-F48</f>
        <v>0</v>
      </c>
      <c r="R48" s="638">
        <f t="shared" ref="R48" si="33">L48-G48</f>
        <v>0</v>
      </c>
      <c r="S48" s="642">
        <f t="shared" ref="S48" si="34">N48*$B48/1000</f>
        <v>0</v>
      </c>
      <c r="T48" s="643">
        <f t="shared" ref="T48" si="35">O48*$B48/1000</f>
        <v>0</v>
      </c>
      <c r="U48" s="643">
        <f t="shared" ref="U48" si="36">P48*$B48/1000</f>
        <v>0</v>
      </c>
      <c r="V48" s="643">
        <f t="shared" ref="V48" si="37">Q48*$B48/1000</f>
        <v>0</v>
      </c>
      <c r="W48" s="644">
        <f t="shared" ref="W48" si="38">R48*$B48/1000</f>
        <v>0</v>
      </c>
      <c r="Y48" s="186"/>
      <c r="Z48" s="186"/>
      <c r="AA48" s="186"/>
      <c r="AB48" s="186"/>
      <c r="AC48" s="186"/>
      <c r="AD48" s="186"/>
      <c r="AF48" s="186"/>
      <c r="AG48" s="186"/>
      <c r="AH48" s="186"/>
      <c r="AI48" s="186"/>
      <c r="AJ48" s="186"/>
      <c r="AK48" s="186"/>
    </row>
    <row r="49" spans="1:37" x14ac:dyDescent="0.25">
      <c r="A49" s="427" t="s">
        <v>628</v>
      </c>
      <c r="B49" s="628"/>
      <c r="C49" s="629"/>
      <c r="D49" s="629"/>
      <c r="E49" s="629"/>
      <c r="F49" s="629"/>
      <c r="G49" s="630"/>
      <c r="H49" s="631"/>
      <c r="I49" s="629"/>
      <c r="J49" s="629"/>
      <c r="K49" s="629"/>
      <c r="L49" s="632"/>
      <c r="M49" s="576"/>
      <c r="N49" s="633"/>
      <c r="O49" s="629"/>
      <c r="P49" s="629"/>
      <c r="Q49" s="629"/>
      <c r="R49" s="630"/>
      <c r="S49" s="634"/>
      <c r="T49" s="635"/>
      <c r="U49" s="635"/>
      <c r="V49" s="635"/>
      <c r="W49" s="636"/>
      <c r="Y49" s="186"/>
      <c r="Z49" s="186"/>
      <c r="AA49" s="186"/>
      <c r="AB49" s="186"/>
      <c r="AC49" s="186"/>
      <c r="AD49" s="186"/>
      <c r="AF49" s="186"/>
      <c r="AG49" s="186"/>
      <c r="AH49" s="186"/>
      <c r="AI49" s="186"/>
      <c r="AJ49" s="186"/>
      <c r="AK49" s="186"/>
    </row>
    <row r="50" spans="1:37" x14ac:dyDescent="0.25">
      <c r="A50" s="277" t="s">
        <v>636</v>
      </c>
      <c r="B50" s="667">
        <f>'Unit costs'!K8</f>
        <v>0</v>
      </c>
      <c r="C50" s="195">
        <f>C27*C$16</f>
        <v>0</v>
      </c>
      <c r="D50" s="195">
        <f t="shared" ref="D50:G50" si="39">D27*D$16</f>
        <v>0</v>
      </c>
      <c r="E50" s="195">
        <f t="shared" si="39"/>
        <v>0</v>
      </c>
      <c r="F50" s="195">
        <f t="shared" si="39"/>
        <v>0</v>
      </c>
      <c r="G50" s="221">
        <f t="shared" si="39"/>
        <v>0</v>
      </c>
      <c r="H50" s="222">
        <f>H27*H$16</f>
        <v>0</v>
      </c>
      <c r="I50" s="195">
        <f t="shared" ref="I50:L50" si="40">I27*I$16</f>
        <v>0</v>
      </c>
      <c r="J50" s="195">
        <f t="shared" si="40"/>
        <v>0</v>
      </c>
      <c r="K50" s="195">
        <f t="shared" si="40"/>
        <v>0</v>
      </c>
      <c r="L50" s="296">
        <f t="shared" si="40"/>
        <v>0</v>
      </c>
      <c r="M50" s="576"/>
      <c r="N50" s="224">
        <f t="shared" ref="N50:N52" si="41">H50-C50</f>
        <v>0</v>
      </c>
      <c r="O50" s="195">
        <f t="shared" ref="O50:O52" si="42">I50-D50</f>
        <v>0</v>
      </c>
      <c r="P50" s="195">
        <f t="shared" ref="P50:P52" si="43">J50-E50</f>
        <v>0</v>
      </c>
      <c r="Q50" s="195">
        <f t="shared" ref="Q50:Q52" si="44">K50-F50</f>
        <v>0</v>
      </c>
      <c r="R50" s="221">
        <f t="shared" ref="R50:R52" si="45">L50-G50</f>
        <v>0</v>
      </c>
      <c r="S50" s="223">
        <f t="shared" ref="S50:S52" si="46">N50*$B50/1000</f>
        <v>0</v>
      </c>
      <c r="T50" s="196">
        <f t="shared" ref="T50:T52" si="47">O50*$B50/1000</f>
        <v>0</v>
      </c>
      <c r="U50" s="196">
        <f t="shared" ref="U50:U52" si="48">P50*$B50/1000</f>
        <v>0</v>
      </c>
      <c r="V50" s="196">
        <f t="shared" ref="V50" si="49">Q50*$B50/1000</f>
        <v>0</v>
      </c>
      <c r="W50" s="197">
        <f t="shared" ref="W50:W52" si="50">R50*$B50/1000</f>
        <v>0</v>
      </c>
      <c r="Y50" s="186"/>
      <c r="Z50" s="186"/>
      <c r="AA50" s="186"/>
      <c r="AB50" s="186"/>
      <c r="AC50" s="186"/>
      <c r="AD50" s="186"/>
      <c r="AF50" s="186"/>
      <c r="AG50" s="186"/>
      <c r="AH50" s="186"/>
      <c r="AI50" s="186"/>
      <c r="AJ50" s="186"/>
      <c r="AK50" s="186"/>
    </row>
    <row r="51" spans="1:37" x14ac:dyDescent="0.25">
      <c r="A51" s="277" t="s">
        <v>638</v>
      </c>
      <c r="B51" s="667">
        <f>'Unit costs'!K28</f>
        <v>0</v>
      </c>
      <c r="C51" s="195">
        <f>C28*C$16</f>
        <v>0</v>
      </c>
      <c r="D51" s="195">
        <f t="shared" ref="D51:G51" si="51">D28*D$16</f>
        <v>0</v>
      </c>
      <c r="E51" s="195">
        <f t="shared" si="51"/>
        <v>0</v>
      </c>
      <c r="F51" s="195">
        <f t="shared" si="51"/>
        <v>0</v>
      </c>
      <c r="G51" s="221">
        <f t="shared" si="51"/>
        <v>0</v>
      </c>
      <c r="H51" s="222">
        <f>H28*H$16</f>
        <v>0</v>
      </c>
      <c r="I51" s="195">
        <f t="shared" ref="I51:K51" si="52">I28*I$16</f>
        <v>0</v>
      </c>
      <c r="J51" s="195">
        <f t="shared" si="52"/>
        <v>0</v>
      </c>
      <c r="K51" s="195">
        <f t="shared" si="52"/>
        <v>0</v>
      </c>
      <c r="L51" s="296">
        <f>L28*L$16</f>
        <v>0</v>
      </c>
      <c r="M51" s="576"/>
      <c r="N51" s="224">
        <f t="shared" si="41"/>
        <v>0</v>
      </c>
      <c r="O51" s="195">
        <f t="shared" si="42"/>
        <v>0</v>
      </c>
      <c r="P51" s="195">
        <f t="shared" si="43"/>
        <v>0</v>
      </c>
      <c r="Q51" s="195">
        <f t="shared" si="44"/>
        <v>0</v>
      </c>
      <c r="R51" s="221">
        <f t="shared" si="45"/>
        <v>0</v>
      </c>
      <c r="S51" s="223">
        <f t="shared" si="46"/>
        <v>0</v>
      </c>
      <c r="T51" s="196">
        <f t="shared" si="47"/>
        <v>0</v>
      </c>
      <c r="U51" s="196">
        <f t="shared" si="48"/>
        <v>0</v>
      </c>
      <c r="V51" s="196">
        <f>Q51*$B51/1000</f>
        <v>0</v>
      </c>
      <c r="W51" s="197">
        <f t="shared" si="50"/>
        <v>0</v>
      </c>
      <c r="Y51" s="186"/>
      <c r="Z51" s="186"/>
      <c r="AA51" s="186"/>
      <c r="AB51" s="186"/>
      <c r="AC51" s="186"/>
      <c r="AD51" s="186"/>
      <c r="AF51" s="186"/>
      <c r="AG51" s="186"/>
      <c r="AH51" s="186"/>
      <c r="AI51" s="186"/>
      <c r="AJ51" s="186"/>
      <c r="AK51" s="186"/>
    </row>
    <row r="52" spans="1:37" x14ac:dyDescent="0.25">
      <c r="A52" s="277" t="s">
        <v>641</v>
      </c>
      <c r="B52" s="667">
        <f>'Unit costs'!K46</f>
        <v>0</v>
      </c>
      <c r="C52" s="195">
        <f>C29*C$16</f>
        <v>0</v>
      </c>
      <c r="D52" s="195">
        <f t="shared" ref="D52:G52" si="53">D29*D$16</f>
        <v>0</v>
      </c>
      <c r="E52" s="195">
        <f t="shared" si="53"/>
        <v>0</v>
      </c>
      <c r="F52" s="195">
        <f t="shared" si="53"/>
        <v>0</v>
      </c>
      <c r="G52" s="221">
        <f t="shared" si="53"/>
        <v>0</v>
      </c>
      <c r="H52" s="222">
        <f>H29*H$16</f>
        <v>0</v>
      </c>
      <c r="I52" s="195">
        <f t="shared" ref="I52:L52" si="54">I29*I$16</f>
        <v>0</v>
      </c>
      <c r="J52" s="195">
        <f t="shared" si="54"/>
        <v>0</v>
      </c>
      <c r="K52" s="195">
        <f t="shared" si="54"/>
        <v>0</v>
      </c>
      <c r="L52" s="296">
        <f t="shared" si="54"/>
        <v>0</v>
      </c>
      <c r="M52" s="576"/>
      <c r="N52" s="224">
        <f t="shared" si="41"/>
        <v>0</v>
      </c>
      <c r="O52" s="195">
        <f t="shared" si="42"/>
        <v>0</v>
      </c>
      <c r="P52" s="195">
        <f t="shared" si="43"/>
        <v>0</v>
      </c>
      <c r="Q52" s="195">
        <f t="shared" si="44"/>
        <v>0</v>
      </c>
      <c r="R52" s="221">
        <f t="shared" si="45"/>
        <v>0</v>
      </c>
      <c r="S52" s="223">
        <f t="shared" si="46"/>
        <v>0</v>
      </c>
      <c r="T52" s="196">
        <f t="shared" si="47"/>
        <v>0</v>
      </c>
      <c r="U52" s="196">
        <f t="shared" si="48"/>
        <v>0</v>
      </c>
      <c r="V52" s="196">
        <f t="shared" ref="V52" si="55">Q52*$B52/1000</f>
        <v>0</v>
      </c>
      <c r="W52" s="197">
        <f t="shared" si="50"/>
        <v>0</v>
      </c>
      <c r="Y52" s="186"/>
      <c r="Z52" s="186"/>
      <c r="AA52" s="186"/>
      <c r="AB52" s="186"/>
      <c r="AC52" s="186"/>
      <c r="AD52" s="186"/>
      <c r="AF52" s="186"/>
      <c r="AG52" s="186"/>
      <c r="AH52" s="186"/>
      <c r="AI52" s="186"/>
      <c r="AJ52" s="186"/>
      <c r="AK52" s="186"/>
    </row>
    <row r="53" spans="1:37" x14ac:dyDescent="0.25">
      <c r="A53" s="416" t="s">
        <v>799</v>
      </c>
      <c r="B53" s="667">
        <f>'Unit costs'!L77+'Unit costs'!M66</f>
        <v>0</v>
      </c>
      <c r="C53" s="195">
        <f>C30*C$16</f>
        <v>0</v>
      </c>
      <c r="D53" s="195">
        <f t="shared" ref="D53:G53" si="56">D30*D$16</f>
        <v>0</v>
      </c>
      <c r="E53" s="195">
        <f t="shared" si="56"/>
        <v>0</v>
      </c>
      <c r="F53" s="195">
        <f t="shared" si="56"/>
        <v>0</v>
      </c>
      <c r="G53" s="221">
        <f t="shared" si="56"/>
        <v>0</v>
      </c>
      <c r="H53" s="222">
        <f>H30*H$16</f>
        <v>0</v>
      </c>
      <c r="I53" s="195">
        <f t="shared" ref="I53:L53" si="57">I30*I$16</f>
        <v>0</v>
      </c>
      <c r="J53" s="195">
        <f t="shared" si="57"/>
        <v>0</v>
      </c>
      <c r="K53" s="195">
        <f t="shared" si="57"/>
        <v>0</v>
      </c>
      <c r="L53" s="296">
        <f t="shared" si="57"/>
        <v>0</v>
      </c>
      <c r="M53" s="576"/>
      <c r="N53" s="224">
        <f t="shared" ref="N53:N55" si="58">H53-C53</f>
        <v>0</v>
      </c>
      <c r="O53" s="195">
        <f t="shared" ref="O53:O55" si="59">I53-D53</f>
        <v>0</v>
      </c>
      <c r="P53" s="195">
        <f t="shared" ref="P53:P55" si="60">J53-E53</f>
        <v>0</v>
      </c>
      <c r="Q53" s="195">
        <f t="shared" ref="Q53:Q55" si="61">K53-F53</f>
        <v>0</v>
      </c>
      <c r="R53" s="221">
        <f t="shared" ref="R53:R55" si="62">L53-G53</f>
        <v>0</v>
      </c>
      <c r="S53" s="223">
        <f t="shared" ref="S53:S55" si="63">N53*$B53/1000</f>
        <v>0</v>
      </c>
      <c r="T53" s="196">
        <f t="shared" ref="T53:T55" si="64">O53*$B53/1000</f>
        <v>0</v>
      </c>
      <c r="U53" s="196">
        <f t="shared" ref="U53:U55" si="65">P53*$B53/1000</f>
        <v>0</v>
      </c>
      <c r="V53" s="196">
        <f t="shared" ref="V53:V55" si="66">Q53*$B53/1000</f>
        <v>0</v>
      </c>
      <c r="W53" s="197">
        <f t="shared" ref="W53:W55" si="67">R53*$B53/1000</f>
        <v>0</v>
      </c>
      <c r="Y53" s="186"/>
      <c r="Z53" s="186"/>
      <c r="AA53" s="186"/>
      <c r="AB53" s="186"/>
      <c r="AC53" s="186"/>
      <c r="AD53" s="186"/>
      <c r="AF53" s="186"/>
      <c r="AG53" s="186"/>
      <c r="AH53" s="186"/>
      <c r="AI53" s="186"/>
      <c r="AJ53" s="186"/>
      <c r="AK53" s="186"/>
    </row>
    <row r="54" spans="1:37" x14ac:dyDescent="0.25">
      <c r="A54" s="416" t="s">
        <v>800</v>
      </c>
      <c r="B54" s="667">
        <f>'Unit costs'!M67</f>
        <v>0</v>
      </c>
      <c r="C54" s="505"/>
      <c r="D54" s="195">
        <f>C53</f>
        <v>0</v>
      </c>
      <c r="E54" s="195">
        <f t="shared" ref="E54:G54" si="68">D53</f>
        <v>0</v>
      </c>
      <c r="F54" s="195">
        <f t="shared" si="68"/>
        <v>0</v>
      </c>
      <c r="G54" s="221">
        <f t="shared" si="68"/>
        <v>0</v>
      </c>
      <c r="H54" s="504"/>
      <c r="I54" s="195">
        <f>H53</f>
        <v>0</v>
      </c>
      <c r="J54" s="195">
        <f t="shared" ref="J54:L54" si="69">I53</f>
        <v>0</v>
      </c>
      <c r="K54" s="195">
        <f t="shared" si="69"/>
        <v>0</v>
      </c>
      <c r="L54" s="296">
        <f t="shared" si="69"/>
        <v>0</v>
      </c>
      <c r="M54" s="576"/>
      <c r="N54" s="224">
        <f t="shared" ref="N54" si="70">H54-C54</f>
        <v>0</v>
      </c>
      <c r="O54" s="195">
        <f t="shared" ref="O54" si="71">I54-D54</f>
        <v>0</v>
      </c>
      <c r="P54" s="195">
        <f t="shared" ref="P54" si="72">J54-E54</f>
        <v>0</v>
      </c>
      <c r="Q54" s="195">
        <f t="shared" ref="Q54" si="73">K54-F54</f>
        <v>0</v>
      </c>
      <c r="R54" s="221">
        <f t="shared" ref="R54" si="74">L54-G54</f>
        <v>0</v>
      </c>
      <c r="S54" s="223">
        <f t="shared" ref="S54" si="75">N54*$B54/1000</f>
        <v>0</v>
      </c>
      <c r="T54" s="196">
        <f t="shared" ref="T54" si="76">O54*$B54/1000</f>
        <v>0</v>
      </c>
      <c r="U54" s="196">
        <f t="shared" ref="U54" si="77">P54*$B54/1000</f>
        <v>0</v>
      </c>
      <c r="V54" s="196">
        <f t="shared" ref="V54" si="78">Q54*$B54/1000</f>
        <v>0</v>
      </c>
      <c r="W54" s="197">
        <f t="shared" ref="W54" si="79">R54*$B54/1000</f>
        <v>0</v>
      </c>
      <c r="Y54" s="186"/>
      <c r="Z54" s="186"/>
      <c r="AA54" s="186"/>
      <c r="AB54" s="186"/>
      <c r="AC54" s="186"/>
      <c r="AD54" s="186"/>
      <c r="AF54" s="186"/>
      <c r="AG54" s="186"/>
      <c r="AH54" s="186"/>
      <c r="AI54" s="186"/>
      <c r="AJ54" s="186"/>
      <c r="AK54" s="186"/>
    </row>
    <row r="55" spans="1:37" ht="15.75" thickBot="1" x14ac:dyDescent="0.3">
      <c r="A55" s="413" t="s">
        <v>809</v>
      </c>
      <c r="B55" s="668">
        <f>'Unit costs'!M105+'Unit costs'!M95</f>
        <v>0</v>
      </c>
      <c r="C55" s="637">
        <f>C31*C$16</f>
        <v>0</v>
      </c>
      <c r="D55" s="637">
        <f t="shared" ref="D55:G55" si="80">D31*D$16</f>
        <v>0</v>
      </c>
      <c r="E55" s="637">
        <f t="shared" si="80"/>
        <v>0</v>
      </c>
      <c r="F55" s="637">
        <f t="shared" si="80"/>
        <v>0</v>
      </c>
      <c r="G55" s="638">
        <f t="shared" si="80"/>
        <v>0</v>
      </c>
      <c r="H55" s="639">
        <f>H31*H$16</f>
        <v>0</v>
      </c>
      <c r="I55" s="637">
        <f t="shared" ref="I55:L55" si="81">I31*I$16</f>
        <v>0</v>
      </c>
      <c r="J55" s="637">
        <f t="shared" si="81"/>
        <v>0</v>
      </c>
      <c r="K55" s="637">
        <f t="shared" si="81"/>
        <v>0</v>
      </c>
      <c r="L55" s="640">
        <f t="shared" si="81"/>
        <v>0</v>
      </c>
      <c r="M55" s="576"/>
      <c r="N55" s="641">
        <f t="shared" si="58"/>
        <v>0</v>
      </c>
      <c r="O55" s="637">
        <f t="shared" si="59"/>
        <v>0</v>
      </c>
      <c r="P55" s="637">
        <f t="shared" si="60"/>
        <v>0</v>
      </c>
      <c r="Q55" s="637">
        <f t="shared" si="61"/>
        <v>0</v>
      </c>
      <c r="R55" s="638">
        <f t="shared" si="62"/>
        <v>0</v>
      </c>
      <c r="S55" s="642">
        <f t="shared" si="63"/>
        <v>0</v>
      </c>
      <c r="T55" s="643">
        <f t="shared" si="64"/>
        <v>0</v>
      </c>
      <c r="U55" s="643">
        <f t="shared" si="65"/>
        <v>0</v>
      </c>
      <c r="V55" s="643">
        <f t="shared" si="66"/>
        <v>0</v>
      </c>
      <c r="W55" s="644">
        <f t="shared" si="67"/>
        <v>0</v>
      </c>
      <c r="Y55" s="186"/>
      <c r="Z55" s="186"/>
      <c r="AA55" s="186"/>
      <c r="AB55" s="186"/>
      <c r="AC55" s="186"/>
      <c r="AD55" s="186"/>
      <c r="AF55" s="186"/>
      <c r="AG55" s="186"/>
      <c r="AH55" s="186"/>
      <c r="AI55" s="186"/>
      <c r="AJ55" s="186"/>
      <c r="AK55" s="186"/>
    </row>
    <row r="56" spans="1:37" x14ac:dyDescent="0.25">
      <c r="A56" s="427" t="s">
        <v>632</v>
      </c>
      <c r="B56" s="669"/>
      <c r="C56" s="629"/>
      <c r="D56" s="629"/>
      <c r="E56" s="629"/>
      <c r="F56" s="629"/>
      <c r="G56" s="630"/>
      <c r="H56" s="631"/>
      <c r="I56" s="629"/>
      <c r="J56" s="629"/>
      <c r="K56" s="629"/>
      <c r="L56" s="632"/>
      <c r="M56" s="576"/>
      <c r="N56" s="633"/>
      <c r="O56" s="629"/>
      <c r="P56" s="629"/>
      <c r="Q56" s="629"/>
      <c r="R56" s="630"/>
      <c r="S56" s="634"/>
      <c r="T56" s="635"/>
      <c r="U56" s="635"/>
      <c r="V56" s="635"/>
      <c r="W56" s="636"/>
      <c r="Y56" s="186"/>
      <c r="Z56" s="186"/>
      <c r="AA56" s="186"/>
      <c r="AB56" s="186"/>
      <c r="AC56" s="186"/>
      <c r="AD56" s="186"/>
      <c r="AF56" s="186"/>
      <c r="AG56" s="186"/>
      <c r="AH56" s="186"/>
      <c r="AI56" s="186"/>
      <c r="AJ56" s="186"/>
      <c r="AK56" s="186"/>
    </row>
    <row r="57" spans="1:37" x14ac:dyDescent="0.25">
      <c r="A57" s="277" t="s">
        <v>636</v>
      </c>
      <c r="B57" s="667">
        <f>'Unit costs'!K8</f>
        <v>0</v>
      </c>
      <c r="C57" s="195">
        <f>C33*C$17</f>
        <v>0</v>
      </c>
      <c r="D57" s="195">
        <f t="shared" ref="D57:G57" si="82">D33*D$17</f>
        <v>0</v>
      </c>
      <c r="E57" s="195">
        <f t="shared" si="82"/>
        <v>0</v>
      </c>
      <c r="F57" s="195">
        <f t="shared" si="82"/>
        <v>0</v>
      </c>
      <c r="G57" s="221">
        <f t="shared" si="82"/>
        <v>0</v>
      </c>
      <c r="H57" s="222">
        <f>H33*H$17</f>
        <v>0</v>
      </c>
      <c r="I57" s="195">
        <f t="shared" ref="I57:L57" si="83">I33*I$17</f>
        <v>0</v>
      </c>
      <c r="J57" s="195">
        <f t="shared" si="83"/>
        <v>0</v>
      </c>
      <c r="K57" s="195">
        <f t="shared" si="83"/>
        <v>0</v>
      </c>
      <c r="L57" s="296">
        <f t="shared" si="83"/>
        <v>0</v>
      </c>
      <c r="M57" s="576"/>
      <c r="N57" s="224">
        <f t="shared" ref="N57:N59" si="84">H57-C57</f>
        <v>0</v>
      </c>
      <c r="O57" s="195">
        <f t="shared" ref="O57:O59" si="85">I57-D57</f>
        <v>0</v>
      </c>
      <c r="P57" s="195">
        <f t="shared" ref="P57:P59" si="86">J57-E57</f>
        <v>0</v>
      </c>
      <c r="Q57" s="195">
        <f t="shared" ref="Q57:Q59" si="87">K57-F57</f>
        <v>0</v>
      </c>
      <c r="R57" s="221">
        <f t="shared" ref="R57:R59" si="88">L57-G57</f>
        <v>0</v>
      </c>
      <c r="S57" s="223">
        <f t="shared" ref="S57:S59" si="89">N57*$B57/1000</f>
        <v>0</v>
      </c>
      <c r="T57" s="196">
        <f t="shared" ref="T57:T59" si="90">O57*$B57/1000</f>
        <v>0</v>
      </c>
      <c r="U57" s="196">
        <f t="shared" ref="U57:U59" si="91">P57*$B57/1000</f>
        <v>0</v>
      </c>
      <c r="V57" s="196">
        <f t="shared" ref="V57" si="92">Q57*$B57/1000</f>
        <v>0</v>
      </c>
      <c r="W57" s="197">
        <f t="shared" ref="W57:W59" si="93">R57*$B57/1000</f>
        <v>0</v>
      </c>
      <c r="Y57" s="186"/>
      <c r="Z57" s="186"/>
      <c r="AA57" s="186"/>
      <c r="AB57" s="186"/>
      <c r="AC57" s="186"/>
      <c r="AD57" s="186"/>
      <c r="AF57" s="186"/>
      <c r="AG57" s="186"/>
      <c r="AH57" s="186"/>
      <c r="AI57" s="186"/>
      <c r="AJ57" s="186"/>
      <c r="AK57" s="186"/>
    </row>
    <row r="58" spans="1:37" x14ac:dyDescent="0.25">
      <c r="A58" s="277" t="s">
        <v>638</v>
      </c>
      <c r="B58" s="667">
        <f>'Unit costs'!K28</f>
        <v>0</v>
      </c>
      <c r="C58" s="195">
        <f>C34*C$17</f>
        <v>0</v>
      </c>
      <c r="D58" s="195">
        <f t="shared" ref="D58:G58" si="94">D34*D$17</f>
        <v>0</v>
      </c>
      <c r="E58" s="195">
        <f t="shared" si="94"/>
        <v>0</v>
      </c>
      <c r="F58" s="195">
        <f t="shared" si="94"/>
        <v>0</v>
      </c>
      <c r="G58" s="221">
        <f t="shared" si="94"/>
        <v>0</v>
      </c>
      <c r="H58" s="222">
        <f>H34*H$17</f>
        <v>0</v>
      </c>
      <c r="I58" s="195">
        <f t="shared" ref="I58:L58" si="95">I34*I$17</f>
        <v>0</v>
      </c>
      <c r="J58" s="195">
        <f t="shared" si="95"/>
        <v>0</v>
      </c>
      <c r="K58" s="195">
        <f t="shared" si="95"/>
        <v>0</v>
      </c>
      <c r="L58" s="296">
        <f t="shared" si="95"/>
        <v>0</v>
      </c>
      <c r="M58" s="576"/>
      <c r="N58" s="224">
        <f t="shared" si="84"/>
        <v>0</v>
      </c>
      <c r="O58" s="195">
        <f t="shared" si="85"/>
        <v>0</v>
      </c>
      <c r="P58" s="195">
        <f t="shared" si="86"/>
        <v>0</v>
      </c>
      <c r="Q58" s="195">
        <f t="shared" si="87"/>
        <v>0</v>
      </c>
      <c r="R58" s="221">
        <f t="shared" si="88"/>
        <v>0</v>
      </c>
      <c r="S58" s="223">
        <f t="shared" si="89"/>
        <v>0</v>
      </c>
      <c r="T58" s="196">
        <f t="shared" si="90"/>
        <v>0</v>
      </c>
      <c r="U58" s="196">
        <f t="shared" si="91"/>
        <v>0</v>
      </c>
      <c r="V58" s="196">
        <f>Q58*$B58/1000</f>
        <v>0</v>
      </c>
      <c r="W58" s="197">
        <f t="shared" si="93"/>
        <v>0</v>
      </c>
      <c r="Y58" s="186"/>
      <c r="Z58" s="186"/>
      <c r="AA58" s="186"/>
      <c r="AB58" s="186"/>
      <c r="AC58" s="186"/>
      <c r="AD58" s="186"/>
      <c r="AF58" s="186"/>
      <c r="AG58" s="186"/>
      <c r="AH58" s="186"/>
      <c r="AI58" s="186"/>
      <c r="AJ58" s="186"/>
      <c r="AK58" s="186"/>
    </row>
    <row r="59" spans="1:37" x14ac:dyDescent="0.25">
      <c r="A59" s="277" t="s">
        <v>641</v>
      </c>
      <c r="B59" s="667">
        <f>'Unit costs'!K46</f>
        <v>0</v>
      </c>
      <c r="C59" s="195">
        <f>C35*C$17</f>
        <v>0</v>
      </c>
      <c r="D59" s="195">
        <f t="shared" ref="D59:G59" si="96">D35*D$17</f>
        <v>0</v>
      </c>
      <c r="E59" s="195">
        <f t="shared" si="96"/>
        <v>0</v>
      </c>
      <c r="F59" s="195">
        <f t="shared" si="96"/>
        <v>0</v>
      </c>
      <c r="G59" s="221">
        <f t="shared" si="96"/>
        <v>0</v>
      </c>
      <c r="H59" s="222">
        <f>H35*H$17</f>
        <v>0</v>
      </c>
      <c r="I59" s="195">
        <f t="shared" ref="I59:L59" si="97">I35*I$17</f>
        <v>0</v>
      </c>
      <c r="J59" s="195">
        <f t="shared" si="97"/>
        <v>0</v>
      </c>
      <c r="K59" s="195">
        <f t="shared" si="97"/>
        <v>0</v>
      </c>
      <c r="L59" s="296">
        <f t="shared" si="97"/>
        <v>0</v>
      </c>
      <c r="M59" s="576"/>
      <c r="N59" s="224">
        <f t="shared" si="84"/>
        <v>0</v>
      </c>
      <c r="O59" s="195">
        <f t="shared" si="85"/>
        <v>0</v>
      </c>
      <c r="P59" s="195">
        <f t="shared" si="86"/>
        <v>0</v>
      </c>
      <c r="Q59" s="195">
        <f t="shared" si="87"/>
        <v>0</v>
      </c>
      <c r="R59" s="221">
        <f t="shared" si="88"/>
        <v>0</v>
      </c>
      <c r="S59" s="223">
        <f t="shared" si="89"/>
        <v>0</v>
      </c>
      <c r="T59" s="196">
        <f t="shared" si="90"/>
        <v>0</v>
      </c>
      <c r="U59" s="196">
        <f t="shared" si="91"/>
        <v>0</v>
      </c>
      <c r="V59" s="196">
        <f t="shared" ref="V59" si="98">Q59*$B59/1000</f>
        <v>0</v>
      </c>
      <c r="W59" s="197">
        <f t="shared" si="93"/>
        <v>0</v>
      </c>
      <c r="Y59" s="186"/>
      <c r="Z59" s="186"/>
      <c r="AA59" s="186"/>
      <c r="AB59" s="186"/>
      <c r="AC59" s="186"/>
      <c r="AD59" s="186"/>
      <c r="AF59" s="186"/>
      <c r="AG59" s="186"/>
      <c r="AH59" s="186"/>
      <c r="AI59" s="186"/>
      <c r="AJ59" s="186"/>
      <c r="AK59" s="186"/>
    </row>
    <row r="60" spans="1:37" ht="15.75" thickBot="1" x14ac:dyDescent="0.3">
      <c r="A60" s="413" t="s">
        <v>643</v>
      </c>
      <c r="B60" s="668">
        <f>'Unit costs'!M131+'Unit costs'!M121</f>
        <v>0</v>
      </c>
      <c r="C60" s="638">
        <f>C36*C$17</f>
        <v>0</v>
      </c>
      <c r="D60" s="638">
        <f t="shared" ref="D60:F60" si="99">D36*D$17</f>
        <v>0</v>
      </c>
      <c r="E60" s="638">
        <f t="shared" si="99"/>
        <v>0</v>
      </c>
      <c r="F60" s="638">
        <f t="shared" si="99"/>
        <v>0</v>
      </c>
      <c r="G60" s="638">
        <f>G36*G$17</f>
        <v>0</v>
      </c>
      <c r="H60" s="639">
        <f>H36*H$17</f>
        <v>0</v>
      </c>
      <c r="I60" s="637">
        <f t="shared" ref="I60:L60" si="100">I36*I$17</f>
        <v>0</v>
      </c>
      <c r="J60" s="637">
        <f t="shared" si="100"/>
        <v>0</v>
      </c>
      <c r="K60" s="637">
        <f t="shared" si="100"/>
        <v>0</v>
      </c>
      <c r="L60" s="640">
        <f t="shared" si="100"/>
        <v>0</v>
      </c>
      <c r="M60" s="576"/>
      <c r="N60" s="641">
        <f>H60-C60</f>
        <v>0</v>
      </c>
      <c r="O60" s="637">
        <f t="shared" ref="O60" si="101">I60-D60</f>
        <v>0</v>
      </c>
      <c r="P60" s="637">
        <f t="shared" ref="P60" si="102">J60-E60</f>
        <v>0</v>
      </c>
      <c r="Q60" s="637">
        <f t="shared" ref="Q60" si="103">K60-F60</f>
        <v>0</v>
      </c>
      <c r="R60" s="638">
        <f t="shared" ref="R60" si="104">L60-G60</f>
        <v>0</v>
      </c>
      <c r="S60" s="642">
        <f t="shared" ref="S60:S65" si="105">N60*$B60/1000</f>
        <v>0</v>
      </c>
      <c r="T60" s="643">
        <f t="shared" ref="T60" si="106">O60*$B60/1000</f>
        <v>0</v>
      </c>
      <c r="U60" s="643">
        <f t="shared" ref="U60" si="107">P60*$B60/1000</f>
        <v>0</v>
      </c>
      <c r="V60" s="643">
        <f t="shared" ref="V60" si="108">Q60*$B60/1000</f>
        <v>0</v>
      </c>
      <c r="W60" s="644">
        <f t="shared" ref="W60" si="109">R60*$B60/1000</f>
        <v>0</v>
      </c>
      <c r="Y60" s="186"/>
      <c r="Z60" s="186"/>
      <c r="AA60" s="186"/>
      <c r="AB60" s="186"/>
      <c r="AC60" s="186"/>
      <c r="AD60" s="186"/>
      <c r="AF60" s="186"/>
      <c r="AG60" s="186"/>
      <c r="AH60" s="186"/>
      <c r="AI60" s="186"/>
      <c r="AJ60" s="186"/>
      <c r="AK60" s="186"/>
    </row>
    <row r="61" spans="1:37" x14ac:dyDescent="0.25">
      <c r="A61" s="427" t="s">
        <v>812</v>
      </c>
      <c r="B61" s="557"/>
      <c r="C61" s="645"/>
      <c r="D61" s="645"/>
      <c r="E61" s="645"/>
      <c r="F61" s="645"/>
      <c r="G61" s="646"/>
      <c r="H61" s="631"/>
      <c r="I61" s="629"/>
      <c r="J61" s="629"/>
      <c r="K61" s="629"/>
      <c r="L61" s="632"/>
      <c r="M61" s="576"/>
      <c r="N61" s="647"/>
      <c r="O61" s="645"/>
      <c r="P61" s="645"/>
      <c r="Q61" s="645"/>
      <c r="R61" s="646"/>
      <c r="S61" s="634"/>
      <c r="T61" s="635"/>
      <c r="U61" s="635"/>
      <c r="V61" s="635"/>
      <c r="W61" s="636"/>
      <c r="Y61" s="186"/>
      <c r="Z61" s="186"/>
      <c r="AA61" s="186"/>
      <c r="AB61" s="186"/>
      <c r="AC61" s="186"/>
      <c r="AD61" s="186"/>
      <c r="AF61" s="186"/>
      <c r="AG61" s="186"/>
      <c r="AH61" s="186"/>
      <c r="AI61" s="186"/>
      <c r="AJ61" s="186"/>
      <c r="AK61" s="186"/>
    </row>
    <row r="62" spans="1:37" x14ac:dyDescent="0.25">
      <c r="A62" s="416" t="s">
        <v>799</v>
      </c>
      <c r="B62" s="667">
        <f>'Unit costs'!M144+'Unit costs'!L155</f>
        <v>0</v>
      </c>
      <c r="C62" s="558">
        <f>C38*C18</f>
        <v>0</v>
      </c>
      <c r="D62" s="558">
        <f t="shared" ref="D62:G62" si="110">D38*D18</f>
        <v>0</v>
      </c>
      <c r="E62" s="558">
        <f t="shared" si="110"/>
        <v>0</v>
      </c>
      <c r="F62" s="558">
        <f t="shared" si="110"/>
        <v>0</v>
      </c>
      <c r="G62" s="559">
        <f t="shared" si="110"/>
        <v>0</v>
      </c>
      <c r="H62" s="222">
        <f>H38*H18</f>
        <v>0</v>
      </c>
      <c r="I62" s="195">
        <f t="shared" ref="I62:L62" si="111">I38*I18</f>
        <v>0</v>
      </c>
      <c r="J62" s="195">
        <f t="shared" si="111"/>
        <v>0</v>
      </c>
      <c r="K62" s="195">
        <f t="shared" si="111"/>
        <v>0</v>
      </c>
      <c r="L62" s="296">
        <f t="shared" si="111"/>
        <v>0</v>
      </c>
      <c r="M62" s="576"/>
      <c r="N62" s="560">
        <f>H62-C62</f>
        <v>0</v>
      </c>
      <c r="O62" s="560">
        <f t="shared" ref="O62:R65" si="112">I62-D62</f>
        <v>0</v>
      </c>
      <c r="P62" s="560">
        <f t="shared" si="112"/>
        <v>0</v>
      </c>
      <c r="Q62" s="560">
        <f t="shared" si="112"/>
        <v>0</v>
      </c>
      <c r="R62" s="578">
        <f t="shared" si="112"/>
        <v>0</v>
      </c>
      <c r="S62" s="223">
        <f t="shared" si="105"/>
        <v>0</v>
      </c>
      <c r="T62" s="196">
        <f t="shared" ref="T62:T65" si="113">O62*$B62/1000</f>
        <v>0</v>
      </c>
      <c r="U62" s="196">
        <f t="shared" ref="U62:U65" si="114">P62*$B62/1000</f>
        <v>0</v>
      </c>
      <c r="V62" s="196">
        <f t="shared" ref="V62:V65" si="115">Q62*$B62/1000</f>
        <v>0</v>
      </c>
      <c r="W62" s="197">
        <f t="shared" ref="W62:W65" si="116">R62*$B62/1000</f>
        <v>0</v>
      </c>
      <c r="Y62" s="186"/>
      <c r="Z62" s="186"/>
      <c r="AA62" s="186"/>
      <c r="AB62" s="186"/>
      <c r="AC62" s="186"/>
      <c r="AD62" s="186"/>
      <c r="AF62" s="186"/>
      <c r="AG62" s="186"/>
      <c r="AH62" s="186"/>
      <c r="AI62" s="186"/>
      <c r="AJ62" s="186"/>
      <c r="AK62" s="186"/>
    </row>
    <row r="63" spans="1:37" x14ac:dyDescent="0.25">
      <c r="A63" s="416" t="s">
        <v>800</v>
      </c>
      <c r="B63" s="667">
        <f>'Unit costs'!M145</f>
        <v>0</v>
      </c>
      <c r="C63" s="575"/>
      <c r="D63" s="558">
        <f>C62</f>
        <v>0</v>
      </c>
      <c r="E63" s="558">
        <f>D62</f>
        <v>0</v>
      </c>
      <c r="F63" s="558">
        <f>E62</f>
        <v>0</v>
      </c>
      <c r="G63" s="559">
        <f>F62</f>
        <v>0</v>
      </c>
      <c r="H63" s="504"/>
      <c r="I63" s="195">
        <f>H62</f>
        <v>0</v>
      </c>
      <c r="J63" s="195">
        <f>I62</f>
        <v>0</v>
      </c>
      <c r="K63" s="195">
        <f>J62</f>
        <v>0</v>
      </c>
      <c r="L63" s="296">
        <f>K62</f>
        <v>0</v>
      </c>
      <c r="M63" s="576"/>
      <c r="N63" s="560">
        <f t="shared" ref="N63:N65" si="117">H63-C63</f>
        <v>0</v>
      </c>
      <c r="O63" s="560">
        <f t="shared" si="112"/>
        <v>0</v>
      </c>
      <c r="P63" s="560">
        <f t="shared" si="112"/>
        <v>0</v>
      </c>
      <c r="Q63" s="560">
        <f t="shared" si="112"/>
        <v>0</v>
      </c>
      <c r="R63" s="578">
        <f t="shared" si="112"/>
        <v>0</v>
      </c>
      <c r="S63" s="223">
        <f t="shared" si="105"/>
        <v>0</v>
      </c>
      <c r="T63" s="196">
        <f t="shared" si="113"/>
        <v>0</v>
      </c>
      <c r="U63" s="196">
        <f t="shared" si="114"/>
        <v>0</v>
      </c>
      <c r="V63" s="196">
        <f t="shared" si="115"/>
        <v>0</v>
      </c>
      <c r="W63" s="197">
        <f t="shared" si="116"/>
        <v>0</v>
      </c>
      <c r="Y63" s="186"/>
      <c r="Z63" s="186"/>
      <c r="AA63" s="186"/>
      <c r="AB63" s="186"/>
      <c r="AC63" s="186"/>
      <c r="AD63" s="186"/>
      <c r="AF63" s="186"/>
      <c r="AG63" s="186"/>
      <c r="AH63" s="186"/>
      <c r="AI63" s="186"/>
      <c r="AJ63" s="186"/>
      <c r="AK63" s="186"/>
    </row>
    <row r="64" spans="1:37" x14ac:dyDescent="0.25">
      <c r="A64" s="552" t="s">
        <v>815</v>
      </c>
      <c r="B64" s="667">
        <f>'Unit costs'!M192</f>
        <v>0</v>
      </c>
      <c r="C64" s="558">
        <f>C39*C18</f>
        <v>0</v>
      </c>
      <c r="D64" s="558">
        <f t="shared" ref="D64:L64" si="118">D39*D18</f>
        <v>0</v>
      </c>
      <c r="E64" s="558">
        <f t="shared" si="118"/>
        <v>0</v>
      </c>
      <c r="F64" s="558">
        <f t="shared" si="118"/>
        <v>0</v>
      </c>
      <c r="G64" s="559">
        <f t="shared" si="118"/>
        <v>0</v>
      </c>
      <c r="H64" s="222">
        <f t="shared" si="118"/>
        <v>0</v>
      </c>
      <c r="I64" s="195">
        <f t="shared" si="118"/>
        <v>0</v>
      </c>
      <c r="J64" s="195">
        <f t="shared" si="118"/>
        <v>0</v>
      </c>
      <c r="K64" s="195">
        <f t="shared" si="118"/>
        <v>0</v>
      </c>
      <c r="L64" s="296">
        <f t="shared" si="118"/>
        <v>0</v>
      </c>
      <c r="M64" s="576"/>
      <c r="N64" s="560">
        <f t="shared" si="117"/>
        <v>0</v>
      </c>
      <c r="O64" s="560">
        <f t="shared" si="112"/>
        <v>0</v>
      </c>
      <c r="P64" s="560">
        <f t="shared" si="112"/>
        <v>0</v>
      </c>
      <c r="Q64" s="560">
        <f t="shared" si="112"/>
        <v>0</v>
      </c>
      <c r="R64" s="578">
        <f t="shared" si="112"/>
        <v>0</v>
      </c>
      <c r="S64" s="223">
        <f t="shared" si="105"/>
        <v>0</v>
      </c>
      <c r="T64" s="196">
        <f t="shared" si="113"/>
        <v>0</v>
      </c>
      <c r="U64" s="196">
        <f t="shared" si="114"/>
        <v>0</v>
      </c>
      <c r="V64" s="196">
        <f t="shared" si="115"/>
        <v>0</v>
      </c>
      <c r="W64" s="197">
        <f t="shared" si="116"/>
        <v>0</v>
      </c>
      <c r="Y64" s="186"/>
      <c r="Z64" s="186"/>
      <c r="AA64" s="186"/>
      <c r="AB64" s="186"/>
      <c r="AC64" s="186"/>
      <c r="AD64" s="186"/>
      <c r="AF64" s="186"/>
      <c r="AG64" s="186"/>
      <c r="AH64" s="186"/>
      <c r="AI64" s="186"/>
      <c r="AJ64" s="186"/>
      <c r="AK64" s="186"/>
    </row>
    <row r="65" spans="1:37" ht="15.75" thickBot="1" x14ac:dyDescent="0.3">
      <c r="A65" s="554" t="s">
        <v>816</v>
      </c>
      <c r="B65" s="668">
        <f>'Unit costs'!M95+'Unit costs'!M105</f>
        <v>0</v>
      </c>
      <c r="C65" s="637">
        <f>C40*C18</f>
        <v>0</v>
      </c>
      <c r="D65" s="637">
        <f t="shared" ref="D65:L65" si="119">D40*D18</f>
        <v>0</v>
      </c>
      <c r="E65" s="637">
        <f t="shared" si="119"/>
        <v>0</v>
      </c>
      <c r="F65" s="637">
        <f t="shared" si="119"/>
        <v>0</v>
      </c>
      <c r="G65" s="638">
        <f t="shared" si="119"/>
        <v>0</v>
      </c>
      <c r="H65" s="639">
        <f t="shared" si="119"/>
        <v>0</v>
      </c>
      <c r="I65" s="637">
        <f t="shared" si="119"/>
        <v>0</v>
      </c>
      <c r="J65" s="637">
        <f t="shared" si="119"/>
        <v>0</v>
      </c>
      <c r="K65" s="637">
        <f t="shared" si="119"/>
        <v>0</v>
      </c>
      <c r="L65" s="640">
        <f t="shared" si="119"/>
        <v>0</v>
      </c>
      <c r="M65" s="576"/>
      <c r="N65" s="641">
        <f t="shared" si="117"/>
        <v>0</v>
      </c>
      <c r="O65" s="641">
        <f t="shared" si="112"/>
        <v>0</v>
      </c>
      <c r="P65" s="641">
        <f t="shared" si="112"/>
        <v>0</v>
      </c>
      <c r="Q65" s="641">
        <f t="shared" si="112"/>
        <v>0</v>
      </c>
      <c r="R65" s="654">
        <f t="shared" si="112"/>
        <v>0</v>
      </c>
      <c r="S65" s="642">
        <f t="shared" si="105"/>
        <v>0</v>
      </c>
      <c r="T65" s="643">
        <f t="shared" si="113"/>
        <v>0</v>
      </c>
      <c r="U65" s="643">
        <f t="shared" si="114"/>
        <v>0</v>
      </c>
      <c r="V65" s="643">
        <f t="shared" si="115"/>
        <v>0</v>
      </c>
      <c r="W65" s="644">
        <f t="shared" si="116"/>
        <v>0</v>
      </c>
      <c r="Y65" s="186"/>
      <c r="Z65" s="186"/>
      <c r="AA65" s="186"/>
      <c r="AB65" s="186"/>
      <c r="AC65" s="186"/>
      <c r="AD65" s="186"/>
      <c r="AF65" s="186"/>
      <c r="AG65" s="186"/>
      <c r="AH65" s="186"/>
      <c r="AI65" s="186"/>
      <c r="AJ65" s="186"/>
      <c r="AK65" s="186"/>
    </row>
    <row r="66" spans="1:37" ht="15.75" thickBot="1" x14ac:dyDescent="0.3">
      <c r="A66" s="326" t="s">
        <v>801</v>
      </c>
      <c r="B66" s="442"/>
      <c r="C66" s="648">
        <f>SUM(C44:C65)</f>
        <v>0</v>
      </c>
      <c r="D66" s="648">
        <f t="shared" ref="D66:G66" si="120">SUM(D44:D65)</f>
        <v>0</v>
      </c>
      <c r="E66" s="648">
        <f t="shared" si="120"/>
        <v>0</v>
      </c>
      <c r="F66" s="648">
        <f t="shared" si="120"/>
        <v>0</v>
      </c>
      <c r="G66" s="648">
        <f t="shared" si="120"/>
        <v>0</v>
      </c>
      <c r="H66" s="674">
        <f>SUM(H44:H65)</f>
        <v>0</v>
      </c>
      <c r="I66" s="675">
        <f>SUM(I44:I65)</f>
        <v>0</v>
      </c>
      <c r="J66" s="675">
        <f>SUM(J44:J65)</f>
        <v>0</v>
      </c>
      <c r="K66" s="675">
        <f t="shared" ref="K66:L66" si="121">SUM(K44:K65)</f>
        <v>0</v>
      </c>
      <c r="L66" s="676">
        <f t="shared" si="121"/>
        <v>0</v>
      </c>
      <c r="M66" s="587"/>
      <c r="N66" s="649">
        <f>SUM(N44:N65)</f>
        <v>0</v>
      </c>
      <c r="O66" s="649">
        <f t="shared" ref="O66:V66" si="122">SUM(O44:O65)</f>
        <v>0</v>
      </c>
      <c r="P66" s="649">
        <f t="shared" si="122"/>
        <v>0</v>
      </c>
      <c r="Q66" s="649">
        <f t="shared" si="122"/>
        <v>0</v>
      </c>
      <c r="R66" s="676">
        <f t="shared" si="122"/>
        <v>0</v>
      </c>
      <c r="S66" s="649">
        <f t="shared" si="122"/>
        <v>0</v>
      </c>
      <c r="T66" s="649">
        <f>SUM(T44:T65)</f>
        <v>0</v>
      </c>
      <c r="U66" s="649">
        <f t="shared" si="122"/>
        <v>0</v>
      </c>
      <c r="V66" s="649">
        <f t="shared" si="122"/>
        <v>0</v>
      </c>
      <c r="W66" s="676">
        <f>SUM(W44:W65)</f>
        <v>0</v>
      </c>
      <c r="Y66" s="186">
        <f>C66</f>
        <v>0</v>
      </c>
      <c r="Z66" s="186">
        <f t="shared" si="0"/>
        <v>0</v>
      </c>
      <c r="AA66" s="186">
        <f t="shared" si="0"/>
        <v>0</v>
      </c>
      <c r="AB66" s="186">
        <f t="shared" si="0"/>
        <v>0</v>
      </c>
      <c r="AC66" s="186">
        <f t="shared" si="0"/>
        <v>0</v>
      </c>
      <c r="AD66" s="186">
        <f t="shared" si="0"/>
        <v>0</v>
      </c>
      <c r="AF66" s="186">
        <f>(C66*B66)/1000</f>
        <v>0</v>
      </c>
      <c r="AG66" s="186">
        <f>$AF66+S66</f>
        <v>0</v>
      </c>
      <c r="AH66" s="186">
        <f t="shared" si="1"/>
        <v>0</v>
      </c>
      <c r="AI66" s="186">
        <f t="shared" si="1"/>
        <v>0</v>
      </c>
      <c r="AJ66" s="186">
        <f t="shared" si="1"/>
        <v>0</v>
      </c>
      <c r="AK66" s="186">
        <f t="shared" si="1"/>
        <v>0</v>
      </c>
    </row>
    <row r="67" spans="1:37" x14ac:dyDescent="0.25">
      <c r="A67" s="439"/>
      <c r="B67" s="219" t="s">
        <v>1</v>
      </c>
      <c r="C67" s="219" t="s">
        <v>1</v>
      </c>
      <c r="D67" s="219" t="s">
        <v>1</v>
      </c>
      <c r="E67" s="219" t="s">
        <v>1</v>
      </c>
      <c r="F67" s="219" t="s">
        <v>1</v>
      </c>
      <c r="G67" s="219" t="s">
        <v>1</v>
      </c>
      <c r="H67" s="219" t="s">
        <v>1</v>
      </c>
      <c r="I67" s="219" t="s">
        <v>1</v>
      </c>
      <c r="J67" s="219" t="s">
        <v>1</v>
      </c>
      <c r="K67" s="219" t="s">
        <v>1</v>
      </c>
      <c r="L67" s="219" t="s">
        <v>1</v>
      </c>
      <c r="M67" s="219" t="s">
        <v>1</v>
      </c>
      <c r="N67" s="219" t="s">
        <v>1</v>
      </c>
      <c r="O67" s="219" t="s">
        <v>1</v>
      </c>
      <c r="P67" s="219" t="s">
        <v>1</v>
      </c>
      <c r="Q67" s="219" t="s">
        <v>1</v>
      </c>
      <c r="R67" s="219" t="s">
        <v>1</v>
      </c>
      <c r="S67" s="219" t="s">
        <v>1</v>
      </c>
      <c r="T67" s="219" t="s">
        <v>1</v>
      </c>
      <c r="U67" s="219" t="s">
        <v>1</v>
      </c>
      <c r="V67" s="219" t="s">
        <v>1</v>
      </c>
      <c r="W67" s="219" t="s">
        <v>1</v>
      </c>
      <c r="AG67" s="186" t="e">
        <f>#REF!-#REF!</f>
        <v>#REF!</v>
      </c>
      <c r="AH67" s="186" t="e">
        <f>#REF!-#REF!</f>
        <v>#REF!</v>
      </c>
      <c r="AI67" s="186" t="e">
        <f>#REF!-#REF!</f>
        <v>#REF!</v>
      </c>
      <c r="AJ67" s="186" t="e">
        <f>#REF!-#REF!</f>
        <v>#REF!</v>
      </c>
      <c r="AK67" s="186" t="e">
        <f>#REF!-#REF!</f>
        <v>#REF!</v>
      </c>
    </row>
    <row r="68" spans="1:37" ht="15.75" thickBot="1" x14ac:dyDescent="0.3">
      <c r="A68" s="439"/>
      <c r="B68" s="219"/>
      <c r="C68" s="219"/>
      <c r="D68" s="219"/>
      <c r="E68" s="219"/>
      <c r="F68" s="219"/>
      <c r="G68" s="219"/>
      <c r="H68" s="219"/>
      <c r="I68" s="219"/>
      <c r="J68" s="219"/>
      <c r="K68" s="219"/>
      <c r="L68" s="219"/>
      <c r="M68" s="219"/>
      <c r="N68" s="219"/>
      <c r="O68" s="219"/>
      <c r="P68" s="219"/>
      <c r="Q68" s="219"/>
      <c r="R68" s="219"/>
      <c r="S68" s="219"/>
      <c r="T68" s="219"/>
      <c r="U68" s="219"/>
      <c r="V68" s="219"/>
      <c r="W68" s="219"/>
      <c r="AG68" s="186"/>
      <c r="AH68" s="186"/>
      <c r="AI68" s="186"/>
      <c r="AJ68" s="186"/>
      <c r="AK68" s="186"/>
    </row>
    <row r="69" spans="1:37" ht="90" x14ac:dyDescent="0.25">
      <c r="A69" s="440" t="s">
        <v>668</v>
      </c>
      <c r="B69" s="193" t="s">
        <v>770</v>
      </c>
      <c r="C69" s="256" t="s">
        <v>771</v>
      </c>
      <c r="D69" s="259" t="s">
        <v>772</v>
      </c>
      <c r="E69" s="259" t="s">
        <v>773</v>
      </c>
      <c r="F69" s="259" t="s">
        <v>774</v>
      </c>
      <c r="G69" s="258" t="s">
        <v>775</v>
      </c>
      <c r="H69" s="257" t="s">
        <v>776</v>
      </c>
      <c r="I69" s="260" t="s">
        <v>777</v>
      </c>
      <c r="J69" s="260" t="s">
        <v>778</v>
      </c>
      <c r="K69" s="260" t="s">
        <v>779</v>
      </c>
      <c r="L69" s="441" t="s">
        <v>780</v>
      </c>
      <c r="N69" s="254" t="s">
        <v>789</v>
      </c>
      <c r="O69" s="253" t="s">
        <v>790</v>
      </c>
      <c r="P69" s="253" t="s">
        <v>791</v>
      </c>
      <c r="Q69" s="253" t="s">
        <v>792</v>
      </c>
      <c r="R69" s="255" t="s">
        <v>793</v>
      </c>
      <c r="S69" s="254" t="s">
        <v>794</v>
      </c>
      <c r="T69" s="253" t="s">
        <v>795</v>
      </c>
      <c r="U69" s="253" t="s">
        <v>796</v>
      </c>
      <c r="V69" s="253" t="s">
        <v>797</v>
      </c>
      <c r="W69" s="255" t="s">
        <v>798</v>
      </c>
      <c r="AG69" s="186"/>
      <c r="AH69" s="186"/>
      <c r="AI69" s="186"/>
      <c r="AJ69" s="186"/>
      <c r="AK69" s="186"/>
    </row>
    <row r="70" spans="1:37" x14ac:dyDescent="0.25">
      <c r="A70" s="427" t="s">
        <v>625</v>
      </c>
      <c r="B70" s="194"/>
      <c r="C70" s="195"/>
      <c r="D70" s="195"/>
      <c r="E70" s="195"/>
      <c r="F70" s="195"/>
      <c r="G70" s="221"/>
      <c r="H70" s="222"/>
      <c r="I70" s="195"/>
      <c r="J70" s="195"/>
      <c r="K70" s="195"/>
      <c r="L70" s="296"/>
      <c r="N70" s="222"/>
      <c r="O70" s="195"/>
      <c r="P70" s="195"/>
      <c r="Q70" s="195"/>
      <c r="R70" s="296"/>
      <c r="S70" s="223"/>
      <c r="T70" s="196"/>
      <c r="U70" s="196"/>
      <c r="V70" s="196"/>
      <c r="W70" s="197"/>
      <c r="Y70" s="186">
        <f>C70</f>
        <v>0</v>
      </c>
      <c r="Z70" s="186">
        <f t="shared" ref="Z70" si="123">C70+N70</f>
        <v>0</v>
      </c>
      <c r="AA70" s="186">
        <f t="shared" ref="AA70" si="124">D70+O70</f>
        <v>0</v>
      </c>
      <c r="AB70" s="186">
        <f t="shared" ref="AB70" si="125">E70+P70</f>
        <v>0</v>
      </c>
      <c r="AC70" s="186">
        <f t="shared" ref="AC70" si="126">F70+Q70</f>
        <v>0</v>
      </c>
      <c r="AD70" s="186">
        <f t="shared" ref="AD70" si="127">G70+R70</f>
        <v>0</v>
      </c>
      <c r="AF70" s="186">
        <f>(C70*B70)/1000</f>
        <v>0</v>
      </c>
      <c r="AG70" s="186">
        <f>$AF70+S70</f>
        <v>0</v>
      </c>
      <c r="AH70" s="186">
        <f t="shared" ref="AH70" si="128">$AF70+T70</f>
        <v>0</v>
      </c>
      <c r="AI70" s="186">
        <f t="shared" ref="AI70" si="129">$AF70+U70</f>
        <v>0</v>
      </c>
      <c r="AJ70" s="186">
        <f t="shared" ref="AJ70" si="130">$AF70+V70</f>
        <v>0</v>
      </c>
      <c r="AK70" s="186">
        <f t="shared" ref="AK70" si="131">$AF70+W70</f>
        <v>0</v>
      </c>
    </row>
    <row r="71" spans="1:37" x14ac:dyDescent="0.25">
      <c r="A71" s="277" t="s">
        <v>636</v>
      </c>
      <c r="B71" s="667">
        <f>'Unit costs'!D19</f>
        <v>1104</v>
      </c>
      <c r="C71" s="195">
        <f>C44</f>
        <v>0</v>
      </c>
      <c r="D71" s="195">
        <f t="shared" ref="D71:L71" si="132">D44</f>
        <v>0</v>
      </c>
      <c r="E71" s="195">
        <f t="shared" si="132"/>
        <v>0</v>
      </c>
      <c r="F71" s="195">
        <f t="shared" si="132"/>
        <v>0</v>
      </c>
      <c r="G71" s="221">
        <f t="shared" si="132"/>
        <v>0</v>
      </c>
      <c r="H71" s="222">
        <f t="shared" si="132"/>
        <v>0</v>
      </c>
      <c r="I71" s="195">
        <f t="shared" si="132"/>
        <v>0</v>
      </c>
      <c r="J71" s="195">
        <f t="shared" si="132"/>
        <v>0</v>
      </c>
      <c r="K71" s="195">
        <f t="shared" si="132"/>
        <v>0</v>
      </c>
      <c r="L71" s="296">
        <f t="shared" si="132"/>
        <v>0</v>
      </c>
      <c r="N71" s="222">
        <f t="shared" ref="N71:N75" si="133">H71-C71</f>
        <v>0</v>
      </c>
      <c r="O71" s="195">
        <f t="shared" ref="O71:O75" si="134">I71-D71</f>
        <v>0</v>
      </c>
      <c r="P71" s="195">
        <f t="shared" ref="P71:P75" si="135">J71-E71</f>
        <v>0</v>
      </c>
      <c r="Q71" s="195">
        <f t="shared" ref="Q71:Q75" si="136">K71-F71</f>
        <v>0</v>
      </c>
      <c r="R71" s="296">
        <f t="shared" ref="R71:R75" si="137">L71-G71</f>
        <v>0</v>
      </c>
      <c r="S71" s="223">
        <f t="shared" ref="S71:S75" si="138">N71*$B71/1000</f>
        <v>0</v>
      </c>
      <c r="T71" s="196">
        <f t="shared" ref="T71:T75" si="139">O71*$B71/1000</f>
        <v>0</v>
      </c>
      <c r="U71" s="196">
        <f t="shared" ref="U71:U75" si="140">P71*$B71/1000</f>
        <v>0</v>
      </c>
      <c r="V71" s="196">
        <f t="shared" ref="V71" si="141">Q71*$B71/1000</f>
        <v>0</v>
      </c>
      <c r="W71" s="197">
        <f t="shared" ref="W71:W75" si="142">R71*$B71/1000</f>
        <v>0</v>
      </c>
      <c r="Y71" s="186"/>
      <c r="Z71" s="186"/>
      <c r="AA71" s="186"/>
      <c r="AB71" s="186"/>
      <c r="AC71" s="186"/>
      <c r="AD71" s="186"/>
      <c r="AF71" s="186"/>
      <c r="AG71" s="186"/>
      <c r="AH71" s="186"/>
      <c r="AI71" s="186"/>
      <c r="AJ71" s="186"/>
      <c r="AK71" s="186"/>
    </row>
    <row r="72" spans="1:37" x14ac:dyDescent="0.25">
      <c r="A72" s="277" t="s">
        <v>638</v>
      </c>
      <c r="B72" s="667">
        <f>'Unit costs'!D40</f>
        <v>1104</v>
      </c>
      <c r="C72" s="195">
        <f t="shared" ref="C72:L72" si="143">C45</f>
        <v>0</v>
      </c>
      <c r="D72" s="195">
        <f t="shared" si="143"/>
        <v>0</v>
      </c>
      <c r="E72" s="195">
        <f t="shared" si="143"/>
        <v>0</v>
      </c>
      <c r="F72" s="195">
        <f t="shared" si="143"/>
        <v>0</v>
      </c>
      <c r="G72" s="221">
        <f t="shared" si="143"/>
        <v>0</v>
      </c>
      <c r="H72" s="222">
        <f t="shared" si="143"/>
        <v>0</v>
      </c>
      <c r="I72" s="195">
        <f t="shared" si="143"/>
        <v>0</v>
      </c>
      <c r="J72" s="195">
        <f t="shared" si="143"/>
        <v>0</v>
      </c>
      <c r="K72" s="195">
        <f t="shared" si="143"/>
        <v>0</v>
      </c>
      <c r="L72" s="296">
        <f t="shared" si="143"/>
        <v>0</v>
      </c>
      <c r="N72" s="222">
        <f t="shared" si="133"/>
        <v>0</v>
      </c>
      <c r="O72" s="195">
        <f t="shared" si="134"/>
        <v>0</v>
      </c>
      <c r="P72" s="195">
        <f t="shared" si="135"/>
        <v>0</v>
      </c>
      <c r="Q72" s="195">
        <f t="shared" si="136"/>
        <v>0</v>
      </c>
      <c r="R72" s="296">
        <f t="shared" si="137"/>
        <v>0</v>
      </c>
      <c r="S72" s="223">
        <f t="shared" si="138"/>
        <v>0</v>
      </c>
      <c r="T72" s="196">
        <f t="shared" si="139"/>
        <v>0</v>
      </c>
      <c r="U72" s="196">
        <f t="shared" si="140"/>
        <v>0</v>
      </c>
      <c r="V72" s="196">
        <f>Q72*$B72/1000</f>
        <v>0</v>
      </c>
      <c r="W72" s="197">
        <f t="shared" si="142"/>
        <v>0</v>
      </c>
      <c r="Y72" s="186"/>
      <c r="Z72" s="186"/>
      <c r="AA72" s="186"/>
      <c r="AB72" s="186"/>
      <c r="AC72" s="186"/>
      <c r="AD72" s="186"/>
      <c r="AF72" s="186"/>
      <c r="AG72" s="186"/>
      <c r="AH72" s="186"/>
      <c r="AI72" s="186"/>
      <c r="AJ72" s="186"/>
      <c r="AK72" s="186"/>
    </row>
    <row r="73" spans="1:37" x14ac:dyDescent="0.25">
      <c r="A73" s="416" t="s">
        <v>799</v>
      </c>
      <c r="B73" s="667">
        <f>'Unit costs'!L81</f>
        <v>1742</v>
      </c>
      <c r="C73" s="195">
        <f t="shared" ref="C73:L73" si="144">C46</f>
        <v>0</v>
      </c>
      <c r="D73" s="195">
        <f t="shared" si="144"/>
        <v>0</v>
      </c>
      <c r="E73" s="195">
        <f t="shared" si="144"/>
        <v>0</v>
      </c>
      <c r="F73" s="195">
        <f t="shared" si="144"/>
        <v>0</v>
      </c>
      <c r="G73" s="221">
        <f t="shared" si="144"/>
        <v>0</v>
      </c>
      <c r="H73" s="222">
        <f t="shared" si="144"/>
        <v>0</v>
      </c>
      <c r="I73" s="195">
        <f t="shared" si="144"/>
        <v>0</v>
      </c>
      <c r="J73" s="195">
        <f t="shared" si="144"/>
        <v>0</v>
      </c>
      <c r="K73" s="195">
        <f t="shared" si="144"/>
        <v>0</v>
      </c>
      <c r="L73" s="296">
        <f t="shared" si="144"/>
        <v>0</v>
      </c>
      <c r="N73" s="222">
        <f t="shared" si="133"/>
        <v>0</v>
      </c>
      <c r="O73" s="195">
        <f t="shared" si="134"/>
        <v>0</v>
      </c>
      <c r="P73" s="195">
        <f t="shared" si="135"/>
        <v>0</v>
      </c>
      <c r="Q73" s="195">
        <f t="shared" si="136"/>
        <v>0</v>
      </c>
      <c r="R73" s="296">
        <f t="shared" si="137"/>
        <v>0</v>
      </c>
      <c r="S73" s="223">
        <f t="shared" si="138"/>
        <v>0</v>
      </c>
      <c r="T73" s="196">
        <f t="shared" si="139"/>
        <v>0</v>
      </c>
      <c r="U73" s="196">
        <f t="shared" si="140"/>
        <v>0</v>
      </c>
      <c r="V73" s="196">
        <f t="shared" ref="V73:V75" si="145">Q73*$B73/1000</f>
        <v>0</v>
      </c>
      <c r="W73" s="197">
        <f t="shared" si="142"/>
        <v>0</v>
      </c>
      <c r="Y73" s="186"/>
      <c r="Z73" s="186"/>
      <c r="AA73" s="186"/>
      <c r="AB73" s="186"/>
      <c r="AC73" s="186"/>
      <c r="AD73" s="186"/>
      <c r="AF73" s="186"/>
      <c r="AG73" s="186"/>
      <c r="AH73" s="186"/>
      <c r="AI73" s="186"/>
      <c r="AJ73" s="186"/>
      <c r="AK73" s="186"/>
    </row>
    <row r="74" spans="1:37" x14ac:dyDescent="0.25">
      <c r="A74" s="416" t="s">
        <v>800</v>
      </c>
      <c r="B74" s="667">
        <f>'Unit costs'!L82</f>
        <v>268</v>
      </c>
      <c r="C74" s="505"/>
      <c r="D74" s="195">
        <f t="shared" ref="D74:L74" si="146">D47</f>
        <v>0</v>
      </c>
      <c r="E74" s="195">
        <f t="shared" si="146"/>
        <v>0</v>
      </c>
      <c r="F74" s="195">
        <f t="shared" si="146"/>
        <v>0</v>
      </c>
      <c r="G74" s="221">
        <f t="shared" si="146"/>
        <v>0</v>
      </c>
      <c r="H74" s="504"/>
      <c r="I74" s="195">
        <f t="shared" si="146"/>
        <v>0</v>
      </c>
      <c r="J74" s="195">
        <f t="shared" si="146"/>
        <v>0</v>
      </c>
      <c r="K74" s="195">
        <f t="shared" si="146"/>
        <v>0</v>
      </c>
      <c r="L74" s="296">
        <f t="shared" si="146"/>
        <v>0</v>
      </c>
      <c r="N74" s="222">
        <f t="shared" si="133"/>
        <v>0</v>
      </c>
      <c r="O74" s="195">
        <f t="shared" si="134"/>
        <v>0</v>
      </c>
      <c r="P74" s="195">
        <f t="shared" si="135"/>
        <v>0</v>
      </c>
      <c r="Q74" s="195">
        <f t="shared" si="136"/>
        <v>0</v>
      </c>
      <c r="R74" s="296">
        <f t="shared" si="137"/>
        <v>0</v>
      </c>
      <c r="S74" s="223">
        <f t="shared" si="138"/>
        <v>0</v>
      </c>
      <c r="T74" s="196">
        <f t="shared" si="139"/>
        <v>0</v>
      </c>
      <c r="U74" s="196">
        <f t="shared" si="140"/>
        <v>0</v>
      </c>
      <c r="V74" s="196">
        <f t="shared" si="145"/>
        <v>0</v>
      </c>
      <c r="W74" s="197">
        <f t="shared" si="142"/>
        <v>0</v>
      </c>
      <c r="Y74" s="186"/>
      <c r="Z74" s="186"/>
      <c r="AA74" s="186"/>
      <c r="AB74" s="186"/>
      <c r="AC74" s="186"/>
      <c r="AD74" s="186"/>
      <c r="AF74" s="186"/>
      <c r="AG74" s="186"/>
      <c r="AH74" s="186"/>
      <c r="AI74" s="186"/>
      <c r="AJ74" s="186"/>
      <c r="AK74" s="186"/>
    </row>
    <row r="75" spans="1:37" ht="15.75" thickBot="1" x14ac:dyDescent="0.3">
      <c r="A75" s="413" t="s">
        <v>809</v>
      </c>
      <c r="B75" s="668">
        <f>'Unit costs'!M110</f>
        <v>0</v>
      </c>
      <c r="C75" s="637">
        <f t="shared" ref="C75:L75" si="147">C48</f>
        <v>0</v>
      </c>
      <c r="D75" s="637">
        <f t="shared" si="147"/>
        <v>0</v>
      </c>
      <c r="E75" s="637">
        <f t="shared" si="147"/>
        <v>0</v>
      </c>
      <c r="F75" s="637">
        <f t="shared" si="147"/>
        <v>0</v>
      </c>
      <c r="G75" s="638">
        <f t="shared" si="147"/>
        <v>0</v>
      </c>
      <c r="H75" s="639">
        <f t="shared" si="147"/>
        <v>0</v>
      </c>
      <c r="I75" s="637">
        <f t="shared" si="147"/>
        <v>0</v>
      </c>
      <c r="J75" s="637">
        <f t="shared" si="147"/>
        <v>0</v>
      </c>
      <c r="K75" s="637">
        <f t="shared" si="147"/>
        <v>0</v>
      </c>
      <c r="L75" s="640">
        <f t="shared" si="147"/>
        <v>0</v>
      </c>
      <c r="N75" s="639">
        <f t="shared" si="133"/>
        <v>0</v>
      </c>
      <c r="O75" s="637">
        <f t="shared" si="134"/>
        <v>0</v>
      </c>
      <c r="P75" s="637">
        <f t="shared" si="135"/>
        <v>0</v>
      </c>
      <c r="Q75" s="637">
        <f t="shared" si="136"/>
        <v>0</v>
      </c>
      <c r="R75" s="640">
        <f t="shared" si="137"/>
        <v>0</v>
      </c>
      <c r="S75" s="642">
        <f t="shared" si="138"/>
        <v>0</v>
      </c>
      <c r="T75" s="643">
        <f t="shared" si="139"/>
        <v>0</v>
      </c>
      <c r="U75" s="643">
        <f t="shared" si="140"/>
        <v>0</v>
      </c>
      <c r="V75" s="643">
        <f t="shared" si="145"/>
        <v>0</v>
      </c>
      <c r="W75" s="644">
        <f t="shared" si="142"/>
        <v>0</v>
      </c>
      <c r="Y75" s="186"/>
      <c r="Z75" s="186"/>
      <c r="AA75" s="186"/>
      <c r="AB75" s="186"/>
      <c r="AC75" s="186"/>
      <c r="AD75" s="186"/>
      <c r="AF75" s="186"/>
      <c r="AG75" s="186"/>
      <c r="AH75" s="186"/>
      <c r="AI75" s="186"/>
      <c r="AJ75" s="186"/>
      <c r="AK75" s="186"/>
    </row>
    <row r="76" spans="1:37" x14ac:dyDescent="0.25">
      <c r="A76" s="427" t="s">
        <v>628</v>
      </c>
      <c r="B76" s="635"/>
      <c r="C76" s="629"/>
      <c r="D76" s="629"/>
      <c r="E76" s="629"/>
      <c r="F76" s="629"/>
      <c r="G76" s="630"/>
      <c r="H76" s="631"/>
      <c r="I76" s="629"/>
      <c r="J76" s="629"/>
      <c r="K76" s="629"/>
      <c r="L76" s="632"/>
      <c r="N76" s="631"/>
      <c r="O76" s="629"/>
      <c r="P76" s="629"/>
      <c r="Q76" s="629"/>
      <c r="R76" s="632"/>
      <c r="S76" s="634"/>
      <c r="T76" s="635"/>
      <c r="U76" s="635"/>
      <c r="V76" s="635"/>
      <c r="W76" s="636"/>
      <c r="Y76" s="186"/>
      <c r="Z76" s="186"/>
      <c r="AA76" s="186"/>
      <c r="AB76" s="186"/>
      <c r="AC76" s="186"/>
      <c r="AD76" s="186"/>
      <c r="AF76" s="186"/>
      <c r="AG76" s="186"/>
      <c r="AH76" s="186"/>
      <c r="AI76" s="186"/>
      <c r="AJ76" s="186"/>
      <c r="AK76" s="186"/>
    </row>
    <row r="77" spans="1:37" x14ac:dyDescent="0.25">
      <c r="A77" s="277" t="s">
        <v>636</v>
      </c>
      <c r="B77" s="667">
        <f>'Unit costs'!D19</f>
        <v>1104</v>
      </c>
      <c r="C77" s="195">
        <f t="shared" ref="C77:L77" si="148">C50</f>
        <v>0</v>
      </c>
      <c r="D77" s="195">
        <f t="shared" si="148"/>
        <v>0</v>
      </c>
      <c r="E77" s="195">
        <f t="shared" si="148"/>
        <v>0</v>
      </c>
      <c r="F77" s="195">
        <f t="shared" si="148"/>
        <v>0</v>
      </c>
      <c r="G77" s="221">
        <f t="shared" si="148"/>
        <v>0</v>
      </c>
      <c r="H77" s="222">
        <f t="shared" si="148"/>
        <v>0</v>
      </c>
      <c r="I77" s="195">
        <f t="shared" si="148"/>
        <v>0</v>
      </c>
      <c r="J77" s="195">
        <f t="shared" si="148"/>
        <v>0</v>
      </c>
      <c r="K77" s="195">
        <f t="shared" si="148"/>
        <v>0</v>
      </c>
      <c r="L77" s="296">
        <f t="shared" si="148"/>
        <v>0</v>
      </c>
      <c r="N77" s="222">
        <f t="shared" ref="N77:N82" si="149">H77-C77</f>
        <v>0</v>
      </c>
      <c r="O77" s="195">
        <f t="shared" ref="O77:O82" si="150">I77-D77</f>
        <v>0</v>
      </c>
      <c r="P77" s="195">
        <f t="shared" ref="P77:P82" si="151">J77-E77</f>
        <v>0</v>
      </c>
      <c r="Q77" s="195">
        <f t="shared" ref="Q77:Q82" si="152">K77-F77</f>
        <v>0</v>
      </c>
      <c r="R77" s="296">
        <f t="shared" ref="R77:R82" si="153">L77-G77</f>
        <v>0</v>
      </c>
      <c r="S77" s="223">
        <f t="shared" ref="S77:S82" si="154">N77*$B77/1000</f>
        <v>0</v>
      </c>
      <c r="T77" s="196">
        <f t="shared" ref="T77:T82" si="155">O77*$B77/1000</f>
        <v>0</v>
      </c>
      <c r="U77" s="196">
        <f t="shared" ref="U77:U82" si="156">P77*$B77/1000</f>
        <v>0</v>
      </c>
      <c r="V77" s="196">
        <f t="shared" ref="V77" si="157">Q77*$B77/1000</f>
        <v>0</v>
      </c>
      <c r="W77" s="197">
        <f t="shared" ref="W77:W82" si="158">R77*$B77/1000</f>
        <v>0</v>
      </c>
      <c r="Y77" s="186"/>
      <c r="Z77" s="186"/>
      <c r="AA77" s="186"/>
      <c r="AB77" s="186"/>
      <c r="AC77" s="186"/>
      <c r="AD77" s="186"/>
      <c r="AF77" s="186"/>
      <c r="AG77" s="186"/>
      <c r="AH77" s="186"/>
      <c r="AI77" s="186"/>
      <c r="AJ77" s="186"/>
      <c r="AK77" s="186"/>
    </row>
    <row r="78" spans="1:37" x14ac:dyDescent="0.25">
      <c r="A78" s="277" t="s">
        <v>638</v>
      </c>
      <c r="B78" s="667">
        <f>'Unit costs'!D40</f>
        <v>1104</v>
      </c>
      <c r="C78" s="195">
        <f t="shared" ref="C78:L78" si="159">C51</f>
        <v>0</v>
      </c>
      <c r="D78" s="195">
        <f t="shared" si="159"/>
        <v>0</v>
      </c>
      <c r="E78" s="195">
        <f t="shared" si="159"/>
        <v>0</v>
      </c>
      <c r="F78" s="195">
        <f t="shared" si="159"/>
        <v>0</v>
      </c>
      <c r="G78" s="221">
        <f t="shared" si="159"/>
        <v>0</v>
      </c>
      <c r="H78" s="222">
        <f t="shared" si="159"/>
        <v>0</v>
      </c>
      <c r="I78" s="195">
        <f t="shared" si="159"/>
        <v>0</v>
      </c>
      <c r="J78" s="195">
        <f t="shared" si="159"/>
        <v>0</v>
      </c>
      <c r="K78" s="195">
        <f t="shared" si="159"/>
        <v>0</v>
      </c>
      <c r="L78" s="296">
        <f t="shared" si="159"/>
        <v>0</v>
      </c>
      <c r="N78" s="222">
        <f t="shared" si="149"/>
        <v>0</v>
      </c>
      <c r="O78" s="195">
        <f t="shared" si="150"/>
        <v>0</v>
      </c>
      <c r="P78" s="195">
        <f t="shared" si="151"/>
        <v>0</v>
      </c>
      <c r="Q78" s="195">
        <f t="shared" si="152"/>
        <v>0</v>
      </c>
      <c r="R78" s="296">
        <f t="shared" si="153"/>
        <v>0</v>
      </c>
      <c r="S78" s="223">
        <f t="shared" si="154"/>
        <v>0</v>
      </c>
      <c r="T78" s="196">
        <f t="shared" si="155"/>
        <v>0</v>
      </c>
      <c r="U78" s="196">
        <f t="shared" si="156"/>
        <v>0</v>
      </c>
      <c r="V78" s="196">
        <f>Q78*$B78/1000</f>
        <v>0</v>
      </c>
      <c r="W78" s="197">
        <f t="shared" si="158"/>
        <v>0</v>
      </c>
      <c r="Y78" s="186"/>
      <c r="Z78" s="186"/>
      <c r="AA78" s="186"/>
      <c r="AB78" s="186"/>
      <c r="AC78" s="186"/>
      <c r="AD78" s="186"/>
      <c r="AF78" s="186"/>
      <c r="AG78" s="186"/>
      <c r="AH78" s="186"/>
      <c r="AI78" s="186"/>
      <c r="AJ78" s="186"/>
      <c r="AK78" s="186"/>
    </row>
    <row r="79" spans="1:37" x14ac:dyDescent="0.25">
      <c r="A79" s="277" t="s">
        <v>641</v>
      </c>
      <c r="B79" s="667">
        <f>'Unit costs'!D58</f>
        <v>1104</v>
      </c>
      <c r="C79" s="195">
        <f t="shared" ref="C79:L79" si="160">C52</f>
        <v>0</v>
      </c>
      <c r="D79" s="195">
        <f t="shared" si="160"/>
        <v>0</v>
      </c>
      <c r="E79" s="195">
        <f t="shared" si="160"/>
        <v>0</v>
      </c>
      <c r="F79" s="195">
        <f t="shared" si="160"/>
        <v>0</v>
      </c>
      <c r="G79" s="221">
        <f t="shared" si="160"/>
        <v>0</v>
      </c>
      <c r="H79" s="222">
        <f t="shared" si="160"/>
        <v>0</v>
      </c>
      <c r="I79" s="195">
        <f t="shared" si="160"/>
        <v>0</v>
      </c>
      <c r="J79" s="195">
        <f t="shared" si="160"/>
        <v>0</v>
      </c>
      <c r="K79" s="195">
        <f t="shared" si="160"/>
        <v>0</v>
      </c>
      <c r="L79" s="296">
        <f t="shared" si="160"/>
        <v>0</v>
      </c>
      <c r="N79" s="222">
        <f t="shared" si="149"/>
        <v>0</v>
      </c>
      <c r="O79" s="195">
        <f t="shared" si="150"/>
        <v>0</v>
      </c>
      <c r="P79" s="195">
        <f t="shared" si="151"/>
        <v>0</v>
      </c>
      <c r="Q79" s="195">
        <f t="shared" si="152"/>
        <v>0</v>
      </c>
      <c r="R79" s="296">
        <f t="shared" si="153"/>
        <v>0</v>
      </c>
      <c r="S79" s="223">
        <f t="shared" si="154"/>
        <v>0</v>
      </c>
      <c r="T79" s="196">
        <f t="shared" si="155"/>
        <v>0</v>
      </c>
      <c r="U79" s="196">
        <f t="shared" si="156"/>
        <v>0</v>
      </c>
      <c r="V79" s="196">
        <f t="shared" ref="V79:V82" si="161">Q79*$B79/1000</f>
        <v>0</v>
      </c>
      <c r="W79" s="197">
        <f t="shared" si="158"/>
        <v>0</v>
      </c>
      <c r="Y79" s="186"/>
      <c r="Z79" s="186"/>
      <c r="AA79" s="186"/>
      <c r="AB79" s="186"/>
      <c r="AC79" s="186"/>
      <c r="AD79" s="186"/>
      <c r="AF79" s="186"/>
      <c r="AG79" s="186"/>
      <c r="AH79" s="186"/>
      <c r="AI79" s="186"/>
      <c r="AJ79" s="186"/>
      <c r="AK79" s="186"/>
    </row>
    <row r="80" spans="1:37" x14ac:dyDescent="0.25">
      <c r="A80" s="416" t="s">
        <v>799</v>
      </c>
      <c r="B80" s="667">
        <f>'Unit costs'!L81</f>
        <v>1742</v>
      </c>
      <c r="C80" s="195">
        <f t="shared" ref="C80:L80" si="162">C53</f>
        <v>0</v>
      </c>
      <c r="D80" s="195">
        <f t="shared" si="162"/>
        <v>0</v>
      </c>
      <c r="E80" s="195">
        <f t="shared" si="162"/>
        <v>0</v>
      </c>
      <c r="F80" s="195">
        <f t="shared" si="162"/>
        <v>0</v>
      </c>
      <c r="G80" s="221">
        <f t="shared" si="162"/>
        <v>0</v>
      </c>
      <c r="H80" s="222">
        <f t="shared" si="162"/>
        <v>0</v>
      </c>
      <c r="I80" s="195">
        <f t="shared" si="162"/>
        <v>0</v>
      </c>
      <c r="J80" s="195">
        <f t="shared" si="162"/>
        <v>0</v>
      </c>
      <c r="K80" s="195">
        <f t="shared" si="162"/>
        <v>0</v>
      </c>
      <c r="L80" s="296">
        <f t="shared" si="162"/>
        <v>0</v>
      </c>
      <c r="N80" s="222">
        <f t="shared" si="149"/>
        <v>0</v>
      </c>
      <c r="O80" s="195">
        <f t="shared" si="150"/>
        <v>0</v>
      </c>
      <c r="P80" s="195">
        <f t="shared" si="151"/>
        <v>0</v>
      </c>
      <c r="Q80" s="195">
        <f t="shared" si="152"/>
        <v>0</v>
      </c>
      <c r="R80" s="296">
        <f t="shared" si="153"/>
        <v>0</v>
      </c>
      <c r="S80" s="223">
        <f t="shared" si="154"/>
        <v>0</v>
      </c>
      <c r="T80" s="196">
        <f t="shared" si="155"/>
        <v>0</v>
      </c>
      <c r="U80" s="196">
        <f t="shared" si="156"/>
        <v>0</v>
      </c>
      <c r="V80" s="196">
        <f t="shared" si="161"/>
        <v>0</v>
      </c>
      <c r="W80" s="197">
        <f t="shared" si="158"/>
        <v>0</v>
      </c>
      <c r="Y80" s="186"/>
      <c r="Z80" s="186"/>
      <c r="AA80" s="186"/>
      <c r="AB80" s="186"/>
      <c r="AC80" s="186"/>
      <c r="AD80" s="186"/>
      <c r="AF80" s="186"/>
      <c r="AG80" s="186"/>
      <c r="AH80" s="186"/>
      <c r="AI80" s="186"/>
      <c r="AJ80" s="186"/>
      <c r="AK80" s="186"/>
    </row>
    <row r="81" spans="1:37" x14ac:dyDescent="0.25">
      <c r="A81" s="416" t="s">
        <v>800</v>
      </c>
      <c r="B81" s="667">
        <f>'Unit costs'!L82</f>
        <v>268</v>
      </c>
      <c r="C81" s="505"/>
      <c r="D81" s="195">
        <f t="shared" ref="D81:L81" si="163">D54</f>
        <v>0</v>
      </c>
      <c r="E81" s="195">
        <f t="shared" si="163"/>
        <v>0</v>
      </c>
      <c r="F81" s="195">
        <f t="shared" si="163"/>
        <v>0</v>
      </c>
      <c r="G81" s="221">
        <f t="shared" si="163"/>
        <v>0</v>
      </c>
      <c r="H81" s="504"/>
      <c r="I81" s="195">
        <f t="shared" si="163"/>
        <v>0</v>
      </c>
      <c r="J81" s="195">
        <f t="shared" si="163"/>
        <v>0</v>
      </c>
      <c r="K81" s="195">
        <f t="shared" si="163"/>
        <v>0</v>
      </c>
      <c r="L81" s="296">
        <f t="shared" si="163"/>
        <v>0</v>
      </c>
      <c r="N81" s="222">
        <f t="shared" ref="N81" si="164">H81-C81</f>
        <v>0</v>
      </c>
      <c r="O81" s="195">
        <f t="shared" ref="O81" si="165">I81-D81</f>
        <v>0</v>
      </c>
      <c r="P81" s="195">
        <f t="shared" ref="P81" si="166">J81-E81</f>
        <v>0</v>
      </c>
      <c r="Q81" s="195">
        <f t="shared" ref="Q81" si="167">K81-F81</f>
        <v>0</v>
      </c>
      <c r="R81" s="296">
        <f t="shared" ref="R81" si="168">L81-G81</f>
        <v>0</v>
      </c>
      <c r="S81" s="223">
        <f t="shared" ref="S81" si="169">N81*$B81/1000</f>
        <v>0</v>
      </c>
      <c r="T81" s="196">
        <f t="shared" ref="T81" si="170">O81*$B81/1000</f>
        <v>0</v>
      </c>
      <c r="U81" s="196">
        <f t="shared" ref="U81" si="171">P81*$B81/1000</f>
        <v>0</v>
      </c>
      <c r="V81" s="196">
        <f t="shared" ref="V81" si="172">Q81*$B81/1000</f>
        <v>0</v>
      </c>
      <c r="W81" s="197">
        <f t="shared" ref="W81" si="173">R81*$B81/1000</f>
        <v>0</v>
      </c>
      <c r="Y81" s="186"/>
      <c r="Z81" s="186"/>
      <c r="AA81" s="186"/>
      <c r="AB81" s="186"/>
      <c r="AC81" s="186"/>
      <c r="AD81" s="186"/>
      <c r="AF81" s="186"/>
      <c r="AG81" s="186"/>
      <c r="AH81" s="186"/>
      <c r="AI81" s="186"/>
      <c r="AJ81" s="186"/>
      <c r="AK81" s="186"/>
    </row>
    <row r="82" spans="1:37" ht="15.75" thickBot="1" x14ac:dyDescent="0.3">
      <c r="A82" s="413" t="s">
        <v>809</v>
      </c>
      <c r="B82" s="668">
        <f>'Unit costs'!M110</f>
        <v>0</v>
      </c>
      <c r="C82" s="637">
        <f t="shared" ref="C82:L82" si="174">C55</f>
        <v>0</v>
      </c>
      <c r="D82" s="637">
        <f t="shared" si="174"/>
        <v>0</v>
      </c>
      <c r="E82" s="637">
        <f t="shared" si="174"/>
        <v>0</v>
      </c>
      <c r="F82" s="637">
        <f t="shared" si="174"/>
        <v>0</v>
      </c>
      <c r="G82" s="638">
        <f t="shared" si="174"/>
        <v>0</v>
      </c>
      <c r="H82" s="639">
        <f t="shared" si="174"/>
        <v>0</v>
      </c>
      <c r="I82" s="637">
        <f t="shared" si="174"/>
        <v>0</v>
      </c>
      <c r="J82" s="637">
        <f t="shared" si="174"/>
        <v>0</v>
      </c>
      <c r="K82" s="637">
        <f t="shared" si="174"/>
        <v>0</v>
      </c>
      <c r="L82" s="640">
        <f t="shared" si="174"/>
        <v>0</v>
      </c>
      <c r="N82" s="639">
        <f t="shared" si="149"/>
        <v>0</v>
      </c>
      <c r="O82" s="637">
        <f t="shared" si="150"/>
        <v>0</v>
      </c>
      <c r="P82" s="637">
        <f t="shared" si="151"/>
        <v>0</v>
      </c>
      <c r="Q82" s="637">
        <f t="shared" si="152"/>
        <v>0</v>
      </c>
      <c r="R82" s="640">
        <f t="shared" si="153"/>
        <v>0</v>
      </c>
      <c r="S82" s="642">
        <f t="shared" si="154"/>
        <v>0</v>
      </c>
      <c r="T82" s="643">
        <f t="shared" si="155"/>
        <v>0</v>
      </c>
      <c r="U82" s="643">
        <f t="shared" si="156"/>
        <v>0</v>
      </c>
      <c r="V82" s="643">
        <f t="shared" si="161"/>
        <v>0</v>
      </c>
      <c r="W82" s="644">
        <f t="shared" si="158"/>
        <v>0</v>
      </c>
      <c r="Y82" s="186"/>
      <c r="Z82" s="186"/>
      <c r="AA82" s="186"/>
      <c r="AB82" s="186"/>
      <c r="AC82" s="186"/>
      <c r="AD82" s="186"/>
      <c r="AF82" s="186"/>
      <c r="AG82" s="186"/>
      <c r="AH82" s="186"/>
      <c r="AI82" s="186"/>
      <c r="AJ82" s="186"/>
      <c r="AK82" s="186"/>
    </row>
    <row r="83" spans="1:37" x14ac:dyDescent="0.25">
      <c r="A83" s="427" t="s">
        <v>632</v>
      </c>
      <c r="B83" s="635"/>
      <c r="C83" s="629"/>
      <c r="D83" s="629"/>
      <c r="E83" s="629"/>
      <c r="F83" s="629"/>
      <c r="G83" s="630"/>
      <c r="H83" s="631"/>
      <c r="I83" s="629"/>
      <c r="J83" s="629"/>
      <c r="K83" s="629"/>
      <c r="L83" s="632"/>
      <c r="N83" s="631"/>
      <c r="O83" s="629"/>
      <c r="P83" s="629"/>
      <c r="Q83" s="629"/>
      <c r="R83" s="632"/>
      <c r="S83" s="634"/>
      <c r="T83" s="635"/>
      <c r="U83" s="635"/>
      <c r="V83" s="635"/>
      <c r="W83" s="636"/>
      <c r="Y83" s="186"/>
      <c r="Z83" s="186"/>
      <c r="AA83" s="186"/>
      <c r="AB83" s="186"/>
      <c r="AC83" s="186"/>
      <c r="AD83" s="186"/>
      <c r="AF83" s="186"/>
      <c r="AG83" s="186"/>
      <c r="AH83" s="186"/>
      <c r="AI83" s="186"/>
      <c r="AJ83" s="186"/>
      <c r="AK83" s="186"/>
    </row>
    <row r="84" spans="1:37" x14ac:dyDescent="0.25">
      <c r="A84" s="277" t="s">
        <v>636</v>
      </c>
      <c r="B84" s="667">
        <f>'Unit costs'!D19</f>
        <v>1104</v>
      </c>
      <c r="C84" s="195">
        <f>C57</f>
        <v>0</v>
      </c>
      <c r="D84" s="195">
        <f t="shared" ref="D84:L84" si="175">D57</f>
        <v>0</v>
      </c>
      <c r="E84" s="195">
        <f t="shared" si="175"/>
        <v>0</v>
      </c>
      <c r="F84" s="195">
        <f t="shared" si="175"/>
        <v>0</v>
      </c>
      <c r="G84" s="221">
        <f t="shared" si="175"/>
        <v>0</v>
      </c>
      <c r="H84" s="222">
        <f t="shared" si="175"/>
        <v>0</v>
      </c>
      <c r="I84" s="195">
        <f t="shared" si="175"/>
        <v>0</v>
      </c>
      <c r="J84" s="195">
        <f t="shared" si="175"/>
        <v>0</v>
      </c>
      <c r="K84" s="195">
        <f t="shared" si="175"/>
        <v>0</v>
      </c>
      <c r="L84" s="296">
        <f t="shared" si="175"/>
        <v>0</v>
      </c>
      <c r="N84" s="222">
        <f t="shared" ref="N84:N87" si="176">H84-C84</f>
        <v>0</v>
      </c>
      <c r="O84" s="195">
        <f t="shared" ref="O84:O87" si="177">I84-D84</f>
        <v>0</v>
      </c>
      <c r="P84" s="195">
        <f t="shared" ref="P84:P87" si="178">J84-E84</f>
        <v>0</v>
      </c>
      <c r="Q84" s="195">
        <f t="shared" ref="Q84:Q87" si="179">K84-F84</f>
        <v>0</v>
      </c>
      <c r="R84" s="296">
        <f t="shared" ref="R84:R87" si="180">L84-G84</f>
        <v>0</v>
      </c>
      <c r="S84" s="223">
        <f t="shared" ref="S84:S87" si="181">N84*$B84/1000</f>
        <v>0</v>
      </c>
      <c r="T84" s="196">
        <f t="shared" ref="T84:T87" si="182">O84*$B84/1000</f>
        <v>0</v>
      </c>
      <c r="U84" s="196">
        <f t="shared" ref="U84:U87" si="183">P84*$B84/1000</f>
        <v>0</v>
      </c>
      <c r="V84" s="196">
        <f t="shared" ref="V84" si="184">Q84*$B84/1000</f>
        <v>0</v>
      </c>
      <c r="W84" s="197">
        <f t="shared" ref="W84:W87" si="185">R84*$B84/1000</f>
        <v>0</v>
      </c>
      <c r="Y84" s="186"/>
      <c r="Z84" s="186"/>
      <c r="AA84" s="186"/>
      <c r="AB84" s="186"/>
      <c r="AC84" s="186"/>
      <c r="AD84" s="186"/>
      <c r="AF84" s="186"/>
      <c r="AG84" s="186"/>
      <c r="AH84" s="186"/>
      <c r="AI84" s="186"/>
      <c r="AJ84" s="186"/>
      <c r="AK84" s="186"/>
    </row>
    <row r="85" spans="1:37" x14ac:dyDescent="0.25">
      <c r="A85" s="277" t="s">
        <v>638</v>
      </c>
      <c r="B85" s="667">
        <f>'Unit costs'!D40</f>
        <v>1104</v>
      </c>
      <c r="C85" s="195">
        <f t="shared" ref="C85:L85" si="186">C58</f>
        <v>0</v>
      </c>
      <c r="D85" s="195">
        <f t="shared" si="186"/>
        <v>0</v>
      </c>
      <c r="E85" s="195">
        <f t="shared" si="186"/>
        <v>0</v>
      </c>
      <c r="F85" s="195">
        <f t="shared" si="186"/>
        <v>0</v>
      </c>
      <c r="G85" s="221">
        <f t="shared" si="186"/>
        <v>0</v>
      </c>
      <c r="H85" s="222">
        <f t="shared" si="186"/>
        <v>0</v>
      </c>
      <c r="I85" s="195">
        <f t="shared" si="186"/>
        <v>0</v>
      </c>
      <c r="J85" s="195">
        <f t="shared" si="186"/>
        <v>0</v>
      </c>
      <c r="K85" s="195">
        <f t="shared" si="186"/>
        <v>0</v>
      </c>
      <c r="L85" s="296">
        <f t="shared" si="186"/>
        <v>0</v>
      </c>
      <c r="N85" s="222">
        <f t="shared" si="176"/>
        <v>0</v>
      </c>
      <c r="O85" s="195">
        <f t="shared" si="177"/>
        <v>0</v>
      </c>
      <c r="P85" s="195">
        <f t="shared" si="178"/>
        <v>0</v>
      </c>
      <c r="Q85" s="195">
        <f t="shared" si="179"/>
        <v>0</v>
      </c>
      <c r="R85" s="296">
        <f t="shared" si="180"/>
        <v>0</v>
      </c>
      <c r="S85" s="223">
        <f t="shared" si="181"/>
        <v>0</v>
      </c>
      <c r="T85" s="196">
        <f t="shared" si="182"/>
        <v>0</v>
      </c>
      <c r="U85" s="196">
        <f t="shared" si="183"/>
        <v>0</v>
      </c>
      <c r="V85" s="196">
        <f>Q85*$B85/1000</f>
        <v>0</v>
      </c>
      <c r="W85" s="197">
        <f t="shared" si="185"/>
        <v>0</v>
      </c>
      <c r="Y85" s="186"/>
      <c r="Z85" s="186"/>
      <c r="AA85" s="186"/>
      <c r="AB85" s="186"/>
      <c r="AC85" s="186"/>
      <c r="AD85" s="186"/>
      <c r="AF85" s="186"/>
      <c r="AG85" s="186"/>
      <c r="AH85" s="186"/>
      <c r="AI85" s="186"/>
      <c r="AJ85" s="186"/>
      <c r="AK85" s="186"/>
    </row>
    <row r="86" spans="1:37" x14ac:dyDescent="0.25">
      <c r="A86" s="277" t="s">
        <v>641</v>
      </c>
      <c r="B86" s="667">
        <f>'Unit costs'!D58</f>
        <v>1104</v>
      </c>
      <c r="C86" s="195">
        <f t="shared" ref="C86:L86" si="187">C59</f>
        <v>0</v>
      </c>
      <c r="D86" s="195">
        <f t="shared" si="187"/>
        <v>0</v>
      </c>
      <c r="E86" s="195">
        <f t="shared" si="187"/>
        <v>0</v>
      </c>
      <c r="F86" s="195">
        <f t="shared" si="187"/>
        <v>0</v>
      </c>
      <c r="G86" s="221">
        <f t="shared" si="187"/>
        <v>0</v>
      </c>
      <c r="H86" s="222">
        <f t="shared" si="187"/>
        <v>0</v>
      </c>
      <c r="I86" s="195">
        <f t="shared" si="187"/>
        <v>0</v>
      </c>
      <c r="J86" s="195">
        <f t="shared" si="187"/>
        <v>0</v>
      </c>
      <c r="K86" s="195">
        <f t="shared" si="187"/>
        <v>0</v>
      </c>
      <c r="L86" s="296">
        <f t="shared" si="187"/>
        <v>0</v>
      </c>
      <c r="N86" s="222">
        <f t="shared" si="176"/>
        <v>0</v>
      </c>
      <c r="O86" s="195">
        <f t="shared" si="177"/>
        <v>0</v>
      </c>
      <c r="P86" s="195">
        <f t="shared" si="178"/>
        <v>0</v>
      </c>
      <c r="Q86" s="195">
        <f t="shared" si="179"/>
        <v>0</v>
      </c>
      <c r="R86" s="296">
        <f t="shared" si="180"/>
        <v>0</v>
      </c>
      <c r="S86" s="223">
        <f t="shared" si="181"/>
        <v>0</v>
      </c>
      <c r="T86" s="196">
        <f t="shared" si="182"/>
        <v>0</v>
      </c>
      <c r="U86" s="196">
        <f t="shared" si="183"/>
        <v>0</v>
      </c>
      <c r="V86" s="196">
        <f t="shared" ref="V86:V87" si="188">Q86*$B86/1000</f>
        <v>0</v>
      </c>
      <c r="W86" s="197">
        <f t="shared" si="185"/>
        <v>0</v>
      </c>
      <c r="Y86" s="186"/>
      <c r="Z86" s="186"/>
      <c r="AA86" s="186"/>
      <c r="AB86" s="186"/>
      <c r="AC86" s="186"/>
      <c r="AD86" s="186"/>
      <c r="AF86" s="186"/>
      <c r="AG86" s="186"/>
      <c r="AH86" s="186"/>
      <c r="AI86" s="186"/>
      <c r="AJ86" s="186"/>
      <c r="AK86" s="186"/>
    </row>
    <row r="87" spans="1:37" ht="15.75" thickBot="1" x14ac:dyDescent="0.3">
      <c r="A87" s="413" t="s">
        <v>643</v>
      </c>
      <c r="B87" s="668">
        <f>'Unit costs'!M137</f>
        <v>0</v>
      </c>
      <c r="C87" s="637">
        <f t="shared" ref="C87:L87" si="189">C60</f>
        <v>0</v>
      </c>
      <c r="D87" s="637">
        <f t="shared" si="189"/>
        <v>0</v>
      </c>
      <c r="E87" s="637">
        <f t="shared" si="189"/>
        <v>0</v>
      </c>
      <c r="F87" s="637">
        <f t="shared" si="189"/>
        <v>0</v>
      </c>
      <c r="G87" s="638">
        <f t="shared" si="189"/>
        <v>0</v>
      </c>
      <c r="H87" s="639">
        <f t="shared" si="189"/>
        <v>0</v>
      </c>
      <c r="I87" s="637">
        <f t="shared" si="189"/>
        <v>0</v>
      </c>
      <c r="J87" s="637">
        <f t="shared" si="189"/>
        <v>0</v>
      </c>
      <c r="K87" s="637">
        <f t="shared" si="189"/>
        <v>0</v>
      </c>
      <c r="L87" s="640">
        <f t="shared" si="189"/>
        <v>0</v>
      </c>
      <c r="N87" s="639">
        <f t="shared" si="176"/>
        <v>0</v>
      </c>
      <c r="O87" s="637">
        <f t="shared" si="177"/>
        <v>0</v>
      </c>
      <c r="P87" s="637">
        <f t="shared" si="178"/>
        <v>0</v>
      </c>
      <c r="Q87" s="637">
        <f t="shared" si="179"/>
        <v>0</v>
      </c>
      <c r="R87" s="640">
        <f t="shared" si="180"/>
        <v>0</v>
      </c>
      <c r="S87" s="642">
        <f t="shared" si="181"/>
        <v>0</v>
      </c>
      <c r="T87" s="643">
        <f t="shared" si="182"/>
        <v>0</v>
      </c>
      <c r="U87" s="643">
        <f t="shared" si="183"/>
        <v>0</v>
      </c>
      <c r="V87" s="643">
        <f t="shared" si="188"/>
        <v>0</v>
      </c>
      <c r="W87" s="644">
        <f t="shared" si="185"/>
        <v>0</v>
      </c>
      <c r="Y87" s="186"/>
      <c r="Z87" s="186"/>
      <c r="AA87" s="186"/>
      <c r="AB87" s="186"/>
      <c r="AC87" s="186"/>
      <c r="AD87" s="186"/>
      <c r="AF87" s="186"/>
      <c r="AG87" s="186"/>
      <c r="AH87" s="186"/>
      <c r="AI87" s="186"/>
      <c r="AJ87" s="186"/>
      <c r="AK87" s="186"/>
    </row>
    <row r="88" spans="1:37" x14ac:dyDescent="0.25">
      <c r="A88" s="427" t="s">
        <v>812</v>
      </c>
      <c r="B88" s="635"/>
      <c r="C88" s="645"/>
      <c r="D88" s="645"/>
      <c r="E88" s="645"/>
      <c r="F88" s="645"/>
      <c r="G88" s="646"/>
      <c r="H88" s="631"/>
      <c r="I88" s="629"/>
      <c r="J88" s="629"/>
      <c r="K88" s="629"/>
      <c r="L88" s="655"/>
      <c r="N88" s="631"/>
      <c r="O88" s="629"/>
      <c r="P88" s="629"/>
      <c r="Q88" s="629"/>
      <c r="R88" s="632"/>
      <c r="S88" s="634"/>
      <c r="T88" s="635"/>
      <c r="U88" s="635"/>
      <c r="V88" s="635"/>
      <c r="W88" s="636"/>
      <c r="Y88" s="186"/>
      <c r="Z88" s="186"/>
      <c r="AA88" s="186"/>
      <c r="AB88" s="186"/>
      <c r="AC88" s="186"/>
      <c r="AD88" s="186"/>
      <c r="AF88" s="186"/>
      <c r="AG88" s="186"/>
      <c r="AH88" s="186"/>
      <c r="AI88" s="186"/>
      <c r="AJ88" s="186"/>
      <c r="AK88" s="186"/>
    </row>
    <row r="89" spans="1:37" x14ac:dyDescent="0.25">
      <c r="A89" s="574" t="s">
        <v>799</v>
      </c>
      <c r="B89" s="667">
        <f>'Unit costs'!L159</f>
        <v>1742</v>
      </c>
      <c r="C89" s="558">
        <f>C62</f>
        <v>0</v>
      </c>
      <c r="D89" s="558">
        <f t="shared" ref="D89:G89" si="190">D62</f>
        <v>0</v>
      </c>
      <c r="E89" s="558">
        <f t="shared" si="190"/>
        <v>0</v>
      </c>
      <c r="F89" s="558">
        <f t="shared" si="190"/>
        <v>0</v>
      </c>
      <c r="G89" s="559">
        <f t="shared" si="190"/>
        <v>0</v>
      </c>
      <c r="H89" s="222">
        <f>H62</f>
        <v>0</v>
      </c>
      <c r="I89" s="195">
        <f t="shared" ref="I89:L89" si="191">I62</f>
        <v>0</v>
      </c>
      <c r="J89" s="195">
        <f t="shared" si="191"/>
        <v>0</v>
      </c>
      <c r="K89" s="195">
        <f t="shared" si="191"/>
        <v>0</v>
      </c>
      <c r="L89" s="296">
        <f t="shared" si="191"/>
        <v>0</v>
      </c>
      <c r="N89" s="222">
        <f t="shared" ref="N89:N92" si="192">H89-C89</f>
        <v>0</v>
      </c>
      <c r="O89" s="195">
        <f t="shared" ref="O89:O92" si="193">I89-D89</f>
        <v>0</v>
      </c>
      <c r="P89" s="195">
        <f t="shared" ref="P89:P92" si="194">J89-E89</f>
        <v>0</v>
      </c>
      <c r="Q89" s="195">
        <f t="shared" ref="Q89:Q92" si="195">K89-F89</f>
        <v>0</v>
      </c>
      <c r="R89" s="296">
        <f t="shared" ref="R89:R92" si="196">L89-G89</f>
        <v>0</v>
      </c>
      <c r="S89" s="223">
        <f t="shared" ref="S89:S92" si="197">N89*$B89/1000</f>
        <v>0</v>
      </c>
      <c r="T89" s="196">
        <f t="shared" ref="T89:T92" si="198">O89*$B89/1000</f>
        <v>0</v>
      </c>
      <c r="U89" s="196">
        <f t="shared" ref="U89:U92" si="199">P89*$B89/1000</f>
        <v>0</v>
      </c>
      <c r="V89" s="196">
        <f t="shared" ref="V89:V92" si="200">Q89*$B89/1000</f>
        <v>0</v>
      </c>
      <c r="W89" s="197">
        <f t="shared" ref="W89:W92" si="201">R89*$B89/1000</f>
        <v>0</v>
      </c>
      <c r="Y89" s="186"/>
      <c r="Z89" s="186"/>
      <c r="AA89" s="186"/>
      <c r="AB89" s="186"/>
      <c r="AC89" s="186"/>
      <c r="AD89" s="186"/>
      <c r="AF89" s="186"/>
      <c r="AG89" s="186"/>
      <c r="AH89" s="186"/>
      <c r="AI89" s="186"/>
      <c r="AJ89" s="186"/>
      <c r="AK89" s="186"/>
    </row>
    <row r="90" spans="1:37" x14ac:dyDescent="0.25">
      <c r="A90" s="574" t="s">
        <v>800</v>
      </c>
      <c r="B90" s="667">
        <f>'Unit costs'!L160</f>
        <v>268</v>
      </c>
      <c r="C90" s="575"/>
      <c r="D90" s="558">
        <f>C89</f>
        <v>0</v>
      </c>
      <c r="E90" s="558">
        <f>D89</f>
        <v>0</v>
      </c>
      <c r="F90" s="558">
        <f>E89</f>
        <v>0</v>
      </c>
      <c r="G90" s="559">
        <f>F89</f>
        <v>0</v>
      </c>
      <c r="H90" s="504"/>
      <c r="I90" s="195">
        <f>H89</f>
        <v>0</v>
      </c>
      <c r="J90" s="195">
        <f>I89</f>
        <v>0</v>
      </c>
      <c r="K90" s="195">
        <f>J89</f>
        <v>0</v>
      </c>
      <c r="L90" s="296">
        <f>K89</f>
        <v>0</v>
      </c>
      <c r="N90" s="222">
        <f t="shared" si="192"/>
        <v>0</v>
      </c>
      <c r="O90" s="195">
        <f t="shared" si="193"/>
        <v>0</v>
      </c>
      <c r="P90" s="195">
        <f t="shared" si="194"/>
        <v>0</v>
      </c>
      <c r="Q90" s="195">
        <f t="shared" si="195"/>
        <v>0</v>
      </c>
      <c r="R90" s="296">
        <f t="shared" si="196"/>
        <v>0</v>
      </c>
      <c r="S90" s="223">
        <f t="shared" si="197"/>
        <v>0</v>
      </c>
      <c r="T90" s="196">
        <f t="shared" si="198"/>
        <v>0</v>
      </c>
      <c r="U90" s="196">
        <f t="shared" si="199"/>
        <v>0</v>
      </c>
      <c r="V90" s="196">
        <f t="shared" si="200"/>
        <v>0</v>
      </c>
      <c r="W90" s="197">
        <f t="shared" si="201"/>
        <v>0</v>
      </c>
      <c r="Y90" s="186"/>
      <c r="Z90" s="186"/>
      <c r="AA90" s="186"/>
      <c r="AB90" s="186"/>
      <c r="AC90" s="186"/>
      <c r="AD90" s="186"/>
      <c r="AF90" s="186"/>
      <c r="AG90" s="186"/>
      <c r="AH90" s="186"/>
      <c r="AI90" s="186"/>
      <c r="AJ90" s="186"/>
      <c r="AK90" s="186"/>
    </row>
    <row r="91" spans="1:37" x14ac:dyDescent="0.25">
      <c r="A91" s="574" t="s">
        <v>815</v>
      </c>
      <c r="B91" s="667">
        <f>'Unit costs'!L198</f>
        <v>2010</v>
      </c>
      <c r="C91" s="558">
        <f>C64</f>
        <v>0</v>
      </c>
      <c r="D91" s="558">
        <f t="shared" ref="D91:G91" si="202">D64</f>
        <v>0</v>
      </c>
      <c r="E91" s="558">
        <f t="shared" si="202"/>
        <v>0</v>
      </c>
      <c r="F91" s="558">
        <f t="shared" si="202"/>
        <v>0</v>
      </c>
      <c r="G91" s="559">
        <f t="shared" si="202"/>
        <v>0</v>
      </c>
      <c r="H91" s="222">
        <f>H64</f>
        <v>0</v>
      </c>
      <c r="I91" s="195">
        <f t="shared" ref="I91:L91" si="203">I64</f>
        <v>0</v>
      </c>
      <c r="J91" s="195">
        <f t="shared" si="203"/>
        <v>0</v>
      </c>
      <c r="K91" s="195">
        <f t="shared" si="203"/>
        <v>0</v>
      </c>
      <c r="L91" s="296">
        <f t="shared" si="203"/>
        <v>0</v>
      </c>
      <c r="M91" s="186"/>
      <c r="N91" s="222">
        <f t="shared" si="192"/>
        <v>0</v>
      </c>
      <c r="O91" s="195">
        <f t="shared" si="193"/>
        <v>0</v>
      </c>
      <c r="P91" s="195">
        <f t="shared" si="194"/>
        <v>0</v>
      </c>
      <c r="Q91" s="195">
        <f t="shared" si="195"/>
        <v>0</v>
      </c>
      <c r="R91" s="296">
        <f t="shared" si="196"/>
        <v>0</v>
      </c>
      <c r="S91" s="223">
        <f t="shared" si="197"/>
        <v>0</v>
      </c>
      <c r="T91" s="196">
        <f t="shared" si="198"/>
        <v>0</v>
      </c>
      <c r="U91" s="196">
        <f t="shared" si="199"/>
        <v>0</v>
      </c>
      <c r="V91" s="196">
        <f t="shared" si="200"/>
        <v>0</v>
      </c>
      <c r="W91" s="197">
        <f t="shared" si="201"/>
        <v>0</v>
      </c>
      <c r="Y91" s="186"/>
      <c r="Z91" s="186"/>
      <c r="AA91" s="186"/>
      <c r="AB91" s="186"/>
      <c r="AC91" s="186"/>
      <c r="AD91" s="186"/>
      <c r="AF91" s="186"/>
      <c r="AG91" s="186"/>
      <c r="AH91" s="186"/>
      <c r="AI91" s="186"/>
      <c r="AJ91" s="186"/>
      <c r="AK91" s="186"/>
    </row>
    <row r="92" spans="1:37" ht="15.75" thickBot="1" x14ac:dyDescent="0.3">
      <c r="A92" s="573" t="s">
        <v>816</v>
      </c>
      <c r="B92" s="668">
        <f>'Unit costs'!M110</f>
        <v>0</v>
      </c>
      <c r="C92" s="637">
        <f>C65</f>
        <v>0</v>
      </c>
      <c r="D92" s="637">
        <f t="shared" ref="D92:G92" si="204">D65</f>
        <v>0</v>
      </c>
      <c r="E92" s="637">
        <f t="shared" si="204"/>
        <v>0</v>
      </c>
      <c r="F92" s="637">
        <f t="shared" si="204"/>
        <v>0</v>
      </c>
      <c r="G92" s="638">
        <f t="shared" si="204"/>
        <v>0</v>
      </c>
      <c r="H92" s="639">
        <f>H65</f>
        <v>0</v>
      </c>
      <c r="I92" s="637">
        <f t="shared" ref="I92:L92" si="205">I65</f>
        <v>0</v>
      </c>
      <c r="J92" s="637">
        <f t="shared" si="205"/>
        <v>0</v>
      </c>
      <c r="K92" s="637">
        <f t="shared" si="205"/>
        <v>0</v>
      </c>
      <c r="L92" s="640">
        <f t="shared" si="205"/>
        <v>0</v>
      </c>
      <c r="N92" s="639">
        <f t="shared" si="192"/>
        <v>0</v>
      </c>
      <c r="O92" s="637">
        <f t="shared" si="193"/>
        <v>0</v>
      </c>
      <c r="P92" s="637">
        <f t="shared" si="194"/>
        <v>0</v>
      </c>
      <c r="Q92" s="637">
        <f t="shared" si="195"/>
        <v>0</v>
      </c>
      <c r="R92" s="640">
        <f t="shared" si="196"/>
        <v>0</v>
      </c>
      <c r="S92" s="642">
        <f t="shared" si="197"/>
        <v>0</v>
      </c>
      <c r="T92" s="643">
        <f t="shared" si="198"/>
        <v>0</v>
      </c>
      <c r="U92" s="643">
        <f t="shared" si="199"/>
        <v>0</v>
      </c>
      <c r="V92" s="643">
        <f t="shared" si="200"/>
        <v>0</v>
      </c>
      <c r="W92" s="644">
        <f t="shared" si="201"/>
        <v>0</v>
      </c>
      <c r="Y92" s="186"/>
      <c r="Z92" s="186"/>
      <c r="AA92" s="186"/>
      <c r="AB92" s="186"/>
      <c r="AC92" s="186"/>
      <c r="AD92" s="186"/>
      <c r="AF92" s="186"/>
      <c r="AG92" s="186"/>
      <c r="AH92" s="186"/>
      <c r="AI92" s="186"/>
      <c r="AJ92" s="186"/>
      <c r="AK92" s="186"/>
    </row>
    <row r="93" spans="1:37" ht="15.75" thickBot="1" x14ac:dyDescent="0.3">
      <c r="A93" s="326" t="s">
        <v>762</v>
      </c>
      <c r="B93" s="442"/>
      <c r="C93" s="648">
        <f>SUM(C71:C92)</f>
        <v>0</v>
      </c>
      <c r="D93" s="648">
        <f t="shared" ref="D93:G93" si="206">SUM(D71:D92)</f>
        <v>0</v>
      </c>
      <c r="E93" s="648">
        <f t="shared" si="206"/>
        <v>0</v>
      </c>
      <c r="F93" s="648">
        <f t="shared" si="206"/>
        <v>0</v>
      </c>
      <c r="G93" s="650">
        <f t="shared" si="206"/>
        <v>0</v>
      </c>
      <c r="H93" s="295">
        <f>SUM(H71:H92)</f>
        <v>0</v>
      </c>
      <c r="I93" s="648">
        <f t="shared" ref="I93:L93" si="207">SUM(I71:I92)</f>
        <v>0</v>
      </c>
      <c r="J93" s="648">
        <f t="shared" si="207"/>
        <v>0</v>
      </c>
      <c r="K93" s="648">
        <f t="shared" si="207"/>
        <v>0</v>
      </c>
      <c r="L93" s="656">
        <f t="shared" si="207"/>
        <v>0</v>
      </c>
      <c r="M93" s="478"/>
      <c r="N93" s="295">
        <f>SUM(N71:N92)</f>
        <v>0</v>
      </c>
      <c r="O93" s="648">
        <f t="shared" ref="O93:R93" si="208">SUM(O71:O92)</f>
        <v>0</v>
      </c>
      <c r="P93" s="648">
        <f t="shared" si="208"/>
        <v>0</v>
      </c>
      <c r="Q93" s="648">
        <f t="shared" si="208"/>
        <v>0</v>
      </c>
      <c r="R93" s="656">
        <f t="shared" si="208"/>
        <v>0</v>
      </c>
      <c r="S93" s="651">
        <f>SUM(S71:S92)</f>
        <v>0</v>
      </c>
      <c r="T93" s="652">
        <f t="shared" ref="T93:W93" si="209">SUM(T71:T92)</f>
        <v>0</v>
      </c>
      <c r="U93" s="652">
        <f t="shared" si="209"/>
        <v>0</v>
      </c>
      <c r="V93" s="652">
        <f t="shared" si="209"/>
        <v>0</v>
      </c>
      <c r="W93" s="653">
        <f t="shared" si="209"/>
        <v>0</v>
      </c>
      <c r="Y93" s="186">
        <f>C93</f>
        <v>0</v>
      </c>
      <c r="Z93" s="186">
        <f t="shared" ref="Z93" si="210">C93+N93</f>
        <v>0</v>
      </c>
      <c r="AA93" s="186">
        <f t="shared" ref="AA93" si="211">D93+O93</f>
        <v>0</v>
      </c>
      <c r="AB93" s="186">
        <f t="shared" ref="AB93" si="212">E93+P93</f>
        <v>0</v>
      </c>
      <c r="AC93" s="186">
        <f t="shared" ref="AC93" si="213">F93+Q93</f>
        <v>0</v>
      </c>
      <c r="AD93" s="186">
        <f t="shared" ref="AD93" si="214">G93+R93</f>
        <v>0</v>
      </c>
      <c r="AF93" s="186">
        <f>(C93*B93)/1000</f>
        <v>0</v>
      </c>
      <c r="AG93" s="186">
        <f>$AF93+S93</f>
        <v>0</v>
      </c>
      <c r="AH93" s="186">
        <f t="shared" ref="AH93" si="215">$AF93+T93</f>
        <v>0</v>
      </c>
      <c r="AI93" s="186">
        <f t="shared" ref="AI93" si="216">$AF93+U93</f>
        <v>0</v>
      </c>
      <c r="AJ93" s="186">
        <f t="shared" ref="AJ93" si="217">$AF93+V93</f>
        <v>0</v>
      </c>
      <c r="AK93" s="186">
        <f t="shared" ref="AK93" si="218">$AF93+W93</f>
        <v>0</v>
      </c>
    </row>
    <row r="94" spans="1:37" x14ac:dyDescent="0.25">
      <c r="A94" s="189"/>
      <c r="B94" s="478"/>
      <c r="C94" s="517"/>
      <c r="D94" s="517"/>
      <c r="E94" s="517"/>
      <c r="F94" s="517"/>
      <c r="G94" s="517"/>
      <c r="H94" s="517"/>
      <c r="I94" s="517"/>
      <c r="J94" s="517"/>
      <c r="K94" s="517"/>
      <c r="L94" s="517"/>
      <c r="M94" s="478"/>
      <c r="N94" s="517"/>
      <c r="O94" s="517"/>
      <c r="P94" s="517"/>
      <c r="Q94" s="517"/>
      <c r="R94" s="517"/>
      <c r="S94" s="518"/>
      <c r="T94" s="518"/>
      <c r="U94" s="518"/>
      <c r="V94" s="518"/>
      <c r="W94" s="518"/>
      <c r="Y94" s="186"/>
      <c r="Z94" s="186"/>
      <c r="AA94" s="186"/>
      <c r="AB94" s="186"/>
      <c r="AC94" s="186"/>
      <c r="AD94" s="186"/>
      <c r="AF94" s="186"/>
      <c r="AG94" s="186"/>
      <c r="AH94" s="186"/>
      <c r="AI94" s="186"/>
      <c r="AJ94" s="186"/>
      <c r="AK94" s="186"/>
    </row>
    <row r="95" spans="1:37" ht="15.75" thickBot="1" x14ac:dyDescent="0.3">
      <c r="A95" s="189"/>
      <c r="B95" s="478"/>
      <c r="C95" s="517"/>
      <c r="D95" s="517"/>
      <c r="E95" s="517"/>
      <c r="F95" s="517"/>
      <c r="G95" s="517"/>
      <c r="H95" s="517"/>
      <c r="I95" s="517"/>
      <c r="J95" s="517"/>
      <c r="K95" s="517"/>
      <c r="L95" s="517"/>
      <c r="M95" s="478"/>
      <c r="N95" s="517"/>
      <c r="O95" s="517"/>
      <c r="P95" s="517"/>
      <c r="Q95" s="517"/>
      <c r="R95" s="517"/>
      <c r="S95" s="518"/>
      <c r="T95" s="518"/>
      <c r="U95" s="518"/>
      <c r="V95" s="518"/>
      <c r="W95" s="518"/>
      <c r="Y95" s="186"/>
      <c r="Z95" s="186"/>
      <c r="AA95" s="186"/>
      <c r="AB95" s="186"/>
      <c r="AC95" s="186"/>
      <c r="AD95" s="186"/>
      <c r="AF95" s="186"/>
      <c r="AG95" s="186"/>
      <c r="AH95" s="186"/>
      <c r="AI95" s="186"/>
      <c r="AJ95" s="186"/>
      <c r="AK95" s="186"/>
    </row>
    <row r="96" spans="1:37" s="190" customFormat="1" ht="30" customHeight="1" thickBot="1" x14ac:dyDescent="0.3">
      <c r="A96" s="521" t="s">
        <v>802</v>
      </c>
      <c r="B96" s="201"/>
      <c r="C96" s="201"/>
      <c r="D96" s="201"/>
      <c r="E96" s="201"/>
      <c r="F96" s="201"/>
      <c r="G96" s="201"/>
      <c r="H96" s="201"/>
      <c r="I96" s="201"/>
      <c r="J96" s="201"/>
      <c r="K96" s="201"/>
      <c r="L96" s="201"/>
      <c r="M96" s="201"/>
      <c r="N96" s="201"/>
      <c r="O96" s="201"/>
      <c r="P96" s="201"/>
      <c r="Q96" s="201"/>
      <c r="R96" s="202"/>
      <c r="S96" s="198">
        <f>S66+S93</f>
        <v>0</v>
      </c>
      <c r="T96" s="198">
        <f>T66+T93</f>
        <v>0</v>
      </c>
      <c r="U96" s="198">
        <f t="shared" ref="U96:V96" si="219">U66+U93</f>
        <v>0</v>
      </c>
      <c r="V96" s="198">
        <f t="shared" si="219"/>
        <v>0</v>
      </c>
      <c r="W96" s="522">
        <f>W66+W93</f>
        <v>0</v>
      </c>
    </row>
    <row r="97" spans="1:56" ht="15.75" thickBot="1" x14ac:dyDescent="0.3">
      <c r="X97" s="371"/>
      <c r="Y97" s="371"/>
      <c r="Z97" s="371"/>
      <c r="AA97" s="371"/>
      <c r="AB97" s="371"/>
      <c r="AC97" s="371"/>
      <c r="AD97" s="371"/>
      <c r="AE97" s="371"/>
      <c r="AF97" s="371"/>
      <c r="AG97" s="371"/>
      <c r="AH97" s="371"/>
      <c r="AI97" s="371"/>
      <c r="AJ97" s="371"/>
      <c r="AK97" s="371"/>
      <c r="AL97" s="371"/>
      <c r="AM97" s="371"/>
      <c r="AN97" s="371"/>
      <c r="AO97" s="371"/>
      <c r="AP97" s="371"/>
      <c r="AQ97" s="371"/>
      <c r="AR97" s="371"/>
      <c r="AS97" s="371"/>
      <c r="AT97" s="371"/>
      <c r="AU97" s="371"/>
      <c r="AV97" s="371"/>
      <c r="AW97" s="371"/>
      <c r="AX97" s="371"/>
      <c r="AY97" s="371"/>
      <c r="AZ97" s="371"/>
      <c r="BA97" s="371"/>
      <c r="BB97" s="371"/>
      <c r="BC97" s="371"/>
      <c r="BD97" s="371"/>
    </row>
    <row r="98" spans="1:56" ht="30" customHeight="1" thickBot="1" x14ac:dyDescent="0.3">
      <c r="A98" s="328" t="s">
        <v>803</v>
      </c>
      <c r="B98" s="201"/>
      <c r="C98" s="201"/>
      <c r="D98" s="201"/>
      <c r="E98" s="201"/>
      <c r="F98" s="201"/>
      <c r="G98" s="201"/>
      <c r="H98" s="201"/>
      <c r="I98" s="201"/>
      <c r="J98" s="201"/>
      <c r="K98" s="201"/>
      <c r="L98" s="201"/>
      <c r="M98" s="201"/>
      <c r="N98" s="201"/>
      <c r="O98" s="201"/>
      <c r="P98" s="201"/>
      <c r="Q98" s="201"/>
      <c r="R98" s="202"/>
      <c r="S98" s="198">
        <f>S66</f>
        <v>0</v>
      </c>
      <c r="T98" s="198">
        <f t="shared" ref="T98:V98" si="220">T66</f>
        <v>0</v>
      </c>
      <c r="U98" s="198">
        <f t="shared" si="220"/>
        <v>0</v>
      </c>
      <c r="V98" s="198">
        <f t="shared" si="220"/>
        <v>0</v>
      </c>
      <c r="W98" s="522">
        <f>W66</f>
        <v>0</v>
      </c>
      <c r="X98" s="371"/>
      <c r="Y98" s="371"/>
      <c r="Z98" s="371"/>
      <c r="AA98" s="371"/>
      <c r="AB98" s="371"/>
      <c r="AC98" s="371"/>
      <c r="AD98" s="371"/>
      <c r="AE98" s="371"/>
      <c r="AF98" s="371"/>
      <c r="AG98" s="371"/>
      <c r="AH98" s="371"/>
      <c r="AI98" s="371"/>
      <c r="AJ98" s="371"/>
      <c r="AK98" s="371"/>
      <c r="AL98" s="371"/>
      <c r="AM98" s="511"/>
      <c r="AN98" s="511"/>
      <c r="AO98" s="511"/>
      <c r="AP98" s="511"/>
      <c r="AQ98" s="511"/>
      <c r="AR98" s="511"/>
      <c r="AS98" s="511"/>
      <c r="AT98" s="511"/>
      <c r="AU98" s="511"/>
      <c r="AV98" s="511"/>
      <c r="AW98" s="511"/>
      <c r="AX98" s="511"/>
      <c r="AY98" s="511"/>
      <c r="AZ98" s="511"/>
      <c r="BA98" s="511"/>
      <c r="BB98" s="511"/>
      <c r="BC98" s="511"/>
      <c r="BD98" s="371"/>
    </row>
    <row r="99" spans="1:56" ht="15.75" thickBot="1" x14ac:dyDescent="0.3">
      <c r="A99" s="329" t="s">
        <v>1</v>
      </c>
      <c r="X99" s="371"/>
      <c r="Y99" s="371"/>
      <c r="Z99" s="371"/>
      <c r="AA99" s="371"/>
      <c r="AB99" s="371"/>
      <c r="AC99" s="371"/>
      <c r="AD99" s="371"/>
      <c r="AE99" s="371"/>
      <c r="AF99" s="371"/>
      <c r="AG99" s="371"/>
      <c r="AH99" s="371"/>
      <c r="AI99" s="371"/>
      <c r="AJ99" s="371"/>
      <c r="AK99" s="371"/>
      <c r="AL99" s="371"/>
      <c r="AM99" s="511"/>
      <c r="AN99" s="511"/>
      <c r="AO99" s="511"/>
      <c r="AP99" s="511"/>
      <c r="AQ99" s="511"/>
      <c r="AR99" s="511"/>
      <c r="AS99" s="511"/>
      <c r="AT99" s="511"/>
      <c r="AU99" s="511"/>
      <c r="AV99" s="511"/>
      <c r="AW99" s="511"/>
      <c r="AX99" s="511"/>
      <c r="AY99" s="511"/>
      <c r="AZ99" s="511"/>
      <c r="BA99" s="511"/>
      <c r="BB99" s="511"/>
      <c r="BC99" s="511"/>
      <c r="BD99" s="371"/>
    </row>
    <row r="100" spans="1:56" ht="30" customHeight="1" thickBot="1" x14ac:dyDescent="0.3">
      <c r="A100" s="328" t="s">
        <v>804</v>
      </c>
      <c r="B100" s="201"/>
      <c r="C100" s="201"/>
      <c r="D100" s="201"/>
      <c r="E100" s="201"/>
      <c r="F100" s="201"/>
      <c r="G100" s="201"/>
      <c r="H100" s="201"/>
      <c r="I100" s="201"/>
      <c r="J100" s="201"/>
      <c r="K100" s="201"/>
      <c r="L100" s="201"/>
      <c r="M100" s="201"/>
      <c r="N100" s="201"/>
      <c r="O100" s="201"/>
      <c r="P100" s="201"/>
      <c r="Q100" s="201"/>
      <c r="R100" s="202"/>
      <c r="S100" s="198">
        <f>S93</f>
        <v>0</v>
      </c>
      <c r="T100" s="198">
        <f t="shared" ref="T100:V100" si="221">T93</f>
        <v>0</v>
      </c>
      <c r="U100" s="198">
        <f t="shared" si="221"/>
        <v>0</v>
      </c>
      <c r="V100" s="198">
        <f t="shared" si="221"/>
        <v>0</v>
      </c>
      <c r="W100" s="522">
        <f>W93</f>
        <v>0</v>
      </c>
      <c r="X100" s="371"/>
      <c r="Y100" s="371"/>
      <c r="Z100" s="371"/>
      <c r="AA100" s="371"/>
      <c r="AB100" s="371"/>
      <c r="AC100" s="371"/>
      <c r="AD100" s="371"/>
      <c r="AE100" s="371"/>
      <c r="AF100" s="371"/>
      <c r="AG100" s="371"/>
      <c r="AH100" s="371"/>
      <c r="AI100" s="371"/>
      <c r="AJ100" s="371"/>
      <c r="AK100" s="371"/>
      <c r="AL100" s="371"/>
      <c r="AM100" s="511"/>
      <c r="AN100" s="511"/>
      <c r="AO100" s="511"/>
      <c r="AP100" s="511"/>
      <c r="AQ100" s="511"/>
      <c r="AR100" s="511"/>
      <c r="AS100" s="511"/>
      <c r="AT100" s="511"/>
      <c r="AU100" s="511"/>
      <c r="AV100" s="511"/>
      <c r="AW100" s="511"/>
      <c r="AX100" s="511"/>
      <c r="AY100" s="511"/>
      <c r="AZ100" s="511"/>
      <c r="BA100" s="511"/>
      <c r="BB100" s="511"/>
      <c r="BC100" s="511"/>
      <c r="BD100" s="371"/>
    </row>
  </sheetData>
  <sheetProtection algorithmName="SHA-512" hashValue="vLbFkFtASYH2+rO2XSoHGkFM9aKbLdv/KP1sJ117b1TEtp945k7hApF5PMqfAdchH9TB+HRKdxJ+M2IyphrWSg==" saltValue="WGCbM4bUd8TQ+SqBWA0JtA==" spinCount="100000" sheet="1" objects="1" scenarios="1"/>
  <phoneticPr fontId="55"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ignoredErrors>
    <ignoredError sqref="D90:L90" formula="1"/>
    <ignoredError sqref="C11:L11 C22:L40 B44:B65 B71:B92" unlocked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2" ma:contentTypeDescription="Create a new document." ma:contentTypeScope="" ma:versionID="92da823d5c4a08fb5150f6109714b0ec">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00fcd7c5484bdd1f19f2634def3b9062"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7E245-2617-4C02-A12F-F5BF0992392B}">
  <ds:schemaRefs>
    <ds:schemaRef ds:uri="acaf4567-dc07-471f-892c-2bcb86ef35ae"/>
    <ds:schemaRef ds:uri="http://purl.org/dc/terms/"/>
    <ds:schemaRef ds:uri="c1f338ac-e338-414f-952c-f74dcc6d59e1"/>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eb656aa-4e79-4e95-9076-bc119a23e0cc"/>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67A28C43-D73D-4E3F-A9AD-6D1B8B0692B8}">
  <ds:schemaRefs>
    <ds:schemaRef ds:uri="http://schemas.microsoft.com/sharepoint/v3/contenttype/forms"/>
  </ds:schemaRefs>
</ds:datastoreItem>
</file>

<file path=customXml/itemProps3.xml><?xml version="1.0" encoding="utf-8"?>
<ds:datastoreItem xmlns:ds="http://schemas.openxmlformats.org/officeDocument/2006/customXml" ds:itemID="{46F99A4B-596A-4C26-AF95-6F3EEC364F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TA931 Treatments for chronic lymphocytic leukaemia: resource impact template 22/11/2023</dc:title>
  <dc:subject/>
  <dc:creator/>
  <cp:keywords/>
  <dc:description/>
  <cp:lastModifiedBy/>
  <cp:revision/>
  <dcterms:created xsi:type="dcterms:W3CDTF">2023-10-03T16:11:54Z</dcterms:created>
  <dcterms:modified xsi:type="dcterms:W3CDTF">2023-11-22T15:11:48Z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2023-10-03T16:12:50Z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b25d1c78-1922-46a9-9075-b50f9f0f80f1</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ies>
</file>